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comments8.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4.xml" ContentType="application/vnd.openxmlformats-officedocument.drawingml.chartshapes+xml"/>
  <Override PartName="/xl/drawings/drawing1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6.xml" ContentType="application/vnd.openxmlformats-officedocument.drawingml.chartshapes+xml"/>
  <Override PartName="/xl/drawings/drawing1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comments9.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xml"/>
  <Override PartName="/xl/comments10.xml" ContentType="application/vnd.openxmlformats-officedocument.spreadsheetml.comments+xml"/>
  <Override PartName="/xl/drawings/drawing21.xml" ContentType="application/vnd.openxmlformats-officedocument.drawing+xml"/>
  <Override PartName="/xl/comments11.xml" ContentType="application/vnd.openxmlformats-officedocument.spreadsheetml.comments+xml"/>
  <Override PartName="/xl/drawings/drawing22.xml" ContentType="application/vnd.openxmlformats-officedocument.drawing+xml"/>
  <Override PartName="/xl/comments12.xml" ContentType="application/vnd.openxmlformats-officedocument.spreadsheetml.comments+xml"/>
  <Override PartName="/xl/drawings/drawing23.xml" ContentType="application/vnd.openxmlformats-officedocument.drawing+xml"/>
  <Override PartName="/xl/comments13.xml" ContentType="application/vnd.openxmlformats-officedocument.spreadsheetml.comments+xml"/>
  <Override PartName="/xl/drawings/drawing24.xml" ContentType="application/vnd.openxmlformats-officedocument.drawing+xml"/>
  <Override PartName="/xl/comments14.xml" ContentType="application/vnd.openxmlformats-officedocument.spreadsheetml.comments+xml"/>
  <Override PartName="/xl/drawings/drawing2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filterPrivacy="1" defaultThemeVersion="166925"/>
  <xr:revisionPtr revIDLastSave="3145" documentId="8_{4A9A46C1-9B20-45FE-A3EE-415D3DFF1AEB}" xr6:coauthVersionLast="47" xr6:coauthVersionMax="47" xr10:uidLastSave="{9041420D-1C45-476C-BF15-0DF25ABE0CDF}"/>
  <bookViews>
    <workbookView xWindow="28680" yWindow="-120" windowWidth="29040" windowHeight="15840" tabRatio="894" firstSheet="2" activeTab="2" xr2:uid="{521BEC50-930C-49AD-BCDA-D62D4F1F9F2A}"/>
  </bookViews>
  <sheets>
    <sheet name="__snloffice" sheetId="77" state="veryHidden" r:id="rId1"/>
    <sheet name="_CIQHiddenCacheSheet" sheetId="285" state="veryHidden" r:id="rId2"/>
    <sheet name="Simple Model (A)" sheetId="89" r:id="rId3"/>
    <sheet name="D&amp;A Build (A)" sheetId="88" r:id="rId4"/>
    <sheet name="Simple Model (B)" sheetId="108" r:id="rId5"/>
    <sheet name="D&amp;A Build (B)" sheetId="109" r:id="rId6"/>
    <sheet name="Simple Model (C)" sheetId="110" r:id="rId7"/>
    <sheet name="D&amp;A Build (C)" sheetId="111" r:id="rId8"/>
    <sheet name="Historical Financials" sheetId="49" r:id="rId9"/>
    <sheet name="LT Historical Financials" sheetId="94" r:id="rId10"/>
    <sheet name="Guidance" sheetId="65" r:id="rId11"/>
    <sheet name="Guidance Commentary" sheetId="66" r:id="rId12"/>
    <sheet name="Other Commentary" sheetId="71" r:id="rId13"/>
    <sheet name="CRC vs Consensus" sheetId="68" r:id="rId14"/>
    <sheet name="Margins" sheetId="78" r:id="rId15"/>
    <sheet name="Growth" sheetId="79" r:id="rId16"/>
    <sheet name="ROIC" sheetId="91" r:id="rId17"/>
    <sheet name="Capex" sheetId="93" r:id="rId18"/>
    <sheet name="Price vs. Volume" sheetId="81" r:id="rId19"/>
    <sheet name="ROIC Benchmarking" sheetId="87" r:id="rId20"/>
    <sheet name="LT Growth" sheetId="72" r:id="rId21"/>
    <sheet name="IRR Under Invasion" sheetId="84" r:id="rId22"/>
    <sheet name="Other Analysis&gt;&gt;" sheetId="73" r:id="rId23"/>
    <sheet name="FX Impact" sheetId="106" r:id="rId24"/>
    <sheet name="Capex Predicting Rev Growth" sheetId="69" r:id="rId25"/>
    <sheet name="WIP&gt;&gt;" sheetId="116" r:id="rId26"/>
    <sheet name="China Exposure" sheetId="127" r:id="rId27"/>
    <sheet name="Customer Concentration" sheetId="112" r:id="rId28"/>
    <sheet name="Upsized Apple Order" sheetId="82" r:id="rId29"/>
    <sheet name="WC Reconciliation" sheetId="107" r:id="rId30"/>
    <sheet name="Other&gt;&gt;" sheetId="115" r:id="rId31"/>
    <sheet name="FX" sheetId="64" r:id="rId32"/>
    <sheet name="Chart Backup" sheetId="95" r:id="rId33"/>
  </sheets>
  <externalReferences>
    <externalReference r:id="rId34"/>
    <externalReference r:id="rId35"/>
    <externalReference r:id="rId36"/>
  </externalReferences>
  <definedNames>
    <definedName name="__FDS_HYPERLINK_TOGGLE_STATE__" hidden="1">"ON"</definedName>
    <definedName name="_bdm.0FE7C5DC676D4206AC1A6C3AC95FFA5A.edm" hidden="1">'[1]Mobile Music'!$A:$IV</definedName>
    <definedName name="_bdm.149EECDB265A4B439CA7F4074DEE7741.edm" hidden="1">'[2]Mobile search &amp; ads'!$A:$IV</definedName>
    <definedName name="_bdm.3466CC53D4F247A18D3F4EC288EA6EC8.edm" hidden="1">'[1]Operator share'!$A:$IV</definedName>
    <definedName name="_bdm.46A2A83BCD254E11989A262F3F53C291.edm" hidden="1">'[1]Mobile TV &amp; Video'!$A:$IV</definedName>
    <definedName name="_bdm.5939D4790AE74B9493505CD9980F4561.edm" hidden="1">'[1]Mobile SNS'!$A:$IV</definedName>
    <definedName name="_bdm.5BE4AE09F37349BDA9334813DCCCAB3C.edm" hidden="1">'[1]Mobile LBS'!$A:$IV</definedName>
    <definedName name="_bdm.7301403817A04ECFB5C59528FC085F5B.edm" hidden="1">'[1]Mobile data apps'!$A:$IV</definedName>
    <definedName name="_bdm.7E482E3890A9461E9B82016C1EE19FCC.edm" hidden="1">'[1]Mobile enterprise'!$A:$IV</definedName>
    <definedName name="_bdm.94348BAD6E434530BE25276A507603ED.edm" hidden="1">'[1]Mobile gaming'!$A:$IV</definedName>
    <definedName name="_bdm.9931A6EC2CD64620B716FDD91C7E1F0B.edm" hidden="1">'[1]Converged devices'!$A:$IV</definedName>
    <definedName name="_Order1" hidden="1">255</definedName>
    <definedName name="_Regression_Int" hidden="1">1</definedName>
    <definedName name="_Table1_Out" localSheetId="3" hidden="1">#REF!</definedName>
    <definedName name="_Table1_Out" localSheetId="5" hidden="1">#REF!</definedName>
    <definedName name="_Table1_Out" localSheetId="7" hidden="1">#REF!</definedName>
    <definedName name="_Table1_Out" hidden="1">#REF!</definedName>
    <definedName name="_Table2_Out" hidden="1">#REF!</definedName>
    <definedName name="_table2_out1" hidden="1">'[3]#REF'!$C$11:$I$22</definedName>
    <definedName name="AB" localSheetId="3" hidden="1">{TRUE,TRUE,-1.25,-15.5,456.75,279.75,FALSE,FALSE,TRUE,TRUE,0,1,21,1,127,6,3,4,TRUE,TRUE,3,TRUE,1,TRUE,100,"Swvu.profits.","ACwvu.profits.",1,FALSE,FALSE,0.511811023622047,0.511811023622047,0.511811023622047,0.511811023622047,1,"","",FALSE,FALSE,FALSE,FALSE,1,#N/A,1,1,#DIV/0!,FALSE,"Rwvu.profits.",#N/A,FALSE,FALSE}</definedName>
    <definedName name="AB" localSheetId="5" hidden="1">{TRUE,TRUE,-1.25,-15.5,456.75,279.75,FALSE,FALSE,TRUE,TRUE,0,1,21,1,127,6,3,4,TRUE,TRUE,3,TRUE,1,TRUE,100,"Swvu.profits.","ACwvu.profits.",1,FALSE,FALSE,0.511811023622047,0.511811023622047,0.511811023622047,0.511811023622047,1,"","",FALSE,FALSE,FALSE,FALSE,1,#N/A,1,1,#DIV/0!,FALSE,"Rwvu.profits.",#N/A,FALSE,FALSE}</definedName>
    <definedName name="AB" localSheetId="7" hidden="1">{TRUE,TRUE,-1.25,-15.5,456.75,279.75,FALSE,FALSE,TRUE,TRUE,0,1,21,1,127,6,3,4,TRUE,TRUE,3,TRUE,1,TRUE,100,"Swvu.profits.","ACwvu.profits.",1,FALSE,FALSE,0.511811023622047,0.511811023622047,0.511811023622047,0.511811023622047,1,"","",FALSE,FALSE,FALSE,FALSE,1,#N/A,1,1,#DIV/0!,FALSE,"Rwvu.profits.",#N/A,FALSE,FALSE}</definedName>
    <definedName name="AB" hidden="1">{TRUE,TRUE,-1.25,-15.5,456.75,279.75,FALSE,FALSE,TRUE,TRUE,0,1,21,1,127,6,3,4,TRUE,TRUE,3,TRUE,1,TRUE,100,"Swvu.profits.","ACwvu.profits.",1,FALSE,FALSE,0.511811023622047,0.511811023622047,0.511811023622047,0.511811023622047,1,"","",FALSE,FALSE,FALSE,FALSE,1,#N/A,1,1,#DIV/0!,FALSE,"Rwvu.profits.",#N/A,FALSE,FALSE}</definedName>
    <definedName name="adf" localSheetId="3" hidden="1">{"Page1",#N/A,FALSE,"CompCo";"Page2",#N/A,FALSE,"CompCo"}</definedName>
    <definedName name="adf" localSheetId="5" hidden="1">{"Page1",#N/A,FALSE,"CompCo";"Page2",#N/A,FALSE,"CompCo"}</definedName>
    <definedName name="adf" localSheetId="7" hidden="1">{"Page1",#N/A,FALSE,"CompCo";"Page2",#N/A,FALSE,"CompCo"}</definedName>
    <definedName name="adf" hidden="1">{"Page1",#N/A,FALSE,"CompCo";"Page2",#N/A,FALSE,"CompCo"}</definedName>
    <definedName name="adfauui" localSheetId="3" hidden="1">{"Page1",#N/A,FALSE,"CompCo";"Page2",#N/A,FALSE,"CompCo"}</definedName>
    <definedName name="adfauui" localSheetId="5" hidden="1">{"Page1",#N/A,FALSE,"CompCo";"Page2",#N/A,FALSE,"CompCo"}</definedName>
    <definedName name="adfauui" localSheetId="7" hidden="1">{"Page1",#N/A,FALSE,"CompCo";"Page2",#N/A,FALSE,"CompCo"}</definedName>
    <definedName name="adfauui" hidden="1">{"Page1",#N/A,FALSE,"CompCo";"Page2",#N/A,FALSE,"CompCo"}</definedName>
    <definedName name="adfda" localSheetId="3" hidden="1">{#N/A,#N/A,FALSE,"Aging Summary";#N/A,#N/A,FALSE,"Ratio Analysis";#N/A,#N/A,FALSE,"Test 120 Day Accts";#N/A,#N/A,FALSE,"Tickmarks"}</definedName>
    <definedName name="adfda" localSheetId="5" hidden="1">{#N/A,#N/A,FALSE,"Aging Summary";#N/A,#N/A,FALSE,"Ratio Analysis";#N/A,#N/A,FALSE,"Test 120 Day Accts";#N/A,#N/A,FALSE,"Tickmarks"}</definedName>
    <definedName name="adfda" localSheetId="7" hidden="1">{#N/A,#N/A,FALSE,"Aging Summary";#N/A,#N/A,FALSE,"Ratio Analysis";#N/A,#N/A,FALSE,"Test 120 Day Accts";#N/A,#N/A,FALSE,"Tickmarks"}</definedName>
    <definedName name="adfda" hidden="1">{#N/A,#N/A,FALSE,"Aging Summary";#N/A,#N/A,FALSE,"Ratio Analysis";#N/A,#N/A,FALSE,"Test 120 Day Accts";#N/A,#N/A,FALSE,"Tickmarks"}</definedName>
    <definedName name="adfda2" localSheetId="3" hidden="1">{#N/A,#N/A,FALSE,"Aging Summary";#N/A,#N/A,FALSE,"Ratio Analysis";#N/A,#N/A,FALSE,"Test 120 Day Accts";#N/A,#N/A,FALSE,"Tickmarks"}</definedName>
    <definedName name="adfda2" localSheetId="5" hidden="1">{#N/A,#N/A,FALSE,"Aging Summary";#N/A,#N/A,FALSE,"Ratio Analysis";#N/A,#N/A,FALSE,"Test 120 Day Accts";#N/A,#N/A,FALSE,"Tickmarks"}</definedName>
    <definedName name="adfda2" localSheetId="7" hidden="1">{#N/A,#N/A,FALSE,"Aging Summary";#N/A,#N/A,FALSE,"Ratio Analysis";#N/A,#N/A,FALSE,"Test 120 Day Accts";#N/A,#N/A,FALSE,"Tickmarks"}</definedName>
    <definedName name="adfda2" hidden="1">{#N/A,#N/A,FALSE,"Aging Summary";#N/A,#N/A,FALSE,"Ratio Analysis";#N/A,#N/A,FALSE,"Test 120 Day Accts";#N/A,#N/A,FALSE,"Tickmarks"}</definedName>
    <definedName name="adsf" localSheetId="3" hidden="1">{TRUE,TRUE,-1.25,-15.5,456.75,279.75,FALSE,FALSE,TRUE,TRUE,0,1,21,1,127,6,3,4,TRUE,TRUE,3,TRUE,1,TRUE,100,"Swvu.profits.","ACwvu.profits.",1,FALSE,FALSE,0.511811023622047,0.511811023622047,0.511811023622047,0.511811023622047,1,"","",FALSE,FALSE,FALSE,FALSE,1,#N/A,1,1,#DIV/0!,FALSE,"Rwvu.profits.",#N/A,FALSE,FALSE}</definedName>
    <definedName name="adsf" localSheetId="5" hidden="1">{TRUE,TRUE,-1.25,-15.5,456.75,279.75,FALSE,FALSE,TRUE,TRUE,0,1,21,1,127,6,3,4,TRUE,TRUE,3,TRUE,1,TRUE,100,"Swvu.profits.","ACwvu.profits.",1,FALSE,FALSE,0.511811023622047,0.511811023622047,0.511811023622047,0.511811023622047,1,"","",FALSE,FALSE,FALSE,FALSE,1,#N/A,1,1,#DIV/0!,FALSE,"Rwvu.profits.",#N/A,FALSE,FALSE}</definedName>
    <definedName name="adsf" localSheetId="7" hidden="1">{TRUE,TRUE,-1.25,-15.5,456.75,279.75,FALSE,FALSE,TRUE,TRUE,0,1,21,1,127,6,3,4,TRUE,TRUE,3,TRUE,1,TRUE,100,"Swvu.profits.","ACwvu.profits.",1,FALSE,FALSE,0.511811023622047,0.511811023622047,0.511811023622047,0.511811023622047,1,"","",FALSE,FALSE,FALSE,FALSE,1,#N/A,1,1,#DIV/0!,FALSE,"Rwvu.profits.",#N/A,FALSE,FALSE}</definedName>
    <definedName name="adsf" hidden="1">{TRUE,TRUE,-1.25,-15.5,456.75,279.75,FALSE,FALSE,TRUE,TRUE,0,1,21,1,127,6,3,4,TRUE,TRUE,3,TRUE,1,TRUE,100,"Swvu.profits.","ACwvu.profits.",1,FALSE,FALSE,0.511811023622047,0.511811023622047,0.511811023622047,0.511811023622047,1,"","",FALSE,FALSE,FALSE,FALSE,1,#N/A,1,1,#DIV/0!,FALSE,"Rwvu.profits.",#N/A,FALSE,FALSE}</definedName>
    <definedName name="AS2DocOpenMode" hidden="1">"AS2DocumentEdit"</definedName>
    <definedName name="asdf" localSheetId="3" hidden="1">{TRUE,TRUE,-1.25,-15.5,456.75,279.75,FALSE,FALSE,TRUE,TRUE,0,1,8,1,4,6,3,4,TRUE,TRUE,3,TRUE,1,TRUE,100,"Swvu.turnover.","ACwvu.turnover.",1,FALSE,FALSE,0.511811023622047,0.511811023622047,0.511811023622047,0.511811023622047,1,"","",FALSE,FALSE,FALSE,FALSE,1,#N/A,1,1,#DIV/0!,FALSE,"Rwvu.turnover.",#N/A,FALSE,FALSE}</definedName>
    <definedName name="asdf" localSheetId="5" hidden="1">{TRUE,TRUE,-1.25,-15.5,456.75,279.75,FALSE,FALSE,TRUE,TRUE,0,1,8,1,4,6,3,4,TRUE,TRUE,3,TRUE,1,TRUE,100,"Swvu.turnover.","ACwvu.turnover.",1,FALSE,FALSE,0.511811023622047,0.511811023622047,0.511811023622047,0.511811023622047,1,"","",FALSE,FALSE,FALSE,FALSE,1,#N/A,1,1,#DIV/0!,FALSE,"Rwvu.turnover.",#N/A,FALSE,FALSE}</definedName>
    <definedName name="asdf" localSheetId="7" hidden="1">{TRUE,TRUE,-1.25,-15.5,456.75,279.75,FALSE,FALSE,TRUE,TRUE,0,1,8,1,4,6,3,4,TRUE,TRUE,3,TRUE,1,TRUE,100,"Swvu.turnover.","ACwvu.turnover.",1,FALSE,FALSE,0.511811023622047,0.511811023622047,0.511811023622047,0.511811023622047,1,"","",FALSE,FALSE,FALSE,FALSE,1,#N/A,1,1,#DIV/0!,FALSE,"Rwvu.turnover.",#N/A,FALSE,FALSE}</definedName>
    <definedName name="asdf" hidden="1">{TRUE,TRUE,-1.25,-15.5,456.75,279.75,FALSE,FALSE,TRUE,TRUE,0,1,8,1,4,6,3,4,TRUE,TRUE,3,TRUE,1,TRUE,100,"Swvu.turnover.","ACwvu.turnover.",1,FALSE,FALSE,0.511811023622047,0.511811023622047,0.511811023622047,0.511811023622047,1,"","",FALSE,FALSE,FALSE,FALSE,1,#N/A,1,1,#DIV/0!,FALSE,"Rwvu.turnover.",#N/A,FALSE,FALSE}</definedName>
    <definedName name="boring" localSheetId="3" hidden="1">{"Page1",#N/A,FALSE,"CompCo";"Page2",#N/A,FALSE,"CompCo"}</definedName>
    <definedName name="boring" localSheetId="5" hidden="1">{"Page1",#N/A,FALSE,"CompCo";"Page2",#N/A,FALSE,"CompCo"}</definedName>
    <definedName name="boring" localSheetId="7" hidden="1">{"Page1",#N/A,FALSE,"CompCo";"Page2",#N/A,FALSE,"CompCo"}</definedName>
    <definedName name="boring" hidden="1">{"Page1",#N/A,FALSE,"CompCo";"Page2",#N/A,FALSE,"CompCo"}</definedName>
    <definedName name="cb_sChart16EBA7BA_opts" hidden="1">"1, 1, 1, False, 2, True, False, , 0, False, True, 1, 2"</definedName>
    <definedName name="cb_sChart1AC0211C_opts" hidden="1">"1, 1, 1, False, 2, False, False, , 0, False, False, 2, 2"</definedName>
    <definedName name="cb_sChart1AC021B3_opts" hidden="1">"1, 1, 1, False, 2, False, False, , 0, False, False, 2, 2"</definedName>
    <definedName name="cb_sChart1AC02226_opts" hidden="1">"1, 1, 1, False, 2, False, False, , 0, False, False, 2, 2"</definedName>
    <definedName name="cb_sChart1AC02446_opts" hidden="1">"1, 1, 1, False, 2, True, False, , 0, False, True, 2, 2"</definedName>
    <definedName name="cb_sChart1AC02765_opts" hidden="1">"1, 1, 1, False, 2, True, False, , 0, False, True, 2, 2"</definedName>
    <definedName name="cb_sChart1AC027D9_opts" hidden="1">"1, 1, 1, False, 2, True, False, , 0, False, True, 2, 2"</definedName>
    <definedName name="CIQWBGuid" hidden="1">"0c71c3bd-0811-4ac6-b333-1535b6111ad0"</definedName>
    <definedName name="CIQWBInfo" hidden="1">"{ ""CIQVersion"":""9.49.2423.4439"" }"</definedName>
    <definedName name="Circ">'Simple Model (A)'!$W$138</definedName>
    <definedName name="Compco1" localSheetId="3" hidden="1">{"Page1",#N/A,FALSE,"CompCo";"Page2",#N/A,FALSE,"CompCo"}</definedName>
    <definedName name="Compco1" localSheetId="5" hidden="1">{"Page1",#N/A,FALSE,"CompCo";"Page2",#N/A,FALSE,"CompCo"}</definedName>
    <definedName name="Compco1" localSheetId="7" hidden="1">{"Page1",#N/A,FALSE,"CompCo";"Page2",#N/A,FALSE,"CompCo"}</definedName>
    <definedName name="Compco1" hidden="1">{"Page1",#N/A,FALSE,"CompCo";"Page2",#N/A,FALSE,"CompCo"}</definedName>
    <definedName name="Compco2" localSheetId="3" hidden="1">{"Page1",#N/A,FALSE,"CompCo";"Page2",#N/A,FALSE,"CompCo"}</definedName>
    <definedName name="Compco2" localSheetId="5" hidden="1">{"Page1",#N/A,FALSE,"CompCo";"Page2",#N/A,FALSE,"CompCo"}</definedName>
    <definedName name="Compco2" localSheetId="7" hidden="1">{"Page1",#N/A,FALSE,"CompCo";"Page2",#N/A,FALSE,"CompCo"}</definedName>
    <definedName name="Compco2" hidden="1">{"Page1",#N/A,FALSE,"CompCo";"Page2",#N/A,FALSE,"CompCo"}</definedName>
    <definedName name="happy" localSheetId="3" hidden="1">{"Page1",#N/A,FALSE,"CompCo";"Page2",#N/A,FALSE,"CompCo"}</definedName>
    <definedName name="happy" localSheetId="5" hidden="1">{"Page1",#N/A,FALSE,"CompCo";"Page2",#N/A,FALSE,"CompCo"}</definedName>
    <definedName name="happy" localSheetId="7" hidden="1">{"Page1",#N/A,FALSE,"CompCo";"Page2",#N/A,FALSE,"CompCo"}</definedName>
    <definedName name="happy" hidden="1">{"Page1",#N/A,FALSE,"CompCo";"Page2",#N/A,FALSE,"CompCo"}</definedName>
    <definedName name="hkli9" localSheetId="3" hidden="1">{"Page1",#N/A,FALSE,"CompCo";"Page2",#N/A,FALSE,"CompCo"}</definedName>
    <definedName name="hkli9" localSheetId="5" hidden="1">{"Page1",#N/A,FALSE,"CompCo";"Page2",#N/A,FALSE,"CompCo"}</definedName>
    <definedName name="hkli9" localSheetId="7" hidden="1">{"Page1",#N/A,FALSE,"CompCo";"Page2",#N/A,FALSE,"CompCo"}</definedName>
    <definedName name="hkli9" hidden="1">{"Page1",#N/A,FALSE,"CompCo";"Page2",#N/A,FALSE,"CompCo"}</definedName>
    <definedName name="HTML_CodePage" hidden="1">1252</definedName>
    <definedName name="HTML_Control" localSheetId="3" hidden="1">{"'Segment'!$A$1:$J$45"}</definedName>
    <definedName name="HTML_Control" localSheetId="5" hidden="1">{"'Segment'!$A$1:$J$45"}</definedName>
    <definedName name="HTML_Control" localSheetId="7" hidden="1">{"'Segment'!$A$1:$J$45"}</definedName>
    <definedName name="HTML_Control" hidden="1">{"'Segment'!$A$1:$J$45"}</definedName>
    <definedName name="HTML_Description" hidden="1">""</definedName>
    <definedName name="HTML_Email" hidden="1">""</definedName>
    <definedName name="HTML_Header" hidden="1">""</definedName>
    <definedName name="HTML_LastUpdate" hidden="1">""</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"J:\carpente\Releases\Q2-00\segment2Q-00.htm"</definedName>
    <definedName name="HTML_Title" hidden="1">"Segment and Supplemental Information"</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QUIRED_BY_REPORTING_BANK_FDIC" hidden="1">"c6535"</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MENDED_BALANCE_PREVIOUS_YR_FDIC" hidden="1">"c6499"</definedName>
    <definedName name="IQ_AMORT_EXPENSE_FDIC" hidden="1">"c6677"</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PRICE_TARGET" hidden="1">"c82"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CAPEX_BR" hidden="1">"c111"</definedName>
    <definedName name="IQ_CASH_DIVIDENDS_NET_INCOME_FDIC" hidden="1">"c6738"</definedName>
    <definedName name="IQ_CASH_IN_PROCESS_FDIC" hidden="1">"c6386"</definedName>
    <definedName name="IQ_CASH_OPER_ACT_OR_EST" hidden="1">"c4164"</definedName>
    <definedName name="IQ_CASH_OPER_EST" hidden="1">"c4163"</definedName>
    <definedName name="IQ_CASH_OPER_HIGH_EST" hidden="1">"c4166"</definedName>
    <definedName name="IQ_CASH_OPER_LOW_EST" hidden="1">"c4244"</definedName>
    <definedName name="IQ_CASH_OPER_MEDIAN_EST" hidden="1">"c4245"</definedName>
    <definedName name="IQ_CASH_OPER_NUM_EST" hidden="1">"c4246"</definedName>
    <definedName name="IQ_CASH_OPER_STDDEV_EST" hidden="1">"c4247"</definedName>
    <definedName name="IQ_CCE_FDIC" hidden="1">"c6296"</definedName>
    <definedName name="IQ_CH">110000</definedName>
    <definedName name="IQ_CHANGE_AP_BR" hidden="1">"c135"</definedName>
    <definedName name="IQ_CHANGE_AR_BR" hidden="1">"c142"</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OTHER_NET_OPER_ASSETS_BR" hidden="1">"c3595"</definedName>
    <definedName name="IQ_CHANGE_OTHER_WORK_CAP_BR" hidden="1">"c154"</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V_RATE" hidden="1">"c2192"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OF_FUNDING_ASSETS_FDIC" hidden="1">"c6725"</definedName>
    <definedName name="IQ_CQ">5000</definedName>
    <definedName name="IQ_CREDIT_CARD_CHARGE_OFFS_FDIC" hidden="1">"c6652"</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ENCY_COIN_DOMESTIC_FDIC" hidden="1">"c6388"</definedName>
    <definedName name="IQ_CURRENCY_GAIN_BR" hidden="1">"c236"</definedName>
    <definedName name="IQ_CURRENT_PORT_DEBT_BR" hidden="1">"c1567"</definedName>
    <definedName name="IQ_CY">10000</definedName>
    <definedName name="IQ_DA_BR" hidden="1">"c248"</definedName>
    <definedName name="IQ_DA_CF_BR" hidden="1">"c251"</definedName>
    <definedName name="IQ_DA_SUPPL_BR" hidden="1">"c260"</definedName>
    <definedName name="IQ_DA_SUPPL_CF_BR" hidden="1">"c263"</definedName>
    <definedName name="IQ_DAILY">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RIVATIVES_FDIC" hidden="1">"c6523"</definedName>
    <definedName name="IQ_DISTRIBUTABLE_CASH_EST_CIQ" hidden="1">"c4802"</definedName>
    <definedName name="IQ_DISTRIBUTABLE_CASH_HIGH_EST_CIQ" hidden="1">"c4805"</definedName>
    <definedName name="IQ_DISTRIBUTABLE_CASH_LOW_EST_CIQ" hidden="1">"c4806"</definedName>
    <definedName name="IQ_DISTRIBUTABLE_CASH_MEDIAN_EST_CIQ" hidden="1">"c4807"</definedName>
    <definedName name="IQ_DISTRIBUTABLE_CASH_NUM_EST_CIQ" hidden="1">"c4808"</definedName>
    <definedName name="IQ_DISTRIBUTABLE_CASH_SHARE_EST_CIQ" hidden="1">"c4810"</definedName>
    <definedName name="IQ_DISTRIBUTABLE_CASH_SHARE_HIGH_EST_CIQ" hidden="1">"c4813"</definedName>
    <definedName name="IQ_DISTRIBUTABLE_CASH_SHARE_LOW_EST_CIQ" hidden="1">"c4814"</definedName>
    <definedName name="IQ_DISTRIBUTABLE_CASH_SHARE_MEDIAN_EST_CIQ" hidden="1">"c4815"</definedName>
    <definedName name="IQ_DISTRIBUTABLE_CASH_SHARE_NUM_EST_CIQ" hidden="1">"c4816"</definedName>
    <definedName name="IQ_DISTRIBUTABLE_CASH_SHARE_STDDEV_EST_CIQ" hidden="1">"c4817"</definedName>
    <definedName name="IQ_DISTRIBUTABLE_CASH_STDDEV_EST_CIQ" hidden="1">"c4819"</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EARNING_ASSETS_FDIC" hidden="1">"c6360"</definedName>
    <definedName name="IQ_EARNING_ASSETS_YIELD_FDIC" hidden="1">"c6724"</definedName>
    <definedName name="IQ_EARNINGS_COVERAGE_NET_CHARGE_OFFS_FDIC" hidden="1">"c6735"</definedName>
    <definedName name="IQ_EBT_BR" hidden="1">"c378"</definedName>
    <definedName name="IQ_EBT_EXCL_BR" hidden="1">"c381"</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FFICIENCY_RATIO_FDIC" hidden="1">"c6736"</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ST_ACT_FFO_THOM" hidden="1">"c4005"</definedName>
    <definedName name="IQ_EST_EPS_SURPRISE" hidden="1">"c1635"</definedName>
    <definedName name="IQ_EST_FFO_DIFF_THOM" hidden="1">"c5186"</definedName>
    <definedName name="IQ_EST_FFO_SURPRISE_PERCENT_THOM" hidden="1">"c5187"</definedName>
    <definedName name="IQ_ESTIMATED_ASSESSABLE_DEPOSITS_FDIC" hidden="1">"c6490"</definedName>
    <definedName name="IQ_ESTIMATED_INSURED_DEPOSITS_FDIC" hidden="1">"c6491"</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_BR" hidden="1">"c412"</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ADJ_EST_CIQ" hidden="1">"c4959"</definedName>
    <definedName name="IQ_FFO_ADJ_HIGH_EST_CIQ" hidden="1">"c4962"</definedName>
    <definedName name="IQ_FFO_ADJ_LOW_EST_CIQ" hidden="1">"c4963"</definedName>
    <definedName name="IQ_FFO_ADJ_MEDIAN_EST_CIQ" hidden="1">"c4964"</definedName>
    <definedName name="IQ_FFO_ADJ_NUM_EST_CIQ" hidden="1">"c4965"</definedName>
    <definedName name="IQ_FFO_ADJ_STDDEV_EST_CIQ" hidden="1">"c4966"</definedName>
    <definedName name="IQ_FFO_EST_CIQ" hidden="1">"c3668"</definedName>
    <definedName name="IQ_FFO_EST_DET_EST" hidden="1">"c12059"</definedName>
    <definedName name="IQ_FFO_EST_DET_EST_CURRENCY" hidden="1">"c12466"</definedName>
    <definedName name="IQ_FFO_EST_DET_EST_CURRENCY_THOM" hidden="1">"c12487"</definedName>
    <definedName name="IQ_FFO_EST_DET_EST_DATE" hidden="1">"c12212"</definedName>
    <definedName name="IQ_FFO_EST_DET_EST_DATE_THOM" hidden="1">"c12238"</definedName>
    <definedName name="IQ_FFO_EST_DET_EST_INCL" hidden="1">"c12349"</definedName>
    <definedName name="IQ_FFO_EST_DET_EST_INCL_THOM" hidden="1">"c12370"</definedName>
    <definedName name="IQ_FFO_EST_DET_EST_ORIGIN" hidden="1">"c12722"</definedName>
    <definedName name="IQ_FFO_EST_DET_EST_ORIGIN_THOM" hidden="1">"c12608"</definedName>
    <definedName name="IQ_FFO_EST_DET_EST_THOM" hidden="1">"c12088"</definedName>
    <definedName name="IQ_FFO_EST_THOM" hidden="1">"c3999"</definedName>
    <definedName name="IQ_FFO_HIGH_EST_CIQ" hidden="1">"c3670"</definedName>
    <definedName name="IQ_FFO_HIGH_EST_THOM" hidden="1">"c4001"</definedName>
    <definedName name="IQ_FFO_LOW_EST_CIQ" hidden="1">"c3671"</definedName>
    <definedName name="IQ_FFO_LOW_EST_THOM" hidden="1">"c4002"</definedName>
    <definedName name="IQ_FFO_MEDIAN_EST_CIQ" hidden="1">"c3669"</definedName>
    <definedName name="IQ_FFO_MEDIAN_EST_THOM" hidden="1">"c4000"</definedName>
    <definedName name="IQ_FFO_NUM_EST_CIQ" hidden="1">"c3672"</definedName>
    <definedName name="IQ_FFO_NUM_EST_THOM" hidden="1">"c4003"</definedName>
    <definedName name="IQ_FFO_STDDEV_EST_CIQ" hidden="1">"c3673"</definedName>
    <definedName name="IQ_FFO_STDDEV_EST_THOM" hidden="1">"c4004"</definedName>
    <definedName name="IQ_FH">100000</definedName>
    <definedName name="IQ_FHLB_ADVANCES_FDIC" hidden="1">"c6366"</definedName>
    <definedName name="IQ_FIDUCIARY_ACTIVITIES_FDIC" hidden="1">"c6571"</definedName>
    <definedName name="IQ_FIFETEEN_YEAR_FIXED_AND_FLOATING_RATE_FDIC" hidden="1">"c6423"</definedName>
    <definedName name="IQ_FIFETEEN_YEAR_MORTGAGE_PASS_THROUGHS_FDIC" hidden="1">"c6415"</definedName>
    <definedName name="IQ_FIVE_YEAR_FIXED_AND_FLOATING_RATE_FDIC" hidden="1">"c6422"</definedName>
    <definedName name="IQ_FIVE_YEAR_MORTGAGE_PASS_THROUGHS_FDIC" hidden="1">"c6414"</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_CONTRACTS_FDIC" hidden="1">"c6517"</definedName>
    <definedName name="IQ_FX_CONTRACTS_SPOT_FDIC" hidden="1">"c6356"</definedName>
    <definedName name="IQ_FY">1000</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V_BR" hidden="1">"c496"</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W_AMORT_BR" hidden="1">"c532"</definedName>
    <definedName name="IQ_GW_INTAN_AMORT_BR" hidden="1">"c1470"</definedName>
    <definedName name="IQ_GW_INTAN_AMORT_CF_BR" hidden="1">"c1473"</definedName>
    <definedName name="IQ_HELD_MATURITY_FDIC" hidden="1">"c6408"</definedName>
    <definedName name="IQ_HOME_EQUITY_LOC_NET_CHARGE_OFFS_FDIC" hidden="1">"c6644"</definedName>
    <definedName name="IQ_HOME_EQUITY_LOC_TOTAL_CHARGE_OFFS_FDIC" hidden="1">"c6606"</definedName>
    <definedName name="IQ_HOME_EQUITY_LOC_TOTAL_RECOVERIES_FDIC" hidden="1">"c6625"</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UED_GUARANTEED_US_FDIC" hidden="1">"c6404"</definedName>
    <definedName name="IQ_LATESTK" hidden="1">1000</definedName>
    <definedName name="IQ_LATESTQ" hidden="1">500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OAN_COMMITMENTS_REVOLVING_FDIC" hidden="1">"c6524"</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SS_ALLOWANCE_LOANS_FDIC" hidden="1">"c6739"</definedName>
    <definedName name="IQ_LT_DEBT_BR" hidden="1">"c676"</definedName>
    <definedName name="IQ_LT_DEBT_ISSUED_BR" hidden="1">"c683"</definedName>
    <definedName name="IQ_LT_DEBT_REPAID_BR" hidden="1">"c691"</definedName>
    <definedName name="IQ_LT_INVEST_BR" hidden="1">"c698"</definedName>
    <definedName name="IQ_LTM">2000</definedName>
    <definedName name="IQ_LTMMONTH" hidden="1">120000</definedName>
    <definedName name="IQ_MAINT_CAPEX_ACT_OR_EST" hidden="1">"c4458"</definedName>
    <definedName name="IQ_MAINT_CAPEX_EST" hidden="1">"c4457"</definedName>
    <definedName name="IQ_MAINT_CAPEX_HIGH_EST" hidden="1">"c4460"</definedName>
    <definedName name="IQ_MAINT_CAPEX_LOW_EST" hidden="1">"c4461"</definedName>
    <definedName name="IQ_MAINT_CAPEX_MEDIAN_EST" hidden="1">"c4462"</definedName>
    <definedName name="IQ_MAINT_CAPEX_NUM_EST" hidden="1">"c4463"</definedName>
    <definedName name="IQ_MAINT_CAPEX_STDDEV_EST" hidden="1">"c4464"</definedName>
    <definedName name="IQ_MATURITY_ONE_YEAR_LESS_FDIC" hidden="1">"c6425"</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RGER_BR" hidden="1">"c715"</definedName>
    <definedName name="IQ_MERGER_RESTRUCTURE_BR" hidden="1">"c721"</definedName>
    <definedName name="IQ_MINORITY_INTEREST_BR" hidden="1">"c729"</definedName>
    <definedName name="IQ_MONEY_MARKET_DEPOSIT_ACCOUNTS_FDIC" hidden="1">"c6553"</definedName>
    <definedName name="IQ_MONTH">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localSheetId="3" hidden="1">45271.910162037</definedName>
    <definedName name="IQ_NAMES_REVISION_DATE_" localSheetId="5" hidden="1">45271.910162037</definedName>
    <definedName name="IQ_NAMES_REVISION_DATE_" localSheetId="7" hidden="1">45271.910162037</definedName>
    <definedName name="IQ_NAMES_REVISION_DATE_" hidden="1">45271.910162037</definedName>
    <definedName name="IQ_NAV_ACT_OR_EST" hidden="1">"c2225"</definedName>
    <definedName name="IQ_NET_CHARGE_OFFS_FDIC" hidden="1">"c6641"</definedName>
    <definedName name="IQ_NET_CHARGE_OFFS_LOANS_FDIC" hidden="1">"c6751"</definedName>
    <definedName name="IQ_NET_DEBT_ISSUED_BR" hidden="1">"c753"</definedName>
    <definedName name="IQ_NET_INCOME_FDIC" hidden="1">"c6587"</definedName>
    <definedName name="IQ_NET_INT_INC_BNK_FDIC" hidden="1">"c6570"</definedName>
    <definedName name="IQ_NET_INT_INC_BR" hidden="1">"c765"</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ON_INT_EXP_FDIC" hidden="1">"c6579"</definedName>
    <definedName name="IQ_NON_INT_INC_FDIC" hidden="1">"c6575"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6000</definedName>
    <definedName name="IQ_NUMBER_DEPOSITS_LESS_THAN_100K_FDIC" hidden="1">"c6495"</definedName>
    <definedName name="IQ_NUMBER_DEPOSITS_MORE_THAN_100K_FDIC" hidden="1">"c6493"</definedName>
    <definedName name="IQ_OBLIGATIONS_OF_STATES_TOTAL_LOANS_FOREIGN_FDIC" hidden="1">"c6447"</definedName>
    <definedName name="IQ_OBLIGATIONS_STATES_FDIC" hidden="1">"c6431"</definedName>
    <definedName name="IQ_OG_TOTAL_OIL_PRODUCTON" hidden="1">"c2059"</definedName>
    <definedName name="IQ_OPER_INC_BR" hidden="1">"c850"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T_ASSETS_BR" hidden="1">"c948"</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ERCENT_CHANGE_EST_FFO_12MONTHS" hidden="1">"c1828"</definedName>
    <definedName name="IQ_PERCENT_CHANGE_EST_FFO_12MONTHS_CIQ" hidden="1">"c3769"</definedName>
    <definedName name="IQ_PERCENT_CHANGE_EST_FFO_12MONTHS_THOM" hidden="1">"c5248"</definedName>
    <definedName name="IQ_PERCENT_CHANGE_EST_FFO_18MONTHS" hidden="1">"c1829"</definedName>
    <definedName name="IQ_PERCENT_CHANGE_EST_FFO_18MONTHS_CIQ" hidden="1">"c3770"</definedName>
    <definedName name="IQ_PERCENT_CHANGE_EST_FFO_18MONTHS_THOM" hidden="1">"c5249"</definedName>
    <definedName name="IQ_PERCENT_CHANGE_EST_FFO_3MONTHS" hidden="1">"c1825"</definedName>
    <definedName name="IQ_PERCENT_CHANGE_EST_FFO_3MONTHS_CIQ" hidden="1">"c3766"</definedName>
    <definedName name="IQ_PERCENT_CHANGE_EST_FFO_3MONTHS_THOM" hidden="1">"c5245"</definedName>
    <definedName name="IQ_PERCENT_CHANGE_EST_FFO_6MONTHS" hidden="1">"c1826"</definedName>
    <definedName name="IQ_PERCENT_CHANGE_EST_FFO_6MONTHS_CIQ" hidden="1">"c3767"</definedName>
    <definedName name="IQ_PERCENT_CHANGE_EST_FFO_6MONTHS_THOM" hidden="1">"c5246"</definedName>
    <definedName name="IQ_PERCENT_CHANGE_EST_FFO_9MONTHS" hidden="1">"c1827"</definedName>
    <definedName name="IQ_PERCENT_CHANGE_EST_FFO_9MONTHS_CIQ" hidden="1">"c3768"</definedName>
    <definedName name="IQ_PERCENT_CHANGE_EST_FFO_9MONTHS_THOM" hidden="1">"c5247"</definedName>
    <definedName name="IQ_PERCENT_CHANGE_EST_FFO_DAY" hidden="1">"c1822"</definedName>
    <definedName name="IQ_PERCENT_CHANGE_EST_FFO_DAY_CIQ" hidden="1">"c3764"</definedName>
    <definedName name="IQ_PERCENT_CHANGE_EST_FFO_DAY_THOM" hidden="1">"c5243"</definedName>
    <definedName name="IQ_PERCENT_CHANGE_EST_FFO_MONTH" hidden="1">"c1824"</definedName>
    <definedName name="IQ_PERCENT_CHANGE_EST_FFO_MONTH_CIQ" hidden="1">"c3765"</definedName>
    <definedName name="IQ_PERCENT_CHANGE_EST_FFO_MONTH_THOM" hidden="1">"c5244"</definedName>
    <definedName name="IQ_PERCENT_CHANGE_EST_FFO_WEEK" hidden="1">"c1823"</definedName>
    <definedName name="IQ_PERCENT_CHANGE_EST_FFO_WEEK_CIQ" hidden="1">"c3795"</definedName>
    <definedName name="IQ_PERCENT_CHANGE_EST_FFO_WEEK_THOM" hidden="1">"c5274"</definedName>
    <definedName name="IQ_PERCENT_INSURED_FDIC" hidden="1">"c6374"</definedName>
    <definedName name="IQ_PLEDGED_SECURITIES_FDIC" hidden="1">"c6401"</definedName>
    <definedName name="IQ_PRE_TAX_INCOME_FDIC" hidden="1">"c6581"</definedName>
    <definedName name="IQ_PREF_ISSUED_BR" hidden="1">"c1047"</definedName>
    <definedName name="IQ_PREF_OTHER_BR" hidden="1">"c1055"</definedName>
    <definedName name="IQ_PREF_REP_BR" hidden="1">"c1062"</definedName>
    <definedName name="IQ_PREFERRED_FDIC" hidden="1">"c6349"</definedName>
    <definedName name="IQ_PREMISES_EQUIPMENT_FDIC" hidden="1">"c6577"</definedName>
    <definedName name="IQ_PRETAX_RETURN_ASSETS_FDIC" hidden="1">"c6731"</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LATED_PLANS_FDIC" hidden="1">"c6320"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INGS_AVERAGE_EQUITY_FDIC" hidden="1">"c6733"</definedName>
    <definedName name="IQ_RETURN_ASSETS_BROK" hidden="1">"c1115"</definedName>
    <definedName name="IQ_RETURN_ASSETS_FDIC" hidden="1">"c6730"</definedName>
    <definedName name="IQ_RETURN_EQUITY_BROK" hidden="1">"c1120"</definedName>
    <definedName name="IQ_RETURN_EQUITY_FDIC" hidden="1">"c6732"</definedName>
    <definedName name="IQ_REVALUATION_GAINS_FDIC" hidden="1">"c6428"</definedName>
    <definedName name="IQ_REVALUATION_LOSSES_FDIC" hidden="1">"c6429"</definedName>
    <definedName name="IQ_RISK_WEIGHTED_ASSETS_FDIC" hidden="1">"c6370"</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RVICE_CHARGES_FDIC" hidden="1">"c6572"</definedName>
    <definedName name="IQ_SHAREOUTSTANDING" hidden="1">"c1347"</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UB_DEBT_FDIC" hidden="1">"c6346"</definedName>
    <definedName name="IQ_SURPLUS_FDIC" hidden="1">"c6351"</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HARGE_OFFS_FDIC" hidden="1">"c6603"</definedName>
    <definedName name="IQ_TOTAL_DEBT_ISSUED_BR" hidden="1">"c1253"</definedName>
    <definedName name="IQ_TOTAL_DEBT_REPAID_BR" hidden="1">"c1260"</definedName>
    <definedName name="IQ_TOTAL_DEBT_SECURITIES_FDIC" hidden="1">"c6410"</definedName>
    <definedName name="IQ_TOTAL_DEPOSITS_FDIC" hidden="1">"c6342"</definedName>
    <definedName name="IQ_TOTAL_EMPLOYEES_FDIC" hidden="1">"c6355"</definedName>
    <definedName name="IQ_TOTAL_LIAB_BR" hidden="1">"c1278"</definedName>
    <definedName name="IQ_TOTAL_LIAB_EQUITY_FDIC" hidden="1">"c6354"</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ISK_BASED_CAPITAL_RATIO_FDIC" hidden="1">"c6747"</definedName>
    <definedName name="IQ_TOTAL_SECURITIES_FDIC" hidden="1">"c6306"</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50000</definedName>
    <definedName name="IQ_WRITTEN_OPTION_CONTRACTS_FDIC" hidden="1">"c6509"</definedName>
    <definedName name="IQ_WRITTEN_OPTION_CONTRACTS_FX_RISK_FDIC" hidden="1">"c6514"</definedName>
    <definedName name="IQ_WRITTEN_OPTION_CONTRACTS_NON_FX_IR_FDIC" hidden="1">"c6519"</definedName>
    <definedName name="IQ_YTD">3000</definedName>
    <definedName name="IQ_YTDMONTH" hidden="1">130000</definedName>
    <definedName name="Japan" localSheetId="3" hidden="1">{"twx1",#N/A,FALSE,"twltm.xls";"twx2",#N/A,FALSE,"twltm.xls";"twx3",#N/A,FALSE,"twltm.xls"}</definedName>
    <definedName name="Japan" localSheetId="5" hidden="1">{"twx1",#N/A,FALSE,"twltm.xls";"twx2",#N/A,FALSE,"twltm.xls";"twx3",#N/A,FALSE,"twltm.xls"}</definedName>
    <definedName name="Japan" localSheetId="7" hidden="1">{"twx1",#N/A,FALSE,"twltm.xls";"twx2",#N/A,FALSE,"twltm.xls";"twx3",#N/A,FALSE,"twltm.xls"}</definedName>
    <definedName name="Japan" hidden="1">{"twx1",#N/A,FALSE,"twltm.xls";"twx2",#N/A,FALSE,"twltm.xls";"twx3",#N/A,FALSE,"twltm.xls"}</definedName>
    <definedName name="jen" localSheetId="3" hidden="1">{TRUE,TRUE,-1.25,-15.5,456.75,279.75,FALSE,FALSE,TRUE,TRUE,0,1,8,1,4,6,3,4,TRUE,TRUE,3,TRUE,1,TRUE,100,"Swvu.turnover.","ACwvu.turnover.",1,FALSE,FALSE,0.511811023622047,0.511811023622047,0.511811023622047,0.511811023622047,1,"","",FALSE,FALSE,FALSE,FALSE,1,#N/A,1,1,#DIV/0!,FALSE,"Rwvu.turnover.",#N/A,FALSE,FALSE}</definedName>
    <definedName name="jen" localSheetId="5" hidden="1">{TRUE,TRUE,-1.25,-15.5,456.75,279.75,FALSE,FALSE,TRUE,TRUE,0,1,8,1,4,6,3,4,TRUE,TRUE,3,TRUE,1,TRUE,100,"Swvu.turnover.","ACwvu.turnover.",1,FALSE,FALSE,0.511811023622047,0.511811023622047,0.511811023622047,0.511811023622047,1,"","",FALSE,FALSE,FALSE,FALSE,1,#N/A,1,1,#DIV/0!,FALSE,"Rwvu.turnover.",#N/A,FALSE,FALSE}</definedName>
    <definedName name="jen" localSheetId="7" hidden="1">{TRUE,TRUE,-1.25,-15.5,456.75,279.75,FALSE,FALSE,TRUE,TRUE,0,1,8,1,4,6,3,4,TRUE,TRUE,3,TRUE,1,TRUE,100,"Swvu.turnover.","ACwvu.turnover.",1,FALSE,FALSE,0.511811023622047,0.511811023622047,0.511811023622047,0.511811023622047,1,"","",FALSE,FALSE,FALSE,FALSE,1,#N/A,1,1,#DIV/0!,FALSE,"Rwvu.turnover.",#N/A,FALSE,FALSE}</definedName>
    <definedName name="jen" hidden="1">{TRUE,TRUE,-1.25,-15.5,456.75,279.75,FALSE,FALSE,TRUE,TRUE,0,1,8,1,4,6,3,4,TRUE,TRUE,3,TRUE,1,TRUE,100,"Swvu.turnover.","ACwvu.turnover.",1,FALSE,FALSE,0.511811023622047,0.511811023622047,0.511811023622047,0.511811023622047,1,"","",FALSE,FALSE,FALSE,FALSE,1,#N/A,1,1,#DIV/0!,FALSE,"Rwvu.turnover.",#N/A,FALSE,FALSE}</definedName>
    <definedName name="jjjj" localSheetId="3" hidden="1">{"Page1",#N/A,FALSE,"CompCo";"Page2",#N/A,FALSE,"CompCo"}</definedName>
    <definedName name="jjjj" localSheetId="5" hidden="1">{"Page1",#N/A,FALSE,"CompCo";"Page2",#N/A,FALSE,"CompCo"}</definedName>
    <definedName name="jjjj" localSheetId="7" hidden="1">{"Page1",#N/A,FALSE,"CompCo";"Page2",#N/A,FALSE,"CompCo"}</definedName>
    <definedName name="jjjj" hidden="1">{"Page1",#N/A,FALSE,"CompCo";"Page2",#N/A,FALSE,"CompCo"}</definedName>
    <definedName name="lkjlkh" localSheetId="3" hidden="1">{"Page1",#N/A,FALSE,"CompCo";"Page2",#N/A,FALSE,"CompCo"}</definedName>
    <definedName name="lkjlkh" localSheetId="5" hidden="1">{"Page1",#N/A,FALSE,"CompCo";"Page2",#N/A,FALSE,"CompCo"}</definedName>
    <definedName name="lkjlkh" localSheetId="7" hidden="1">{"Page1",#N/A,FALSE,"CompCo";"Page2",#N/A,FALSE,"CompCo"}</definedName>
    <definedName name="lkjlkh" hidden="1">{"Page1",#N/A,FALSE,"CompCo";"Page2",#N/A,FALSE,"CompCo"}</definedName>
    <definedName name="New" localSheetId="3" hidden="1">{"twx1",#N/A,FALSE,"twltm.xls";"twx2",#N/A,FALSE,"twltm.xls";"twx3",#N/A,FALSE,"twltm.xls"}</definedName>
    <definedName name="New" localSheetId="5" hidden="1">{"twx1",#N/A,FALSE,"twltm.xls";"twx2",#N/A,FALSE,"twltm.xls";"twx3",#N/A,FALSE,"twltm.xls"}</definedName>
    <definedName name="New" localSheetId="7" hidden="1">{"twx1",#N/A,FALSE,"twltm.xls";"twx2",#N/A,FALSE,"twltm.xls";"twx3",#N/A,FALSE,"twltm.xls"}</definedName>
    <definedName name="New" hidden="1">{"twx1",#N/A,FALSE,"twltm.xls";"twx2",#N/A,FALSE,"twltm.xls";"twx3",#N/A,FALSE,"twltm.xls"}</definedName>
    <definedName name="Newer" localSheetId="3" hidden="1">{"'Segment'!$A$1:$J$45"}</definedName>
    <definedName name="Newer" localSheetId="5" hidden="1">{"'Segment'!$A$1:$J$45"}</definedName>
    <definedName name="Newer" localSheetId="7" hidden="1">{"'Segment'!$A$1:$J$45"}</definedName>
    <definedName name="Newer" hidden="1">{"'Segment'!$A$1:$J$45"}</definedName>
    <definedName name="ool" localSheetId="3" hidden="1">{"Page1",#N/A,FALSE,"CompCo";"Page2",#N/A,FALSE,"CompCo"}</definedName>
    <definedName name="ool" localSheetId="5" hidden="1">{"Page1",#N/A,FALSE,"CompCo";"Page2",#N/A,FALSE,"CompCo"}</definedName>
    <definedName name="ool" localSheetId="7" hidden="1">{"Page1",#N/A,FALSE,"CompCo";"Page2",#N/A,FALSE,"CompCo"}</definedName>
    <definedName name="ool" hidden="1">{"Page1",#N/A,FALSE,"CompCo";"Page2",#N/A,FALSE,"CompCo"}</definedName>
    <definedName name="oooooi" localSheetId="3" hidden="1">{"Page1",#N/A,FALSE,"CompCo";"Page2",#N/A,FALSE,"CompCo"}</definedName>
    <definedName name="oooooi" localSheetId="5" hidden="1">{"Page1",#N/A,FALSE,"CompCo";"Page2",#N/A,FALSE,"CompCo"}</definedName>
    <definedName name="oooooi" localSheetId="7" hidden="1">{"Page1",#N/A,FALSE,"CompCo";"Page2",#N/A,FALSE,"CompCo"}</definedName>
    <definedName name="oooooi" hidden="1">{"Page1",#N/A,FALSE,"CompCo";"Page2",#N/A,FALSE,"CompCo"}</definedName>
    <definedName name="_xlnm.Print_Area" localSheetId="24">'Capex Predicting Rev Growth'!$B$2:$W$53</definedName>
    <definedName name="_xlnm.Print_Area" localSheetId="32">'Chart Backup'!$B$2:$AE$8</definedName>
    <definedName name="_xlnm.Print_Area" localSheetId="13">'CRC vs Consensus'!$B$2:$T$39</definedName>
    <definedName name="_xlnm.Print_Area" localSheetId="27">'Customer Concentration'!$B$2:$J$233</definedName>
    <definedName name="_xlnm.Print_Area" localSheetId="3">'D&amp;A Build (A)'!$B$2:$AC$188</definedName>
    <definedName name="_xlnm.Print_Area" localSheetId="5">'D&amp;A Build (B)'!$B$2:$AC$188</definedName>
    <definedName name="_xlnm.Print_Area" localSheetId="7">'D&amp;A Build (C)'!$B$2:$AC$188</definedName>
    <definedName name="_xlnm.Print_Area" localSheetId="31">FX!$B$2:$BO$23</definedName>
    <definedName name="_xlnm.Print_Area" localSheetId="23">'FX Impact'!$B$2:$G$26</definedName>
    <definedName name="_xlnm.Print_Area" localSheetId="10">Guidance!$B$2:$E$13</definedName>
    <definedName name="_xlnm.Print_Area" localSheetId="11">'Guidance Commentary'!$B$2:$F$19</definedName>
    <definedName name="_xlnm.Print_Area" localSheetId="8">'Historical Financials'!$B$2:$BE$536</definedName>
    <definedName name="_xlnm.Print_Area" localSheetId="21">'IRR Under Invasion'!$B$2:$H$32</definedName>
    <definedName name="_xlnm.Print_Area" localSheetId="20">'LT Growth'!$B$2:$AH$87</definedName>
    <definedName name="_xlnm.Print_Area" localSheetId="9">'LT Historical Financials'!$B$2:$AN$124</definedName>
    <definedName name="_xlnm.Print_Area" localSheetId="12">'Other Commentary'!$B$2:$F$15</definedName>
    <definedName name="_xlnm.Print_Area" localSheetId="19">'ROIC Benchmarking'!$E$4:$U$84</definedName>
    <definedName name="_xlnm.Print_Area" localSheetId="2">'Simple Model (A)'!$B$2:$U$204</definedName>
    <definedName name="_xlnm.Print_Area" localSheetId="4">'Simple Model (B)'!$B$2:$U$203</definedName>
    <definedName name="_xlnm.Print_Area" localSheetId="6">'Simple Model (C)'!$B$2:$U$204</definedName>
    <definedName name="_xlnm.Print_Area" localSheetId="28">'Upsized Apple Order'!$B$2:$G$40</definedName>
    <definedName name="_xlnm.Print_Titles" localSheetId="32">'Chart Backup'!$2:$6</definedName>
    <definedName name="_xlnm.Print_Titles" localSheetId="13">'CRC vs Consensus'!$2:$7</definedName>
    <definedName name="_xlnm.Print_Titles" localSheetId="27">'Customer Concentration'!$2:$6</definedName>
    <definedName name="_xlnm.Print_Titles" localSheetId="3">'D&amp;A Build (A)'!$1:$7</definedName>
    <definedName name="_xlnm.Print_Titles" localSheetId="5">'D&amp;A Build (B)'!$1:$7</definedName>
    <definedName name="_xlnm.Print_Titles" localSheetId="7">'D&amp;A Build (C)'!$1:$7</definedName>
    <definedName name="_xlnm.Print_Titles" localSheetId="10">Guidance!$2:$4</definedName>
    <definedName name="_xlnm.Print_Titles" localSheetId="11">'Guidance Commentary'!$2:$6</definedName>
    <definedName name="_xlnm.Print_Titles" localSheetId="8">'Historical Financials'!$2:$7</definedName>
    <definedName name="_xlnm.Print_Titles" localSheetId="20">'LT Growth'!$2:$7</definedName>
    <definedName name="_xlnm.Print_Titles" localSheetId="9">'LT Historical Financials'!$2:$6</definedName>
    <definedName name="_xlnm.Print_Titles" localSheetId="12">'Other Commentary'!$2:$6</definedName>
    <definedName name="SAPBEXrevision" hidden="1">14</definedName>
    <definedName name="SAPBEXsysID" hidden="1">"BWP"</definedName>
    <definedName name="SAPBEXwbID" hidden="1">"3WHMHM5L67JY13MGK946CSGCZ"</definedName>
    <definedName name="sencount" hidden="1">1</definedName>
    <definedName name="test" hidden="1">'[3]#REF'!$C$11:$I$22</definedName>
    <definedName name="wrn.Accounts." localSheetId="3" hidden="1">{"turnover",#N/A,FALSE;"profits",#N/A,FALSE;"cash",#N/A,FALSE}</definedName>
    <definedName name="wrn.Accounts." localSheetId="5" hidden="1">{"turnover",#N/A,FALSE;"profits",#N/A,FALSE;"cash",#N/A,FALSE}</definedName>
    <definedName name="wrn.Accounts." localSheetId="7" hidden="1">{"turnover",#N/A,FALSE;"profits",#N/A,FALSE;"cash",#N/A,FALSE}</definedName>
    <definedName name="wrn.Accounts." hidden="1">{"turnover",#N/A,FALSE;"profits",#N/A,FALSE;"cash",#N/A,FALSE}</definedName>
    <definedName name="wrn.adj95." localSheetId="3" hidden="1">{"adj95mult",#N/A,FALSE,"COMPCO";"adj95est",#N/A,FALSE,"COMPCO"}</definedName>
    <definedName name="wrn.adj95." localSheetId="5" hidden="1">{"adj95mult",#N/A,FALSE,"COMPCO";"adj95est",#N/A,FALSE,"COMPCO"}</definedName>
    <definedName name="wrn.adj95." localSheetId="7" hidden="1">{"adj95mult",#N/A,FALSE,"COMPCO";"adj95est",#N/A,FALSE,"COMPCO"}</definedName>
    <definedName name="wrn.adj95." hidden="1">{"adj95mult",#N/A,FALSE,"COMPCO";"adj95est",#N/A,FALSE,"COMPCO"}</definedName>
    <definedName name="wrn.Aging._.and._.Trend._.Analysis." localSheetId="3" hidden="1">{#N/A,#N/A,FALSE,"Aging Summary";#N/A,#N/A,FALSE,"Ratio Analysis";#N/A,#N/A,FALSE,"Test 120 Day Accts";#N/A,#N/A,FALSE,"Tickmarks"}</definedName>
    <definedName name="wrn.Aging._.and._.Trend._.Analysis." localSheetId="5" hidden="1">{#N/A,#N/A,FALSE,"Aging Summary";#N/A,#N/A,FALSE,"Ratio Analysis";#N/A,#N/A,FALSE,"Test 120 Day Accts";#N/A,#N/A,FALSE,"Tickmarks"}</definedName>
    <definedName name="wrn.Aging._.and._.Trend._.Analysis." localSheetId="7"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localSheetId="3" hidden="1">{"Matrix",#N/A,FALSE,"ACQMTRX";"Fees",#N/A,FALSE,"ACQMTRX"}</definedName>
    <definedName name="wrn.All." localSheetId="5" hidden="1">{"Matrix",#N/A,FALSE,"ACQMTRX";"Fees",#N/A,FALSE,"ACQMTRX"}</definedName>
    <definedName name="wrn.All." localSheetId="7" hidden="1">{"Matrix",#N/A,FALSE,"ACQMTRX";"Fees",#N/A,FALSE,"ACQMTRX"}</definedName>
    <definedName name="wrn.All." hidden="1">{"Matrix",#N/A,FALSE,"ACQMTRX";"Fees",#N/A,FALSE,"ACQMTRX"}</definedName>
    <definedName name="wrn.COMPCO." localSheetId="3" hidden="1">{"Page1",#N/A,FALSE,"CompCo";"Page2",#N/A,FALSE,"CompCo"}</definedName>
    <definedName name="wrn.COMPCO." localSheetId="5" hidden="1">{"Page1",#N/A,FALSE,"CompCo";"Page2",#N/A,FALSE,"CompCo"}</definedName>
    <definedName name="wrn.COMPCO." localSheetId="7" hidden="1">{"Page1",#N/A,FALSE,"CompCo";"Page2",#N/A,FALSE,"CompCo"}</definedName>
    <definedName name="wrn.COMPCO." hidden="1">{"Page1",#N/A,FALSE,"CompCo";"Page2",#N/A,FALSE,"CompCo"}</definedName>
    <definedName name="wrn.DCF." localSheetId="3" hidden="1">{"DCF1",#N/A,FALSE,"SIERRA DCF";"MATRIX1",#N/A,FALSE,"SIERRA DCF"}</definedName>
    <definedName name="wrn.DCF." localSheetId="5" hidden="1">{"DCF1",#N/A,FALSE,"SIERRA DCF";"MATRIX1",#N/A,FALSE,"SIERRA DCF"}</definedName>
    <definedName name="wrn.DCF." localSheetId="7" hidden="1">{"DCF1",#N/A,FALSE,"SIERRA DCF";"MATRIX1",#N/A,FALSE,"SIERRA DCF"}</definedName>
    <definedName name="wrn.DCF." hidden="1">{"DCF1",#N/A,FALSE,"SIERRA DCF";"MATRIX1",#N/A,FALSE,"SIERRA DCF"}</definedName>
    <definedName name="wrn.Economic._.Value._.Added._.Analysis." localSheetId="3" hidden="1">{"EVA",#N/A,FALSE,"EVA";"WACC",#N/A,FALSE,"WACC"}</definedName>
    <definedName name="wrn.Economic._.Value._.Added._.Analysis." localSheetId="5" hidden="1">{"EVA",#N/A,FALSE,"EVA";"WACC",#N/A,FALSE,"WACC"}</definedName>
    <definedName name="wrn.Economic._.Value._.Added._.Analysis." localSheetId="7" hidden="1">{"EVA",#N/A,FALSE,"EVA";"WACC",#N/A,FALSE,"WACC"}</definedName>
    <definedName name="wrn.Economic._.Value._.Added._.Analysis." hidden="1">{"EVA",#N/A,FALSE,"EVA";"WACC",#N/A,FALSE,"WACC"}</definedName>
    <definedName name="wrn.full._.report." localSheetId="3"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5"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7"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Leases.xls." localSheetId="3" hidden="1">{#N/A,#N/A,FALSE,"Initial Year";#N/A,#N/A,FALSE,"Historical";#N/A,#N/A,FALSE,"balsheet";#N/A,#N/A,FALSE,"incstate";#N/A,#N/A,FALSE,"Fleet"}</definedName>
    <definedName name="wrn.Leases.xls." localSheetId="5" hidden="1">{#N/A,#N/A,FALSE,"Initial Year";#N/A,#N/A,FALSE,"Historical";#N/A,#N/A,FALSE,"balsheet";#N/A,#N/A,FALSE,"incstate";#N/A,#N/A,FALSE,"Fleet"}</definedName>
    <definedName name="wrn.Leases.xls." localSheetId="7" hidden="1">{#N/A,#N/A,FALSE,"Initial Year";#N/A,#N/A,FALSE,"Historical";#N/A,#N/A,FALSE,"balsheet";#N/A,#N/A,FALSE,"incstate";#N/A,#N/A,FALSE,"Fleet"}</definedName>
    <definedName name="wrn.Leases.xls." hidden="1">{#N/A,#N/A,FALSE,"Initial Year";#N/A,#N/A,FALSE,"Historical";#N/A,#N/A,FALSE,"balsheet";#N/A,#N/A,FALSE,"incstate";#N/A,#N/A,FALSE,"Fleet"}</definedName>
    <definedName name="wrn.OUTPUT." localSheetId="3" hidden="1">{"DCF","UPSIDE CASE",FALSE,"Sheet1";"DCF","BASE CASE",FALSE,"Sheet1";"DCF","DOWNSIDE CASE",FALSE,"Sheet1"}</definedName>
    <definedName name="wrn.OUTPUT." localSheetId="5" hidden="1">{"DCF","UPSIDE CASE",FALSE,"Sheet1";"DCF","BASE CASE",FALSE,"Sheet1";"DCF","DOWNSIDE CASE",FALSE,"Sheet1"}</definedName>
    <definedName name="wrn.OUTPUT." localSheetId="7" hidden="1">{"DCF","UPSIDE CASE",FALSE,"Sheet1";"DCF","BASE CASE",FALSE,"Sheet1";"DCF","DOWNSIDE CASE",FALSE,"Sheet1"}</definedName>
    <definedName name="wrn.OUTPUT." hidden="1">{"DCF","UPSIDE CASE",FALSE,"Sheet1";"DCF","BASE CASE",FALSE,"Sheet1";"DCF","DOWNSIDE CASE",FALSE,"Sheet1"}</definedName>
    <definedName name="wrn.sales." localSheetId="3" hidden="1">{"sales",#N/A,FALSE,"Sales";"sales existing",#N/A,FALSE,"Sales";"sales rd1",#N/A,FALSE,"Sales";"sales rd2",#N/A,FALSE,"Sales"}</definedName>
    <definedName name="wrn.sales." localSheetId="5" hidden="1">{"sales",#N/A,FALSE,"Sales";"sales existing",#N/A,FALSE,"Sales";"sales rd1",#N/A,FALSE,"Sales";"sales rd2",#N/A,FALSE,"Sales"}</definedName>
    <definedName name="wrn.sales." localSheetId="7" hidden="1">{"sales",#N/A,FALSE,"Sales";"sales existing",#N/A,FALSE,"Sales";"sales rd1",#N/A,FALSE,"Sales";"sales rd2",#N/A,FALSE,"Sales"}</definedName>
    <definedName name="wrn.sales." hidden="1">{"sales",#N/A,FALSE,"Sales";"sales existing",#N/A,FALSE,"Sales";"sales rd1",#N/A,FALSE,"Sales";"sales rd2",#N/A,FALSE,"Sales"}</definedName>
    <definedName name="wrn.Trended._.BS." localSheetId="3" hidden="1">{"TrendLiab",#N/A,FALSE,"Balance Sheet";"TrendAssets",#N/A,FALSE,"Balance Sheet"}</definedName>
    <definedName name="wrn.Trended._.BS." localSheetId="5" hidden="1">{"TrendLiab",#N/A,FALSE,"Balance Sheet";"TrendAssets",#N/A,FALSE,"Balance Sheet"}</definedName>
    <definedName name="wrn.Trended._.BS." localSheetId="7" hidden="1">{"TrendLiab",#N/A,FALSE,"Balance Sheet";"TrendAssets",#N/A,FALSE,"Balance Sheet"}</definedName>
    <definedName name="wrn.Trended._.BS." hidden="1">{"TrendLiab",#N/A,FALSE,"Balance Sheet";"TrendAssets",#N/A,FALSE,"Balance Sheet"}</definedName>
    <definedName name="wrn.twxmodel." localSheetId="3" hidden="1">{"twx1",#N/A,FALSE,"twltm.xls";"twx2",#N/A,FALSE,"twltm.xls";"twx3",#N/A,FALSE,"twltm.xls"}</definedName>
    <definedName name="wrn.twxmodel." localSheetId="5" hidden="1">{"twx1",#N/A,FALSE,"twltm.xls";"twx2",#N/A,FALSE,"twltm.xls";"twx3",#N/A,FALSE,"twltm.xls"}</definedName>
    <definedName name="wrn.twxmodel." localSheetId="7" hidden="1">{"twx1",#N/A,FALSE,"twltm.xls";"twx2",#N/A,FALSE,"twltm.xls";"twx3",#N/A,FALSE,"twltm.xls"}</definedName>
    <definedName name="wrn.twxmodel." hidden="1">{"twx1",#N/A,FALSE,"twltm.xls";"twx2",#N/A,FALSE,"twltm.xls";"twx3",#N/A,FALSE,"twltm.xls"}</definedName>
    <definedName name="wvu.cash." localSheetId="3" hidden="1">{TRUE,TRUE,-1.25,-15.5,456.75,279.75,FALSE,FALSE,TRUE,TRUE,0,1,18,1,199,6,3,4,TRUE,TRUE,3,TRUE,1,TRUE,100,"Swvu.cash.","ACwvu.cash.",1,FALSE,FALSE,0.511811023622047,0.511811023622047,0.511811023622047,0.511811023622047,1,"","",FALSE,FALSE,FALSE,FALSE,1,#N/A,1,1,#DIV/0!,FALSE,"Rwvu.cash.",#N/A,FALSE,FALSE}</definedName>
    <definedName name="wvu.cash." localSheetId="5" hidden="1">{TRUE,TRUE,-1.25,-15.5,456.75,279.75,FALSE,FALSE,TRUE,TRUE,0,1,18,1,199,6,3,4,TRUE,TRUE,3,TRUE,1,TRUE,100,"Swvu.cash.","ACwvu.cash.",1,FALSE,FALSE,0.511811023622047,0.511811023622047,0.511811023622047,0.511811023622047,1,"","",FALSE,FALSE,FALSE,FALSE,1,#N/A,1,1,#DIV/0!,FALSE,"Rwvu.cash.",#N/A,FALSE,FALSE}</definedName>
    <definedName name="wvu.cash." localSheetId="7" hidden="1">{TRUE,TRUE,-1.25,-15.5,456.75,279.75,FALSE,FALSE,TRUE,TRUE,0,1,18,1,199,6,3,4,TRUE,TRUE,3,TRUE,1,TRUE,100,"Swvu.cash.","ACwvu.cash.",1,FALSE,FALSE,0.511811023622047,0.511811023622047,0.511811023622047,0.511811023622047,1,"","",FALSE,FALSE,FALSE,FALSE,1,#N/A,1,1,#DIV/0!,FALSE,"Rwvu.cash.",#N/A,FALSE,FALSE}</definedName>
    <definedName name="wvu.cash." hidden="1">{TRUE,TRUE,-1.25,-15.5,456.75,279.75,FALSE,FALSE,TRUE,TRUE,0,1,18,1,199,6,3,4,TRUE,TRUE,3,TRUE,1,TRUE,100,"Swvu.cash.","ACwvu.cash.",1,FALSE,FALSE,0.511811023622047,0.511811023622047,0.511811023622047,0.511811023622047,1,"","",FALSE,FALSE,FALSE,FALSE,1,#N/A,1,1,#DIV/0!,FALSE,"Rwvu.cash.",#N/A,FALSE,FALSE}</definedName>
    <definedName name="wvu.profits." localSheetId="3" hidden="1">{TRUE,TRUE,-1.25,-15.5,456.75,279.75,FALSE,FALSE,TRUE,TRUE,0,1,21,1,127,6,3,4,TRUE,TRUE,3,TRUE,1,TRUE,100,"Swvu.profits.","ACwvu.profits.",1,FALSE,FALSE,0.511811023622047,0.511811023622047,0.511811023622047,0.511811023622047,1,"","",FALSE,FALSE,FALSE,FALSE,1,#N/A,1,1,#DIV/0!,FALSE,"Rwvu.profits.",#N/A,FALSE,FALSE}</definedName>
    <definedName name="wvu.profits." localSheetId="5" hidden="1">{TRUE,TRUE,-1.25,-15.5,456.75,279.75,FALSE,FALSE,TRUE,TRUE,0,1,21,1,127,6,3,4,TRUE,TRUE,3,TRUE,1,TRUE,100,"Swvu.profits.","ACwvu.profits.",1,FALSE,FALSE,0.511811023622047,0.511811023622047,0.511811023622047,0.511811023622047,1,"","",FALSE,FALSE,FALSE,FALSE,1,#N/A,1,1,#DIV/0!,FALSE,"Rwvu.profits.",#N/A,FALSE,FALSE}</definedName>
    <definedName name="wvu.profits." localSheetId="7" hidden="1">{TRUE,TRUE,-1.25,-15.5,456.75,279.75,FALSE,FALSE,TRUE,TRUE,0,1,21,1,127,6,3,4,TRUE,TRUE,3,TRUE,1,TRUE,100,"Swvu.profits.","ACwvu.profits.",1,FALSE,FALSE,0.511811023622047,0.511811023622047,0.511811023622047,0.511811023622047,1,"","",FALSE,FALSE,FALSE,FALSE,1,#N/A,1,1,#DIV/0!,FALSE,"Rwvu.profits.",#N/A,FALSE,FALSE}</definedName>
    <definedName name="wvu.profits." hidden="1">{TRUE,TRUE,-1.25,-15.5,456.75,279.75,FALSE,FALSE,TRUE,TRUE,0,1,21,1,127,6,3,4,TRUE,TRUE,3,TRUE,1,TRUE,100,"Swvu.profits.","ACwvu.profits.",1,FALSE,FALSE,0.511811023622047,0.511811023622047,0.511811023622047,0.511811023622047,1,"","",FALSE,FALSE,FALSE,FALSE,1,#N/A,1,1,#DIV/0!,FALSE,"Rwvu.profits.",#N/A,FALSE,FALSE}</definedName>
    <definedName name="wvu.turnover." localSheetId="3" hidden="1">{TRUE,TRUE,-1.25,-15.5,456.75,279.75,FALSE,FALSE,TRUE,TRUE,0,1,8,1,4,6,3,4,TRUE,TRUE,3,TRUE,1,TRUE,100,"Swvu.turnover.","ACwvu.turnover.",1,FALSE,FALSE,0.511811023622047,0.511811023622047,0.511811023622047,0.511811023622047,1,"","",FALSE,FALSE,FALSE,FALSE,1,#N/A,1,1,#DIV/0!,FALSE,"Rwvu.turnover.",#N/A,FALSE,FALSE}</definedName>
    <definedName name="wvu.turnover." localSheetId="5" hidden="1">{TRUE,TRUE,-1.25,-15.5,456.75,279.75,FALSE,FALSE,TRUE,TRUE,0,1,8,1,4,6,3,4,TRUE,TRUE,3,TRUE,1,TRUE,100,"Swvu.turnover.","ACwvu.turnover.",1,FALSE,FALSE,0.511811023622047,0.511811023622047,0.511811023622047,0.511811023622047,1,"","",FALSE,FALSE,FALSE,FALSE,1,#N/A,1,1,#DIV/0!,FALSE,"Rwvu.turnover.",#N/A,FALSE,FALSE}</definedName>
    <definedName name="wvu.turnover." localSheetId="7" hidden="1">{TRUE,TRUE,-1.25,-15.5,456.75,279.75,FALSE,FALSE,TRUE,TRUE,0,1,8,1,4,6,3,4,TRUE,TRUE,3,TRUE,1,TRUE,100,"Swvu.turnover.","ACwvu.turnover.",1,FALSE,FALSE,0.511811023622047,0.511811023622047,0.511811023622047,0.511811023622047,1,"","",FALSE,FALSE,FALSE,FALSE,1,#N/A,1,1,#DIV/0!,FALSE,"Rwvu.turnover.",#N/A,FALSE,FALSE}</definedName>
    <definedName name="wvu.turnover." hidden="1">{TRUE,TRUE,-1.25,-15.5,456.75,279.75,FALSE,FALSE,TRUE,TRUE,0,1,8,1,4,6,3,4,TRUE,TRUE,3,TRUE,1,TRUE,100,"Swvu.turnover.","ACwvu.turnover.",1,FALSE,FALSE,0.511811023622047,0.511811023622047,0.511811023622047,0.511811023622047,1,"","",FALSE,FALSE,FALSE,FALSE,1,#N/A,1,1,#DIV/0!,FALSE,"Rwvu.turnover.",#N/A,FALSE,FALSE}</definedName>
    <definedName name="xysz" localSheetId="3" hidden="1">{TRUE,TRUE,-1.25,-15.5,456.75,279.75,FALSE,FALSE,TRUE,TRUE,0,1,21,1,127,6,3,4,TRUE,TRUE,3,TRUE,1,TRUE,100,"Swvu.profits.","ACwvu.profits.",1,FALSE,FALSE,0.511811023622047,0.511811023622047,0.511811023622047,0.511811023622047,1,"","",FALSE,FALSE,FALSE,FALSE,1,#N/A,1,1,#DIV/0!,FALSE,"Rwvu.profits.",#N/A,FALSE,FALSE}</definedName>
    <definedName name="xysz" localSheetId="5" hidden="1">{TRUE,TRUE,-1.25,-15.5,456.75,279.75,FALSE,FALSE,TRUE,TRUE,0,1,21,1,127,6,3,4,TRUE,TRUE,3,TRUE,1,TRUE,100,"Swvu.profits.","ACwvu.profits.",1,FALSE,FALSE,0.511811023622047,0.511811023622047,0.511811023622047,0.511811023622047,1,"","",FALSE,FALSE,FALSE,FALSE,1,#N/A,1,1,#DIV/0!,FALSE,"Rwvu.profits.",#N/A,FALSE,FALSE}</definedName>
    <definedName name="xysz" localSheetId="7" hidden="1">{TRUE,TRUE,-1.25,-15.5,456.75,279.75,FALSE,FALSE,TRUE,TRUE,0,1,21,1,127,6,3,4,TRUE,TRUE,3,TRUE,1,TRUE,100,"Swvu.profits.","ACwvu.profits.",1,FALSE,FALSE,0.511811023622047,0.511811023622047,0.511811023622047,0.511811023622047,1,"","",FALSE,FALSE,FALSE,FALSE,1,#N/A,1,1,#DIV/0!,FALSE,"Rwvu.profits.",#N/A,FALSE,FALSE}</definedName>
    <definedName name="xysz" hidden="1">{TRUE,TRUE,-1.25,-15.5,456.75,279.75,FALSE,FALSE,TRUE,TRUE,0,1,21,1,127,6,3,4,TRUE,TRUE,3,TRUE,1,TRUE,100,"Swvu.profits.","ACwvu.profits.",1,FALSE,FALSE,0.511811023622047,0.511811023622047,0.511811023622047,0.511811023622047,1,"","",FALSE,FALSE,FALSE,FALSE,1,#N/A,1,1,#DIV/0!,FALSE,"Rwvu.profits.",#N/A,FALSE,FALSE}</definedName>
    <definedName name="yioyio" localSheetId="3" hidden="1">{"Page1",#N/A,FALSE,"CompCo";"Page2",#N/A,FALSE,"CompCo"}</definedName>
    <definedName name="yioyio" localSheetId="5" hidden="1">{"Page1",#N/A,FALSE,"CompCo";"Page2",#N/A,FALSE,"CompCo"}</definedName>
    <definedName name="yioyio" localSheetId="7" hidden="1">{"Page1",#N/A,FALSE,"CompCo";"Page2",#N/A,FALSE,"CompCo"}</definedName>
    <definedName name="yioyio" hidden="1">{"Page1",#N/A,FALSE,"CompCo";"Page2",#N/A,FALSE,"CompCo"}</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Q22" i="64" l="1"/>
  <c r="BQ14" i="64"/>
  <c r="AY22" i="64"/>
  <c r="AZ22" i="64"/>
  <c r="BA22" i="64"/>
  <c r="BB22" i="64"/>
  <c r="BC22" i="64"/>
  <c r="AS22" i="64"/>
  <c r="AT22" i="64"/>
  <c r="AU22" i="64"/>
  <c r="AV22" i="64"/>
  <c r="AW22" i="64"/>
  <c r="AX22" i="64"/>
  <c r="AM22" i="64"/>
  <c r="AN22" i="64"/>
  <c r="AO22" i="64"/>
  <c r="AP22" i="64"/>
  <c r="AQ22" i="64"/>
  <c r="AR22" i="64"/>
  <c r="AG22" i="64"/>
  <c r="AH22" i="64"/>
  <c r="AI22" i="64"/>
  <c r="AJ22" i="64"/>
  <c r="AK22" i="64"/>
  <c r="AL22" i="64"/>
  <c r="R22" i="64"/>
  <c r="S22" i="64"/>
  <c r="AC22" i="64"/>
  <c r="AD22" i="64"/>
  <c r="AE22" i="64"/>
  <c r="AF22" i="64"/>
  <c r="L22" i="64"/>
  <c r="M22" i="64"/>
  <c r="N22" i="64"/>
  <c r="O22" i="64"/>
  <c r="P22" i="64"/>
  <c r="Q22" i="64"/>
  <c r="F22" i="64"/>
  <c r="G22" i="64"/>
  <c r="H22" i="64"/>
  <c r="I22" i="64"/>
  <c r="J22" i="64"/>
  <c r="K22" i="64"/>
  <c r="T22" i="64"/>
  <c r="U22" i="64"/>
  <c r="V22" i="64"/>
  <c r="W22" i="64"/>
  <c r="D22" i="64"/>
  <c r="E22" i="64"/>
  <c r="X14" i="64"/>
  <c r="U52" i="87"/>
  <c r="W52" i="87"/>
  <c r="X52" i="87"/>
  <c r="S52" i="87"/>
  <c r="T52" i="87"/>
  <c r="Q52" i="87"/>
  <c r="R52" i="87"/>
  <c r="O52" i="87"/>
  <c r="P52" i="87"/>
  <c r="M52" i="87"/>
  <c r="N52" i="87"/>
  <c r="K52" i="87"/>
  <c r="L52" i="87"/>
  <c r="I52" i="87"/>
  <c r="J52" i="87"/>
  <c r="G52" i="87"/>
  <c r="H52" i="87"/>
  <c r="S10" i="87" a="1"/>
  <c r="S10" i="87"/>
  <c r="T10" i="87" a="1"/>
  <c r="T10" i="87"/>
  <c r="U10" i="87" a="1"/>
  <c r="U10" i="87"/>
  <c r="O10" i="87" a="1"/>
  <c r="O10" i="87"/>
  <c r="P10" i="87" a="1"/>
  <c r="P10" i="87"/>
  <c r="Q10" i="87" a="1"/>
  <c r="Q10" i="87"/>
  <c r="R10" i="87" a="1"/>
  <c r="R10" i="87"/>
  <c r="K10" i="87" a="1"/>
  <c r="K10" i="87"/>
  <c r="L10" i="87" a="1"/>
  <c r="L10" i="87"/>
  <c r="M10" i="87" a="1"/>
  <c r="M10" i="87"/>
  <c r="N10" i="87" a="1"/>
  <c r="N10" i="87"/>
  <c r="G10" i="87" a="1"/>
  <c r="G10" i="87"/>
  <c r="H10" i="87" a="1"/>
  <c r="H10" i="87"/>
  <c r="I10" i="87" a="1"/>
  <c r="I10" i="87"/>
  <c r="J10" i="87" a="1"/>
  <c r="J10" i="87"/>
  <c r="D107" i="94"/>
  <c r="D103" i="94"/>
  <c r="D77" i="94"/>
  <c r="AE2" i="95"/>
  <c r="D7" i="64"/>
  <c r="E6" i="64"/>
  <c r="E7" i="64"/>
  <c r="F6" i="64"/>
  <c r="F7" i="64" s="1"/>
  <c r="AC7" i="64"/>
  <c r="AD6" i="64" s="1"/>
  <c r="AD7" i="64" s="1"/>
  <c r="BQ6" i="64"/>
  <c r="Y14" i="64"/>
  <c r="Z14" i="64" s="1"/>
  <c r="X15" i="64"/>
  <c r="W17" i="64"/>
  <c r="X22" i="64"/>
  <c r="X23" i="64" s="1"/>
  <c r="W18" i="64"/>
  <c r="BD22" i="64"/>
  <c r="D23" i="64"/>
  <c r="E23" i="64"/>
  <c r="F23" i="64"/>
  <c r="G23" i="64"/>
  <c r="H23" i="64"/>
  <c r="I23" i="64"/>
  <c r="J23" i="64"/>
  <c r="K23" i="64"/>
  <c r="L23" i="64"/>
  <c r="M23" i="64"/>
  <c r="N23" i="64"/>
  <c r="O23" i="64"/>
  <c r="P23" i="64"/>
  <c r="Q23" i="64"/>
  <c r="R23" i="64"/>
  <c r="S23" i="64"/>
  <c r="T23" i="64"/>
  <c r="U23" i="64"/>
  <c r="V23" i="64"/>
  <c r="W23" i="64"/>
  <c r="AC23" i="64"/>
  <c r="AD23" i="64"/>
  <c r="AE23" i="64"/>
  <c r="AF23" i="64"/>
  <c r="AG23" i="64"/>
  <c r="AH23" i="64"/>
  <c r="AI23" i="64"/>
  <c r="AJ23" i="64"/>
  <c r="AK23" i="64"/>
  <c r="AL23" i="64"/>
  <c r="AM23" i="64"/>
  <c r="AN23" i="64"/>
  <c r="AO23" i="64"/>
  <c r="AP23" i="64"/>
  <c r="AQ23" i="64"/>
  <c r="AR23" i="64"/>
  <c r="AS23" i="64"/>
  <c r="AT23" i="64"/>
  <c r="AU23" i="64"/>
  <c r="AV23" i="64"/>
  <c r="AW23" i="64"/>
  <c r="AX23" i="64"/>
  <c r="AY23" i="64"/>
  <c r="AZ23" i="64"/>
  <c r="BA23" i="64"/>
  <c r="BB23" i="64"/>
  <c r="BC23" i="64"/>
  <c r="BD23" i="64"/>
  <c r="P15" i="107"/>
  <c r="M22" i="107"/>
  <c r="M23" i="107"/>
  <c r="M24" i="107"/>
  <c r="M25" i="107"/>
  <c r="M26" i="107"/>
  <c r="N26" i="107"/>
  <c r="O26" i="107"/>
  <c r="O34" i="107" s="1"/>
  <c r="M27" i="107"/>
  <c r="N27" i="107"/>
  <c r="N34" i="107" s="1"/>
  <c r="O27" i="107"/>
  <c r="M28" i="107"/>
  <c r="M29" i="107"/>
  <c r="M30" i="107"/>
  <c r="N30" i="107"/>
  <c r="O30" i="107"/>
  <c r="M31" i="107"/>
  <c r="M32" i="107"/>
  <c r="N32" i="107"/>
  <c r="O32" i="107"/>
  <c r="M33" i="107"/>
  <c r="I43" i="107"/>
  <c r="I44" i="107"/>
  <c r="I46" i="107"/>
  <c r="K46" i="107" s="1"/>
  <c r="J46" i="107"/>
  <c r="I47" i="107"/>
  <c r="I50" i="107" s="1"/>
  <c r="I53" i="107" s="1"/>
  <c r="I56" i="107" s="1"/>
  <c r="I68" i="107" s="1"/>
  <c r="K68" i="107" s="1"/>
  <c r="J47" i="107"/>
  <c r="J50" i="107" s="1"/>
  <c r="J53" i="107" s="1"/>
  <c r="J56" i="107" s="1"/>
  <c r="J68" i="107" s="1"/>
  <c r="I48" i="107"/>
  <c r="J48" i="107"/>
  <c r="K48" i="107" s="1"/>
  <c r="I49" i="107"/>
  <c r="J49" i="107"/>
  <c r="K49" i="107"/>
  <c r="I51" i="107"/>
  <c r="K51" i="107" s="1"/>
  <c r="J51" i="107"/>
  <c r="I52" i="107"/>
  <c r="J52" i="107"/>
  <c r="K52" i="107"/>
  <c r="I54" i="107"/>
  <c r="J54" i="107"/>
  <c r="K54" i="107" s="1"/>
  <c r="I55" i="107"/>
  <c r="J55" i="107"/>
  <c r="K55" i="107"/>
  <c r="I58" i="107"/>
  <c r="I64" i="107" s="1"/>
  <c r="K58" i="107"/>
  <c r="I59" i="107"/>
  <c r="K59" i="107" s="1"/>
  <c r="I60" i="107"/>
  <c r="K60" i="107"/>
  <c r="I61" i="107"/>
  <c r="K61" i="107" s="1"/>
  <c r="I62" i="107"/>
  <c r="K62" i="107"/>
  <c r="I63" i="107"/>
  <c r="K63" i="107" s="1"/>
  <c r="J64" i="107"/>
  <c r="I66" i="107"/>
  <c r="J66" i="107"/>
  <c r="K66" i="107" s="1"/>
  <c r="J67" i="107"/>
  <c r="K67" i="107" s="1"/>
  <c r="G2" i="82"/>
  <c r="E7" i="82"/>
  <c r="F12" i="82"/>
  <c r="G12" i="82"/>
  <c r="F14" i="82"/>
  <c r="F16" i="82" s="1"/>
  <c r="F21" i="82" s="1"/>
  <c r="G14" i="82"/>
  <c r="G16" i="82"/>
  <c r="G21" i="82" s="1"/>
  <c r="F18" i="82"/>
  <c r="G18" i="82"/>
  <c r="F20" i="82"/>
  <c r="F22" i="82" s="1"/>
  <c r="F24" i="82" s="1"/>
  <c r="F27" i="82" s="1"/>
  <c r="G20" i="82"/>
  <c r="F26" i="82"/>
  <c r="G26" i="82"/>
  <c r="F33" i="82"/>
  <c r="G33" i="82"/>
  <c r="G35" i="82" s="1"/>
  <c r="G37" i="82" s="1"/>
  <c r="G38" i="82" s="1"/>
  <c r="G40" i="82" s="1"/>
  <c r="F35" i="82"/>
  <c r="G36" i="82"/>
  <c r="F37" i="82"/>
  <c r="F38" i="82" s="1"/>
  <c r="F40" i="82" s="1"/>
  <c r="J2" i="112"/>
  <c r="D19" i="112"/>
  <c r="D43" i="112" s="1"/>
  <c r="E19" i="112"/>
  <c r="F19" i="112"/>
  <c r="F43" i="112" s="1"/>
  <c r="G19" i="112"/>
  <c r="H19" i="112"/>
  <c r="D31" i="112"/>
  <c r="E31" i="112"/>
  <c r="F31" i="112"/>
  <c r="G31" i="112"/>
  <c r="H31" i="112"/>
  <c r="I32" i="112"/>
  <c r="J32" i="112"/>
  <c r="D35" i="112"/>
  <c r="E35" i="112"/>
  <c r="F35" i="112"/>
  <c r="G35" i="112"/>
  <c r="H35" i="112"/>
  <c r="I35" i="112"/>
  <c r="J35" i="112"/>
  <c r="D36" i="112"/>
  <c r="E36" i="112"/>
  <c r="F36" i="112"/>
  <c r="G36" i="112"/>
  <c r="H36" i="112"/>
  <c r="I36" i="112"/>
  <c r="J36" i="112"/>
  <c r="D37" i="112"/>
  <c r="E37" i="112"/>
  <c r="F37" i="112"/>
  <c r="G37" i="112"/>
  <c r="H37" i="112"/>
  <c r="I37" i="112"/>
  <c r="J37" i="112"/>
  <c r="D38" i="112"/>
  <c r="E38" i="112"/>
  <c r="F38" i="112"/>
  <c r="G38" i="112"/>
  <c r="H38" i="112"/>
  <c r="I38" i="112"/>
  <c r="J38" i="112"/>
  <c r="D39" i="112"/>
  <c r="E39" i="112"/>
  <c r="F39" i="112"/>
  <c r="G39" i="112"/>
  <c r="H39" i="112"/>
  <c r="I39" i="112"/>
  <c r="J39" i="112"/>
  <c r="D40" i="112"/>
  <c r="E40" i="112"/>
  <c r="F40" i="112"/>
  <c r="G40" i="112"/>
  <c r="H40" i="112"/>
  <c r="I40" i="112"/>
  <c r="J40" i="112"/>
  <c r="D41" i="112"/>
  <c r="E41" i="112"/>
  <c r="F41" i="112"/>
  <c r="G41" i="112"/>
  <c r="H41" i="112"/>
  <c r="I41" i="112"/>
  <c r="J41" i="112"/>
  <c r="D42" i="112"/>
  <c r="E42" i="112"/>
  <c r="F42" i="112"/>
  <c r="G42" i="112"/>
  <c r="H42" i="112"/>
  <c r="I42" i="112"/>
  <c r="J42" i="112"/>
  <c r="E43" i="112"/>
  <c r="G43" i="112"/>
  <c r="H43" i="112"/>
  <c r="I43" i="112"/>
  <c r="J43" i="112"/>
  <c r="H44" i="112"/>
  <c r="B52" i="112"/>
  <c r="B104" i="112" s="1"/>
  <c r="B53" i="112"/>
  <c r="B105" i="112" s="1"/>
  <c r="B54" i="112"/>
  <c r="B106" i="112" s="1"/>
  <c r="B55" i="112"/>
  <c r="B107" i="112" s="1"/>
  <c r="B56" i="112"/>
  <c r="B108" i="112" s="1"/>
  <c r="B57" i="112"/>
  <c r="B109" i="112" s="1"/>
  <c r="B58" i="112"/>
  <c r="B110" i="112" s="1"/>
  <c r="B59" i="112"/>
  <c r="B111" i="112" s="1"/>
  <c r="B60" i="112"/>
  <c r="B112" i="112" s="1"/>
  <c r="B64" i="112"/>
  <c r="B65" i="112"/>
  <c r="B66" i="112"/>
  <c r="B67" i="112"/>
  <c r="B68" i="112"/>
  <c r="B69" i="112"/>
  <c r="B70" i="112"/>
  <c r="B71" i="112"/>
  <c r="B72" i="112"/>
  <c r="I81" i="112"/>
  <c r="D124" i="112"/>
  <c r="D125" i="112" s="1"/>
  <c r="E126" i="112" s="1"/>
  <c r="E124" i="112"/>
  <c r="E125" i="112" s="1"/>
  <c r="F124" i="112"/>
  <c r="G124" i="112"/>
  <c r="G125" i="112" s="1"/>
  <c r="H124" i="112"/>
  <c r="H125" i="112" s="1"/>
  <c r="I124" i="112"/>
  <c r="J124" i="112"/>
  <c r="F125" i="112"/>
  <c r="I125" i="112"/>
  <c r="I126" i="112" s="1"/>
  <c r="J125" i="112"/>
  <c r="G126" i="112"/>
  <c r="D131" i="112"/>
  <c r="D132" i="112" s="1"/>
  <c r="D133" i="112" s="1"/>
  <c r="E131" i="112"/>
  <c r="F131" i="112"/>
  <c r="G131" i="112"/>
  <c r="G132" i="112" s="1"/>
  <c r="H131" i="112"/>
  <c r="H132" i="112" s="1"/>
  <c r="H133" i="112" s="1"/>
  <c r="I131" i="112"/>
  <c r="I132" i="112" s="1"/>
  <c r="I133" i="112" s="1"/>
  <c r="J131" i="112"/>
  <c r="E132" i="112"/>
  <c r="F132" i="112"/>
  <c r="J132" i="112"/>
  <c r="J133" i="112" s="1"/>
  <c r="F133" i="112"/>
  <c r="D145" i="112"/>
  <c r="E145" i="112"/>
  <c r="F145" i="112"/>
  <c r="F146" i="112" s="1"/>
  <c r="G145" i="112"/>
  <c r="H145" i="112"/>
  <c r="H146" i="112" s="1"/>
  <c r="I145" i="112"/>
  <c r="J145" i="112"/>
  <c r="E146" i="112"/>
  <c r="I146" i="112"/>
  <c r="J146" i="112"/>
  <c r="D150" i="112"/>
  <c r="E150" i="112"/>
  <c r="E151" i="112" s="1"/>
  <c r="F150" i="112"/>
  <c r="G150" i="112"/>
  <c r="H150" i="112"/>
  <c r="I150" i="112"/>
  <c r="J150" i="112"/>
  <c r="J151" i="112" s="1"/>
  <c r="D151" i="112"/>
  <c r="G151" i="112"/>
  <c r="I151" i="112"/>
  <c r="E155" i="112"/>
  <c r="E161" i="112"/>
  <c r="F161" i="112"/>
  <c r="G161" i="112"/>
  <c r="H161" i="112"/>
  <c r="I161" i="112"/>
  <c r="J161" i="112"/>
  <c r="D164" i="112"/>
  <c r="E164" i="112"/>
  <c r="F164" i="112"/>
  <c r="G164" i="112"/>
  <c r="H164" i="112"/>
  <c r="I164" i="112"/>
  <c r="J164" i="112"/>
  <c r="H168" i="112"/>
  <c r="D176" i="112"/>
  <c r="E176" i="112"/>
  <c r="F176" i="112"/>
  <c r="G176" i="112"/>
  <c r="G177" i="112" s="1"/>
  <c r="H176" i="112"/>
  <c r="H177" i="112" s="1"/>
  <c r="I176" i="112"/>
  <c r="J176" i="112"/>
  <c r="J177" i="112" s="1"/>
  <c r="J187" i="112" s="1"/>
  <c r="J188" i="112" s="1"/>
  <c r="D177" i="112"/>
  <c r="E177" i="112"/>
  <c r="E178" i="112" s="1"/>
  <c r="F177" i="112"/>
  <c r="F178" i="112" s="1"/>
  <c r="I177" i="112"/>
  <c r="D183" i="112"/>
  <c r="E183" i="112"/>
  <c r="F183" i="112"/>
  <c r="F184" i="112" s="1"/>
  <c r="F185" i="112" s="1"/>
  <c r="G183" i="112"/>
  <c r="G184" i="112" s="1"/>
  <c r="G185" i="112" s="1"/>
  <c r="H183" i="112"/>
  <c r="H184" i="112" s="1"/>
  <c r="H185" i="112" s="1"/>
  <c r="I183" i="112"/>
  <c r="I184" i="112" s="1"/>
  <c r="J183" i="112"/>
  <c r="D184" i="112"/>
  <c r="E185" i="112" s="1"/>
  <c r="E184" i="112"/>
  <c r="J184" i="112"/>
  <c r="J185" i="112" s="1"/>
  <c r="D200" i="112"/>
  <c r="D201" i="112" s="1"/>
  <c r="D211" i="112" s="1"/>
  <c r="D212" i="112" s="1"/>
  <c r="E200" i="112"/>
  <c r="E201" i="112" s="1"/>
  <c r="F200" i="112"/>
  <c r="F201" i="112" s="1"/>
  <c r="G200" i="112"/>
  <c r="H200" i="112"/>
  <c r="H201" i="112" s="1"/>
  <c r="H211" i="112" s="1"/>
  <c r="H212" i="112" s="1"/>
  <c r="I200" i="112"/>
  <c r="I201" i="112" s="1"/>
  <c r="J200" i="112"/>
  <c r="G201" i="112"/>
  <c r="G211" i="112" s="1"/>
  <c r="J201" i="112"/>
  <c r="H202" i="112"/>
  <c r="I202" i="112"/>
  <c r="D207" i="112"/>
  <c r="D208" i="112" s="1"/>
  <c r="E207" i="112"/>
  <c r="E208" i="112" s="1"/>
  <c r="F207" i="112"/>
  <c r="F208" i="112" s="1"/>
  <c r="F209" i="112" s="1"/>
  <c r="G207" i="112"/>
  <c r="G208" i="112" s="1"/>
  <c r="H207" i="112"/>
  <c r="I207" i="112"/>
  <c r="I208" i="112" s="1"/>
  <c r="J207" i="112"/>
  <c r="H208" i="112"/>
  <c r="J208" i="112"/>
  <c r="E209" i="112"/>
  <c r="H209" i="112"/>
  <c r="E211" i="112"/>
  <c r="K2" i="127"/>
  <c r="E10" i="127"/>
  <c r="I10" i="127" s="1"/>
  <c r="I17" i="127" s="1"/>
  <c r="I11" i="127"/>
  <c r="E12" i="127"/>
  <c r="I12" i="127"/>
  <c r="E13" i="127"/>
  <c r="I13" i="127" s="1"/>
  <c r="E14" i="127"/>
  <c r="I14" i="127"/>
  <c r="I15" i="127"/>
  <c r="E16" i="127"/>
  <c r="I16" i="127"/>
  <c r="G17" i="127"/>
  <c r="W2" i="69"/>
  <c r="N7" i="69"/>
  <c r="O7" i="69"/>
  <c r="P7" i="69"/>
  <c r="Q7" i="69"/>
  <c r="R7" i="69"/>
  <c r="S7" i="69"/>
  <c r="T7" i="69"/>
  <c r="U7" i="69"/>
  <c r="V7" i="69"/>
  <c r="W7" i="69"/>
  <c r="E8" i="69"/>
  <c r="E9" i="69"/>
  <c r="E10" i="69"/>
  <c r="E38" i="69" s="1"/>
  <c r="F9" i="69"/>
  <c r="G8" i="69" s="1"/>
  <c r="E11" i="69"/>
  <c r="F10" i="69"/>
  <c r="G9" i="69" s="1"/>
  <c r="H8" i="69"/>
  <c r="E12" i="69"/>
  <c r="J12" i="69" s="1"/>
  <c r="F11" i="69"/>
  <c r="G10" i="69"/>
  <c r="H9" i="69" s="1"/>
  <c r="I8" i="69" s="1"/>
  <c r="D45" i="69"/>
  <c r="N8" i="69" s="1"/>
  <c r="D46" i="69"/>
  <c r="E13" i="69"/>
  <c r="E14" i="69"/>
  <c r="E15" i="69"/>
  <c r="E16" i="69"/>
  <c r="E17" i="69"/>
  <c r="F16" i="69" s="1"/>
  <c r="E18" i="69"/>
  <c r="E19" i="69"/>
  <c r="E20" i="69"/>
  <c r="E21" i="69"/>
  <c r="J21" i="69" s="1"/>
  <c r="E22" i="69"/>
  <c r="E23" i="69"/>
  <c r="E24" i="69"/>
  <c r="E25" i="69"/>
  <c r="E26" i="69"/>
  <c r="E27" i="69"/>
  <c r="J27" i="69" s="1"/>
  <c r="E28" i="69"/>
  <c r="J28" i="69" s="1"/>
  <c r="E29" i="69"/>
  <c r="F12" i="69"/>
  <c r="G11" i="69" s="1"/>
  <c r="H10" i="69" s="1"/>
  <c r="F13" i="69"/>
  <c r="F14" i="69"/>
  <c r="G13" i="69" s="1"/>
  <c r="F17" i="69"/>
  <c r="F18" i="69"/>
  <c r="F19" i="69"/>
  <c r="G18" i="69" s="1"/>
  <c r="F20" i="69"/>
  <c r="F21" i="69"/>
  <c r="F22" i="69"/>
  <c r="G21" i="69" s="1"/>
  <c r="H20" i="69" s="1"/>
  <c r="I19" i="69" s="1"/>
  <c r="F25" i="69"/>
  <c r="F26" i="69"/>
  <c r="G25" i="69" s="1"/>
  <c r="H24" i="69" s="1"/>
  <c r="I23" i="69" s="1"/>
  <c r="F27" i="69"/>
  <c r="G26" i="69" s="1"/>
  <c r="F28" i="69"/>
  <c r="G27" i="69" s="1"/>
  <c r="G12" i="69"/>
  <c r="G15" i="69"/>
  <c r="H14" i="69" s="1"/>
  <c r="I13" i="69" s="1"/>
  <c r="G16" i="69"/>
  <c r="H15" i="69" s="1"/>
  <c r="I14" i="69" s="1"/>
  <c r="G17" i="69"/>
  <c r="H16" i="69" s="1"/>
  <c r="I15" i="69" s="1"/>
  <c r="G24" i="69"/>
  <c r="H23" i="69" s="1"/>
  <c r="I22" i="69" s="1"/>
  <c r="H17" i="69"/>
  <c r="I16" i="69" s="1"/>
  <c r="H25" i="69"/>
  <c r="I24" i="69" s="1"/>
  <c r="H26" i="69"/>
  <c r="I25" i="69" s="1"/>
  <c r="J11" i="69"/>
  <c r="J18" i="69"/>
  <c r="J22" i="69"/>
  <c r="J26" i="69"/>
  <c r="K11" i="69"/>
  <c r="K26" i="69"/>
  <c r="L9" i="69"/>
  <c r="L26" i="69"/>
  <c r="N10" i="69"/>
  <c r="Y10" i="69"/>
  <c r="Z10" i="69"/>
  <c r="AC10" i="69" s="1"/>
  <c r="AD10" i="69" s="1"/>
  <c r="AA10" i="69"/>
  <c r="AB10" i="69"/>
  <c r="Y11" i="69"/>
  <c r="Z11" i="69"/>
  <c r="AC11" i="69" s="1"/>
  <c r="AD11" i="69" s="1"/>
  <c r="AA11" i="69"/>
  <c r="AB11" i="69"/>
  <c r="Y12" i="69"/>
  <c r="Z12" i="69"/>
  <c r="AA12" i="69"/>
  <c r="AB12" i="69"/>
  <c r="AC12" i="69"/>
  <c r="AD12" i="69" s="1"/>
  <c r="Y13" i="69"/>
  <c r="Z13" i="69"/>
  <c r="AA13" i="69"/>
  <c r="AB13" i="69"/>
  <c r="AC13" i="69"/>
  <c r="AD13" i="69"/>
  <c r="N14" i="69"/>
  <c r="Y14" i="69"/>
  <c r="Z14" i="69"/>
  <c r="AA14" i="69"/>
  <c r="AB14" i="69"/>
  <c r="AC14" i="69"/>
  <c r="AD14" i="69" s="1"/>
  <c r="N15" i="69"/>
  <c r="Y15" i="69"/>
  <c r="Z15" i="69"/>
  <c r="AC15" i="69" s="1"/>
  <c r="AD15" i="69" s="1"/>
  <c r="AA15" i="69"/>
  <c r="AB15" i="69"/>
  <c r="N16" i="69"/>
  <c r="Y16" i="69"/>
  <c r="Z16" i="69"/>
  <c r="AC16" i="69" s="1"/>
  <c r="AA16" i="69"/>
  <c r="AB16" i="69"/>
  <c r="AD16" i="69"/>
  <c r="N17" i="69"/>
  <c r="Y17" i="69"/>
  <c r="Z17" i="69"/>
  <c r="AC17" i="69" s="1"/>
  <c r="AD17" i="69" s="1"/>
  <c r="AA17" i="69"/>
  <c r="AB17" i="69"/>
  <c r="N18" i="69"/>
  <c r="Y18" i="69"/>
  <c r="Z18" i="69"/>
  <c r="AA18" i="69"/>
  <c r="AB18" i="69"/>
  <c r="AC18" i="69"/>
  <c r="AD18" i="69" s="1"/>
  <c r="Y19" i="69"/>
  <c r="Z19" i="69"/>
  <c r="AA19" i="69"/>
  <c r="AB19" i="69"/>
  <c r="AC19" i="69"/>
  <c r="AD19" i="69" s="1"/>
  <c r="Y20" i="69"/>
  <c r="Z20" i="69"/>
  <c r="AA20" i="69"/>
  <c r="AB20" i="69"/>
  <c r="AC20" i="69"/>
  <c r="AD20" i="69" s="1"/>
  <c r="Y21" i="69"/>
  <c r="Z21" i="69"/>
  <c r="AA21" i="69"/>
  <c r="AB21" i="69"/>
  <c r="AC21" i="69"/>
  <c r="AD21" i="69" s="1"/>
  <c r="Y22" i="69"/>
  <c r="Z22" i="69"/>
  <c r="AA22" i="69"/>
  <c r="AB22" i="69"/>
  <c r="AC22" i="69"/>
  <c r="AD22" i="69" s="1"/>
  <c r="Y23" i="69"/>
  <c r="Z23" i="69"/>
  <c r="AA23" i="69"/>
  <c r="AB23" i="69"/>
  <c r="AC23" i="69"/>
  <c r="AD23" i="69" s="1"/>
  <c r="Y24" i="69"/>
  <c r="Z24" i="69"/>
  <c r="AA24" i="69"/>
  <c r="AB24" i="69"/>
  <c r="AC24" i="69"/>
  <c r="AD24" i="69" s="1"/>
  <c r="N25" i="69"/>
  <c r="Y25" i="69"/>
  <c r="Z25" i="69"/>
  <c r="AC25" i="69" s="1"/>
  <c r="AD25" i="69" s="1"/>
  <c r="AA25" i="69"/>
  <c r="AB25" i="69"/>
  <c r="E30" i="69"/>
  <c r="F29" i="69"/>
  <c r="G28" i="69" s="1"/>
  <c r="Y26" i="69"/>
  <c r="Z26" i="69"/>
  <c r="AA26" i="69"/>
  <c r="AB26" i="69"/>
  <c r="AC26" i="69"/>
  <c r="AD26" i="69" s="1"/>
  <c r="E31" i="69"/>
  <c r="F30" i="69" s="1"/>
  <c r="N27" i="69"/>
  <c r="Y27" i="69"/>
  <c r="Z27" i="69"/>
  <c r="AA27" i="69"/>
  <c r="AB27" i="69"/>
  <c r="AC27" i="69"/>
  <c r="AD27" i="69"/>
  <c r="E32" i="69"/>
  <c r="E41" i="69" s="1"/>
  <c r="N28" i="69"/>
  <c r="Y28" i="69"/>
  <c r="Z28" i="69"/>
  <c r="AA28" i="69"/>
  <c r="AC28" i="69" s="1"/>
  <c r="AB28" i="69"/>
  <c r="AD28" i="69"/>
  <c r="N29" i="69"/>
  <c r="Y29" i="69"/>
  <c r="Z29" i="69"/>
  <c r="AA29" i="69"/>
  <c r="AB29" i="69"/>
  <c r="N30" i="69"/>
  <c r="Y30" i="69"/>
  <c r="Z30" i="69"/>
  <c r="AC30" i="69" s="1"/>
  <c r="AD30" i="69" s="1"/>
  <c r="AA30" i="69"/>
  <c r="AB30" i="69"/>
  <c r="N31" i="69"/>
  <c r="Y31" i="69"/>
  <c r="Z31" i="69"/>
  <c r="AA31" i="69"/>
  <c r="AB31" i="69"/>
  <c r="AC31" i="69"/>
  <c r="AD31" i="69" s="1"/>
  <c r="N32" i="69"/>
  <c r="Y32" i="69"/>
  <c r="Z32" i="69"/>
  <c r="AA32" i="69"/>
  <c r="AB32" i="69"/>
  <c r="AC32" i="69"/>
  <c r="AD32" i="69" s="1"/>
  <c r="N33" i="69"/>
  <c r="Y33" i="69"/>
  <c r="Z33" i="69"/>
  <c r="AA33" i="69"/>
  <c r="AB33" i="69"/>
  <c r="AC33" i="69"/>
  <c r="AD33" i="69" s="1"/>
  <c r="N34" i="69"/>
  <c r="Y34" i="69"/>
  <c r="Z34" i="69"/>
  <c r="AA34" i="69"/>
  <c r="AB34" i="69"/>
  <c r="AC34" i="69"/>
  <c r="AD34" i="69" s="1"/>
  <c r="D37" i="69"/>
  <c r="E37" i="69"/>
  <c r="D38" i="69"/>
  <c r="D41" i="69"/>
  <c r="D42" i="69"/>
  <c r="E42" i="69"/>
  <c r="D47" i="69"/>
  <c r="E47" i="69"/>
  <c r="E48" i="69" s="1"/>
  <c r="D48" i="69"/>
  <c r="F52" i="69"/>
  <c r="J52" i="69"/>
  <c r="K52" i="69"/>
  <c r="L52" i="69"/>
  <c r="M52" i="69"/>
  <c r="G2" i="106"/>
  <c r="F8" i="106"/>
  <c r="G8" i="106" s="1"/>
  <c r="E10" i="106"/>
  <c r="E13" i="106" s="1"/>
  <c r="F11" i="106"/>
  <c r="F10" i="106" s="1"/>
  <c r="E14" i="106"/>
  <c r="D19" i="106"/>
  <c r="F25" i="106"/>
  <c r="F26" i="106" s="1"/>
  <c r="G26" i="106" s="1"/>
  <c r="G25" i="106"/>
  <c r="E26" i="106"/>
  <c r="H2" i="84"/>
  <c r="D8" i="84"/>
  <c r="C8" i="84" s="1"/>
  <c r="B9" i="84"/>
  <c r="E9" i="84"/>
  <c r="F9" i="84"/>
  <c r="F10" i="84" s="1"/>
  <c r="F11" i="84" s="1"/>
  <c r="F12" i="84" s="1"/>
  <c r="F13" i="84" s="1"/>
  <c r="F14" i="84" s="1"/>
  <c r="F15" i="84" s="1"/>
  <c r="F16" i="84" s="1"/>
  <c r="F17" i="84" s="1"/>
  <c r="B10" i="84"/>
  <c r="E10" i="84"/>
  <c r="B11" i="84"/>
  <c r="B12" i="84" s="1"/>
  <c r="E25" i="84"/>
  <c r="F25" i="84"/>
  <c r="G25" i="84" s="1"/>
  <c r="H25" i="84" s="1"/>
  <c r="C27" i="84"/>
  <c r="C28" i="84" s="1"/>
  <c r="AH2" i="72"/>
  <c r="O20" i="72"/>
  <c r="P20" i="72"/>
  <c r="Q20" i="72"/>
  <c r="R20" i="72"/>
  <c r="S20" i="72"/>
  <c r="T20" i="72"/>
  <c r="U20" i="72"/>
  <c r="V20" i="72"/>
  <c r="W20" i="72"/>
  <c r="X20" i="72"/>
  <c r="Y20" i="72"/>
  <c r="Z20" i="72"/>
  <c r="AA20" i="72"/>
  <c r="AB20" i="72"/>
  <c r="AC20" i="72"/>
  <c r="AD20" i="72"/>
  <c r="AE20" i="72"/>
  <c r="AF20" i="72"/>
  <c r="AG20" i="72"/>
  <c r="AH20" i="72"/>
  <c r="O21" i="72"/>
  <c r="P21" i="72"/>
  <c r="Q21" i="72"/>
  <c r="R21" i="72"/>
  <c r="S21" i="72"/>
  <c r="T21" i="72"/>
  <c r="U21" i="72"/>
  <c r="V21" i="72"/>
  <c r="W21" i="72"/>
  <c r="X21" i="72"/>
  <c r="Y21" i="72"/>
  <c r="Z21" i="72"/>
  <c r="AA21" i="72"/>
  <c r="AB21" i="72"/>
  <c r="AC21" i="72"/>
  <c r="AD21" i="72"/>
  <c r="AE21" i="72"/>
  <c r="AF21" i="72"/>
  <c r="AG21" i="72"/>
  <c r="AH21" i="72"/>
  <c r="AE28" i="72"/>
  <c r="AF28" i="72" s="1"/>
  <c r="AG28" i="72"/>
  <c r="AH28" i="72" s="1"/>
  <c r="O37" i="72"/>
  <c r="P37" i="72"/>
  <c r="Q37" i="72"/>
  <c r="R37" i="72"/>
  <c r="S37" i="72"/>
  <c r="T37" i="72"/>
  <c r="U37" i="72"/>
  <c r="V37" i="72"/>
  <c r="W37" i="72"/>
  <c r="X37" i="72"/>
  <c r="Y37" i="72"/>
  <c r="Z37" i="72"/>
  <c r="AA37" i="72"/>
  <c r="AB37" i="72"/>
  <c r="AC37" i="72"/>
  <c r="AD37" i="72"/>
  <c r="AE37" i="72"/>
  <c r="AF37" i="72"/>
  <c r="AG37" i="72"/>
  <c r="O38" i="72"/>
  <c r="P38" i="72"/>
  <c r="Q38" i="72"/>
  <c r="R38" i="72"/>
  <c r="S38" i="72"/>
  <c r="T38" i="72"/>
  <c r="U38" i="72"/>
  <c r="V38" i="72"/>
  <c r="W38" i="72"/>
  <c r="X38" i="72"/>
  <c r="Y38" i="72"/>
  <c r="Z38" i="72"/>
  <c r="AA38" i="72"/>
  <c r="AB38" i="72"/>
  <c r="AC38" i="72"/>
  <c r="AD38" i="72"/>
  <c r="AE38" i="72"/>
  <c r="AF38" i="72"/>
  <c r="AG38" i="72"/>
  <c r="N45" i="72"/>
  <c r="O45" i="72"/>
  <c r="P45" i="72"/>
  <c r="Q45" i="72"/>
  <c r="R45" i="72"/>
  <c r="S45" i="72"/>
  <c r="T45" i="72"/>
  <c r="U45" i="72"/>
  <c r="V45" i="72"/>
  <c r="W45" i="72"/>
  <c r="X45" i="72"/>
  <c r="Y45" i="72"/>
  <c r="Z45" i="72"/>
  <c r="AA45" i="72"/>
  <c r="AB45" i="72"/>
  <c r="AC45" i="72"/>
  <c r="AD45" i="72"/>
  <c r="AE45" i="72"/>
  <c r="AF45" i="72"/>
  <c r="AG45" i="72"/>
  <c r="N46" i="72"/>
  <c r="O46" i="72"/>
  <c r="P46" i="72"/>
  <c r="Q46" i="72"/>
  <c r="R46" i="72"/>
  <c r="S46" i="72"/>
  <c r="T46" i="72"/>
  <c r="U46" i="72"/>
  <c r="V46" i="72"/>
  <c r="W46" i="72"/>
  <c r="X46" i="72"/>
  <c r="Y46" i="72"/>
  <c r="Z46" i="72"/>
  <c r="AA46" i="72"/>
  <c r="AB46" i="72"/>
  <c r="AC46" i="72"/>
  <c r="AD46" i="72"/>
  <c r="AE46" i="72"/>
  <c r="AF46" i="72"/>
  <c r="AG46" i="72"/>
  <c r="O58" i="72"/>
  <c r="P58" i="72"/>
  <c r="Q58" i="72"/>
  <c r="R58" i="72"/>
  <c r="S58" i="72"/>
  <c r="T58" i="72"/>
  <c r="U58" i="72"/>
  <c r="V58" i="72"/>
  <c r="W58" i="72"/>
  <c r="X58" i="72"/>
  <c r="Y58" i="72"/>
  <c r="Z58" i="72"/>
  <c r="AA58" i="72"/>
  <c r="AB58" i="72"/>
  <c r="AC58" i="72"/>
  <c r="AD58" i="72"/>
  <c r="AE58" i="72"/>
  <c r="AF58" i="72"/>
  <c r="AG58" i="72"/>
  <c r="O59" i="72"/>
  <c r="P59" i="72"/>
  <c r="Q59" i="72"/>
  <c r="R59" i="72"/>
  <c r="S59" i="72"/>
  <c r="T59" i="72"/>
  <c r="U59" i="72"/>
  <c r="V59" i="72"/>
  <c r="W59" i="72"/>
  <c r="X59" i="72"/>
  <c r="Y59" i="72"/>
  <c r="Z59" i="72"/>
  <c r="AA59" i="72"/>
  <c r="AB59" i="72"/>
  <c r="AC59" i="72"/>
  <c r="AD59" i="72"/>
  <c r="AE59" i="72"/>
  <c r="AF59" i="72"/>
  <c r="AG59" i="72"/>
  <c r="N66" i="72"/>
  <c r="O66" i="72"/>
  <c r="P66" i="72"/>
  <c r="Q66" i="72"/>
  <c r="R66" i="72"/>
  <c r="S66" i="72"/>
  <c r="T66" i="72"/>
  <c r="U66" i="72"/>
  <c r="V66" i="72"/>
  <c r="W66" i="72"/>
  <c r="X66" i="72"/>
  <c r="Y66" i="72"/>
  <c r="Z66" i="72"/>
  <c r="AA66" i="72"/>
  <c r="AB66" i="72"/>
  <c r="AC66" i="72"/>
  <c r="AD66" i="72"/>
  <c r="AE66" i="72"/>
  <c r="AF66" i="72"/>
  <c r="AG66" i="72"/>
  <c r="N67" i="72"/>
  <c r="O67" i="72"/>
  <c r="P67" i="72"/>
  <c r="Q67" i="72"/>
  <c r="R67" i="72"/>
  <c r="S67" i="72"/>
  <c r="T67" i="72"/>
  <c r="U67" i="72"/>
  <c r="V67" i="72"/>
  <c r="W67" i="72"/>
  <c r="X67" i="72"/>
  <c r="Y67" i="72"/>
  <c r="Z67" i="72"/>
  <c r="AA67" i="72"/>
  <c r="AB67" i="72"/>
  <c r="AC67" i="72"/>
  <c r="AD67" i="72"/>
  <c r="AE67" i="72"/>
  <c r="AF67" i="72"/>
  <c r="AG67" i="72"/>
  <c r="E76" i="72"/>
  <c r="F76" i="72"/>
  <c r="G76" i="72"/>
  <c r="H76" i="72"/>
  <c r="I76" i="72"/>
  <c r="J76" i="72"/>
  <c r="K76" i="72"/>
  <c r="L76" i="72"/>
  <c r="M76" i="72"/>
  <c r="N76" i="72"/>
  <c r="O76" i="72"/>
  <c r="P76" i="72"/>
  <c r="Q76" i="72"/>
  <c r="R76" i="72"/>
  <c r="S76" i="72"/>
  <c r="T76" i="72"/>
  <c r="U76" i="72"/>
  <c r="V76" i="72"/>
  <c r="W76" i="72"/>
  <c r="X76" i="72"/>
  <c r="Y76" i="72"/>
  <c r="Z76" i="72"/>
  <c r="AA76" i="72"/>
  <c r="AB76" i="72"/>
  <c r="AC76" i="72"/>
  <c r="AD76" i="72"/>
  <c r="AE76" i="72"/>
  <c r="AF76" i="72"/>
  <c r="AG76" i="72"/>
  <c r="AH76" i="72"/>
  <c r="F77" i="72"/>
  <c r="G77" i="72"/>
  <c r="H77" i="72"/>
  <c r="I77" i="72"/>
  <c r="J77" i="72"/>
  <c r="K77" i="72"/>
  <c r="L77" i="72"/>
  <c r="M77" i="72"/>
  <c r="N77" i="72"/>
  <c r="O77" i="72"/>
  <c r="P77" i="72"/>
  <c r="Q77" i="72"/>
  <c r="R77" i="72"/>
  <c r="S77" i="72"/>
  <c r="T77" i="72"/>
  <c r="U77" i="72"/>
  <c r="V77" i="72"/>
  <c r="W77" i="72"/>
  <c r="X77" i="72"/>
  <c r="Y77" i="72"/>
  <c r="Z77" i="72"/>
  <c r="AA77" i="72"/>
  <c r="AB77" i="72"/>
  <c r="AC77" i="72"/>
  <c r="AD77" i="72"/>
  <c r="AE77" i="72"/>
  <c r="AF77" i="72"/>
  <c r="AG77" i="72"/>
  <c r="AH77" i="72"/>
  <c r="G78" i="72"/>
  <c r="H78" i="72"/>
  <c r="I78" i="72"/>
  <c r="J78" i="72"/>
  <c r="K78" i="72"/>
  <c r="L78" i="72"/>
  <c r="M78" i="72"/>
  <c r="N78" i="72"/>
  <c r="O78" i="72"/>
  <c r="P78" i="72"/>
  <c r="Q78" i="72"/>
  <c r="R78" i="72"/>
  <c r="S78" i="72"/>
  <c r="T78" i="72"/>
  <c r="U78" i="72"/>
  <c r="V78" i="72"/>
  <c r="W78" i="72"/>
  <c r="X78" i="72"/>
  <c r="Y78" i="72"/>
  <c r="Z78" i="72"/>
  <c r="AA78" i="72"/>
  <c r="AB78" i="72"/>
  <c r="AC78" i="72"/>
  <c r="AD78" i="72"/>
  <c r="AE78" i="72"/>
  <c r="AF78" i="72"/>
  <c r="AG78" i="72"/>
  <c r="AH78" i="72"/>
  <c r="E81" i="72"/>
  <c r="F81" i="72"/>
  <c r="G81" i="72"/>
  <c r="H81" i="72"/>
  <c r="I81" i="72"/>
  <c r="J81" i="72"/>
  <c r="K81" i="72"/>
  <c r="L81" i="72"/>
  <c r="M81" i="72"/>
  <c r="N81" i="72"/>
  <c r="O81" i="72"/>
  <c r="P81" i="72"/>
  <c r="Q81" i="72"/>
  <c r="R81" i="72"/>
  <c r="S81" i="72"/>
  <c r="T81" i="72"/>
  <c r="U81" i="72"/>
  <c r="V81" i="72"/>
  <c r="W81" i="72"/>
  <c r="X81" i="72"/>
  <c r="Y81" i="72"/>
  <c r="Z81" i="72"/>
  <c r="AA81" i="72"/>
  <c r="AB81" i="72"/>
  <c r="AC81" i="72"/>
  <c r="AD81" i="72"/>
  <c r="AE81" i="72"/>
  <c r="AF81" i="72"/>
  <c r="AG81" i="72"/>
  <c r="AH81" i="72"/>
  <c r="F82" i="72"/>
  <c r="G82" i="72"/>
  <c r="H82" i="72"/>
  <c r="I82" i="72"/>
  <c r="J82" i="72"/>
  <c r="K82" i="72"/>
  <c r="L82" i="72"/>
  <c r="M82" i="72"/>
  <c r="N82" i="72"/>
  <c r="O82" i="72"/>
  <c r="P82" i="72"/>
  <c r="Q82" i="72"/>
  <c r="R82" i="72"/>
  <c r="S82" i="72"/>
  <c r="T82" i="72"/>
  <c r="U82" i="72"/>
  <c r="V82" i="72"/>
  <c r="W82" i="72"/>
  <c r="X82" i="72"/>
  <c r="Y82" i="72"/>
  <c r="Z82" i="72"/>
  <c r="AA82" i="72"/>
  <c r="AB82" i="72"/>
  <c r="AC82" i="72"/>
  <c r="AD82" i="72"/>
  <c r="AE82" i="72"/>
  <c r="AF82" i="72"/>
  <c r="AG82" i="72"/>
  <c r="AH82" i="72"/>
  <c r="G83" i="72"/>
  <c r="H83" i="72"/>
  <c r="I83" i="72"/>
  <c r="J83" i="72"/>
  <c r="K83" i="72"/>
  <c r="L83" i="72"/>
  <c r="M83" i="72"/>
  <c r="N83" i="72"/>
  <c r="O83" i="72"/>
  <c r="P83" i="72"/>
  <c r="Q83" i="72"/>
  <c r="R83" i="72"/>
  <c r="S83" i="72"/>
  <c r="T83" i="72"/>
  <c r="U83" i="72"/>
  <c r="V83" i="72"/>
  <c r="W83" i="72"/>
  <c r="X83" i="72"/>
  <c r="Y83" i="72"/>
  <c r="Z83" i="72"/>
  <c r="AA83" i="72"/>
  <c r="AB83" i="72"/>
  <c r="AC83" i="72"/>
  <c r="AD83" i="72"/>
  <c r="AE83" i="72"/>
  <c r="AF83" i="72"/>
  <c r="AG83" i="72"/>
  <c r="AH83" i="72"/>
  <c r="U4" i="87"/>
  <c r="AC14" i="64"/>
  <c r="D14" i="64"/>
  <c r="E14" i="64"/>
  <c r="F14" i="64"/>
  <c r="AD14" i="64"/>
  <c r="N3" i="87" a="1"/>
  <c r="AD15" i="64" l="1"/>
  <c r="AD18" i="64" s="1"/>
  <c r="AD17" i="64"/>
  <c r="F15" i="64"/>
  <c r="E15" i="64"/>
  <c r="D15" i="64"/>
  <c r="AC15" i="64"/>
  <c r="AC18" i="64" s="1"/>
  <c r="AC17" i="64"/>
  <c r="BQ23" i="64"/>
  <c r="BQ15" i="64"/>
  <c r="H27" i="69"/>
  <c r="L28" i="69"/>
  <c r="K28" i="69"/>
  <c r="D32" i="84"/>
  <c r="C29" i="84"/>
  <c r="C30" i="84" s="1"/>
  <c r="E32" i="84"/>
  <c r="F32" i="84"/>
  <c r="G32" i="84"/>
  <c r="H32" i="84"/>
  <c r="C10" i="84"/>
  <c r="C11" i="84"/>
  <c r="C12" i="84"/>
  <c r="G8" i="84"/>
  <c r="H8" i="84" s="1"/>
  <c r="C9" i="84"/>
  <c r="G10" i="106"/>
  <c r="E18" i="106"/>
  <c r="E21" i="106" s="1"/>
  <c r="F21" i="106" s="1"/>
  <c r="F18" i="106" s="1"/>
  <c r="E19" i="106"/>
  <c r="E22" i="106" s="1"/>
  <c r="F22" i="106" s="1"/>
  <c r="F19" i="106" s="1"/>
  <c r="E12" i="84"/>
  <c r="B13" i="84"/>
  <c r="C13" i="84" s="1"/>
  <c r="H12" i="69"/>
  <c r="I11" i="69" s="1"/>
  <c r="M16" i="69"/>
  <c r="L25" i="69"/>
  <c r="J15" i="69"/>
  <c r="I9" i="69"/>
  <c r="L10" i="69"/>
  <c r="E11" i="84"/>
  <c r="AC29" i="69"/>
  <c r="AD29" i="69" s="1"/>
  <c r="K25" i="69"/>
  <c r="I19" i="127"/>
  <c r="I18" i="127"/>
  <c r="I178" i="112"/>
  <c r="J29" i="69"/>
  <c r="F202" i="112"/>
  <c r="F211" i="112"/>
  <c r="F31" i="69"/>
  <c r="G29" i="69"/>
  <c r="H28" i="69" s="1"/>
  <c r="I27" i="69" s="1"/>
  <c r="J30" i="69"/>
  <c r="M25" i="69"/>
  <c r="I209" i="112"/>
  <c r="J209" i="112"/>
  <c r="I211" i="112"/>
  <c r="I212" i="112" s="1"/>
  <c r="G133" i="112"/>
  <c r="H178" i="112"/>
  <c r="H187" i="112"/>
  <c r="J17" i="69"/>
  <c r="K17" i="69"/>
  <c r="L17" i="69"/>
  <c r="N26" i="69"/>
  <c r="N13" i="69"/>
  <c r="K15" i="69"/>
  <c r="J9" i="69"/>
  <c r="D187" i="112"/>
  <c r="D188" i="112" s="1"/>
  <c r="J178" i="112"/>
  <c r="K12" i="69"/>
  <c r="J14" i="69"/>
  <c r="F151" i="112"/>
  <c r="H126" i="112"/>
  <c r="G22" i="82"/>
  <c r="G24" i="82" s="1"/>
  <c r="G27" i="82" s="1"/>
  <c r="G212" i="112"/>
  <c r="E133" i="112"/>
  <c r="K10" i="69"/>
  <c r="J10" i="69"/>
  <c r="I187" i="112"/>
  <c r="I188" i="112" s="1"/>
  <c r="H138" i="112"/>
  <c r="K9" i="69"/>
  <c r="F24" i="69"/>
  <c r="L24" i="69" s="1"/>
  <c r="J25" i="69"/>
  <c r="E212" i="112"/>
  <c r="G209" i="112"/>
  <c r="F23" i="69"/>
  <c r="E202" i="112"/>
  <c r="F187" i="112"/>
  <c r="N24" i="69"/>
  <c r="N23" i="69"/>
  <c r="N22" i="69"/>
  <c r="N21" i="69"/>
  <c r="N20" i="69"/>
  <c r="N19" i="69"/>
  <c r="N9" i="69"/>
  <c r="J20" i="69"/>
  <c r="G19" i="69"/>
  <c r="G146" i="112"/>
  <c r="K27" i="69"/>
  <c r="G20" i="69"/>
  <c r="AA14" i="64"/>
  <c r="AA15" i="64" s="1"/>
  <c r="Z15" i="64"/>
  <c r="G202" i="112"/>
  <c r="I185" i="112"/>
  <c r="H151" i="112"/>
  <c r="AE6" i="64"/>
  <c r="AE7" i="64" s="1"/>
  <c r="J13" i="69"/>
  <c r="K13" i="69"/>
  <c r="K18" i="69"/>
  <c r="G178" i="112"/>
  <c r="O35" i="107"/>
  <c r="G6" i="64"/>
  <c r="G7" i="64" s="1"/>
  <c r="J19" i="69"/>
  <c r="J211" i="112"/>
  <c r="J212" i="112" s="1"/>
  <c r="J202" i="112"/>
  <c r="J126" i="112"/>
  <c r="D44" i="112"/>
  <c r="L12" i="69"/>
  <c r="L16" i="69"/>
  <c r="F15" i="69"/>
  <c r="N11" i="69"/>
  <c r="H11" i="69"/>
  <c r="E46" i="69"/>
  <c r="L15" i="69"/>
  <c r="G187" i="112"/>
  <c r="F126" i="112"/>
  <c r="N12" i="69"/>
  <c r="K16" i="69"/>
  <c r="J16" i="69"/>
  <c r="E45" i="69"/>
  <c r="F8" i="69"/>
  <c r="E187" i="112"/>
  <c r="K21" i="69"/>
  <c r="J44" i="112"/>
  <c r="I44" i="112"/>
  <c r="K47" i="107"/>
  <c r="G44" i="112"/>
  <c r="F44" i="112"/>
  <c r="Y15" i="64"/>
  <c r="BE14" i="64"/>
  <c r="E44" i="112"/>
  <c r="Y22" i="64"/>
  <c r="X17" i="64"/>
  <c r="X18" i="64" s="1"/>
  <c r="N3" i="87"/>
  <c r="G14" i="64"/>
  <c r="G17" i="64"/>
  <c r="AE14" i="64"/>
  <c r="G14" i="87"/>
  <c r="H14" i="87"/>
  <c r="I14" i="87"/>
  <c r="J14" i="87"/>
  <c r="K14" i="87"/>
  <c r="L14" i="87"/>
  <c r="M14" i="87"/>
  <c r="N14" i="87"/>
  <c r="O14" i="87"/>
  <c r="P14" i="87"/>
  <c r="Q14" i="87"/>
  <c r="R14" i="87"/>
  <c r="S14" i="87"/>
  <c r="T14" i="87"/>
  <c r="U14" i="87"/>
  <c r="G16" i="87"/>
  <c r="H16" i="87"/>
  <c r="I16" i="87"/>
  <c r="J16" i="87"/>
  <c r="K16" i="87"/>
  <c r="L16" i="87"/>
  <c r="M16" i="87"/>
  <c r="N16" i="87" a="1"/>
  <c r="AE15" i="64" l="1"/>
  <c r="AE18" i="64" s="1"/>
  <c r="AE17" i="64"/>
  <c r="G18" i="64"/>
  <c r="G15" i="64"/>
  <c r="D13" i="84"/>
  <c r="D10" i="84"/>
  <c r="G10" i="84"/>
  <c r="H10" i="84" s="1"/>
  <c r="K8" i="69"/>
  <c r="F45" i="69"/>
  <c r="F38" i="69"/>
  <c r="F46" i="69"/>
  <c r="J8" i="69"/>
  <c r="L8" i="69"/>
  <c r="M8" i="69"/>
  <c r="F47" i="69"/>
  <c r="F48" i="69" s="1"/>
  <c r="F41" i="69"/>
  <c r="F37" i="69"/>
  <c r="F42" i="69"/>
  <c r="F212" i="112"/>
  <c r="Y17" i="64"/>
  <c r="Y18" i="64" s="1"/>
  <c r="O13" i="69"/>
  <c r="O26" i="69"/>
  <c r="O12" i="69"/>
  <c r="O8" i="69"/>
  <c r="O10" i="69"/>
  <c r="O18" i="69"/>
  <c r="O17" i="69"/>
  <c r="O15" i="69"/>
  <c r="O14" i="69"/>
  <c r="O28" i="69"/>
  <c r="O29" i="69"/>
  <c r="O33" i="69"/>
  <c r="O9" i="69"/>
  <c r="O20" i="69"/>
  <c r="O22" i="69"/>
  <c r="O24" i="69"/>
  <c r="O16" i="69"/>
  <c r="O32" i="69"/>
  <c r="O27" i="69"/>
  <c r="O31" i="69"/>
  <c r="O19" i="69"/>
  <c r="O21" i="69"/>
  <c r="O23" i="69"/>
  <c r="O25" i="69"/>
  <c r="O11" i="69"/>
  <c r="O30" i="69"/>
  <c r="O34" i="69"/>
  <c r="G14" i="69"/>
  <c r="M15" i="69"/>
  <c r="D9" i="84"/>
  <c r="G9" i="84" s="1"/>
  <c r="H9" i="84" s="1"/>
  <c r="M11" i="69"/>
  <c r="AF6" i="64"/>
  <c r="AF7" i="64" s="1"/>
  <c r="F188" i="112"/>
  <c r="K20" i="69"/>
  <c r="H19" i="69"/>
  <c r="I18" i="69" s="1"/>
  <c r="L20" i="69"/>
  <c r="L27" i="69"/>
  <c r="M27" i="69"/>
  <c r="I26" i="69"/>
  <c r="M26" i="69" s="1"/>
  <c r="M9" i="69"/>
  <c r="K29" i="69"/>
  <c r="BE15" i="64"/>
  <c r="BE17" i="64"/>
  <c r="BF14" i="64"/>
  <c r="J114" i="112"/>
  <c r="H192" i="112"/>
  <c r="H188" i="112"/>
  <c r="K23" i="69"/>
  <c r="J23" i="69"/>
  <c r="L23" i="69"/>
  <c r="M23" i="69"/>
  <c r="G22" i="69"/>
  <c r="G188" i="112"/>
  <c r="H6" i="64"/>
  <c r="H7" i="64" s="1"/>
  <c r="D12" i="84"/>
  <c r="G12" i="84"/>
  <c r="H12" i="84" s="1"/>
  <c r="D11" i="84"/>
  <c r="G11" i="84"/>
  <c r="H11" i="84" s="1"/>
  <c r="L11" i="69"/>
  <c r="I10" i="69"/>
  <c r="M10" i="69" s="1"/>
  <c r="E13" i="84"/>
  <c r="B14" i="84"/>
  <c r="E188" i="112"/>
  <c r="G23" i="69"/>
  <c r="H22" i="69" s="1"/>
  <c r="I21" i="69" s="1"/>
  <c r="K24" i="69"/>
  <c r="M24" i="69"/>
  <c r="J24" i="69"/>
  <c r="J31" i="69"/>
  <c r="G30" i="69"/>
  <c r="H18" i="69"/>
  <c r="K19" i="69"/>
  <c r="Y23" i="64"/>
  <c r="Z22" i="64"/>
  <c r="Z17" i="64" s="1"/>
  <c r="Z18" i="64" s="1"/>
  <c r="F13" i="106"/>
  <c r="N16" i="87"/>
  <c r="AF14" i="64"/>
  <c r="H14" i="64"/>
  <c r="H17" i="64"/>
  <c r="O16" i="87"/>
  <c r="P16" i="87"/>
  <c r="Q16" i="87"/>
  <c r="R16" i="87"/>
  <c r="S16" i="87"/>
  <c r="T16" i="87"/>
  <c r="U16" i="87"/>
  <c r="G13" i="84" l="1"/>
  <c r="H13" i="84" s="1"/>
  <c r="H18" i="64"/>
  <c r="H15" i="64"/>
  <c r="AF17" i="64"/>
  <c r="AF15" i="64"/>
  <c r="AF18" i="64" s="1"/>
  <c r="I17" i="69"/>
  <c r="M17" i="69" s="1"/>
  <c r="L18" i="69"/>
  <c r="M18" i="69"/>
  <c r="H29" i="69"/>
  <c r="K30" i="69"/>
  <c r="BF17" i="64"/>
  <c r="BG14" i="64"/>
  <c r="J45" i="69"/>
  <c r="J42" i="69"/>
  <c r="J46" i="69"/>
  <c r="J38" i="69"/>
  <c r="J47" i="69"/>
  <c r="J48" i="69" s="1"/>
  <c r="J41" i="69"/>
  <c r="J37" i="69"/>
  <c r="I6" i="64"/>
  <c r="I7" i="64" s="1"/>
  <c r="P8" i="69"/>
  <c r="P14" i="69"/>
  <c r="P28" i="69"/>
  <c r="F50" i="69"/>
  <c r="P13" i="69"/>
  <c r="P26" i="69"/>
  <c r="P11" i="69"/>
  <c r="P29" i="69"/>
  <c r="P10" i="69"/>
  <c r="P27" i="69"/>
  <c r="P9" i="69"/>
  <c r="P19" i="69"/>
  <c r="P20" i="69"/>
  <c r="P21" i="69"/>
  <c r="P22" i="69"/>
  <c r="P23" i="69"/>
  <c r="P24" i="69"/>
  <c r="P25" i="69"/>
  <c r="P18" i="69"/>
  <c r="P16" i="69"/>
  <c r="P15" i="69"/>
  <c r="P30" i="69"/>
  <c r="P34" i="69"/>
  <c r="P33" i="69"/>
  <c r="P12" i="69"/>
  <c r="P32" i="69"/>
  <c r="P31" i="69"/>
  <c r="P17" i="69"/>
  <c r="BE18" i="64"/>
  <c r="BF15" i="64"/>
  <c r="K42" i="69"/>
  <c r="K41" i="69"/>
  <c r="K38" i="69"/>
  <c r="K47" i="69"/>
  <c r="K48" i="69" s="1"/>
  <c r="K37" i="69"/>
  <c r="AG6" i="64"/>
  <c r="AG7" i="64" s="1"/>
  <c r="B15" i="84"/>
  <c r="E14" i="84"/>
  <c r="C14" i="84"/>
  <c r="H21" i="69"/>
  <c r="L22" i="69"/>
  <c r="M22" i="69"/>
  <c r="K22" i="69"/>
  <c r="G13" i="106"/>
  <c r="F14" i="106"/>
  <c r="H13" i="69"/>
  <c r="M14" i="69"/>
  <c r="G42" i="69"/>
  <c r="G41" i="69"/>
  <c r="G37" i="69"/>
  <c r="K14" i="69"/>
  <c r="K46" i="69" s="1"/>
  <c r="G45" i="69"/>
  <c r="G38" i="69"/>
  <c r="L14" i="69"/>
  <c r="G46" i="69"/>
  <c r="G47" i="69"/>
  <c r="G48" i="69" s="1"/>
  <c r="M19" i="69"/>
  <c r="Z23" i="64"/>
  <c r="AA22" i="64"/>
  <c r="L19" i="69"/>
  <c r="G17" i="87"/>
  <c r="H17" i="87"/>
  <c r="I17" i="87"/>
  <c r="J17" i="87"/>
  <c r="K17" i="87"/>
  <c r="L17" i="87"/>
  <c r="M17" i="87"/>
  <c r="N17" i="87"/>
  <c r="O17" i="87"/>
  <c r="P17" i="87"/>
  <c r="Q17" i="87"/>
  <c r="R17" i="87"/>
  <c r="S17" i="87"/>
  <c r="T17" i="87"/>
  <c r="U17" i="87"/>
  <c r="G19" i="87"/>
  <c r="H19" i="87"/>
  <c r="I19" i="87"/>
  <c r="J19" i="87"/>
  <c r="K19" i="87"/>
  <c r="L19" i="87"/>
  <c r="M19" i="87"/>
  <c r="N19" i="87"/>
  <c r="O19" i="87"/>
  <c r="P19" i="87"/>
  <c r="Q19" i="87"/>
  <c r="R19" i="87"/>
  <c r="S19" i="87"/>
  <c r="T19" i="87"/>
  <c r="U19" i="87"/>
  <c r="AG14" i="64"/>
  <c r="I14" i="64"/>
  <c r="I17" i="64"/>
  <c r="G22" i="87"/>
  <c r="H22" i="87"/>
  <c r="I22" i="87"/>
  <c r="J22" i="87"/>
  <c r="K22" i="87"/>
  <c r="L22" i="87"/>
  <c r="M22" i="87"/>
  <c r="N22" i="87"/>
  <c r="O22" i="87"/>
  <c r="P22" i="87"/>
  <c r="Q22" i="87"/>
  <c r="R22" i="87"/>
  <c r="S22" i="87"/>
  <c r="T22" i="87"/>
  <c r="U22" i="87"/>
  <c r="I18" i="64" l="1"/>
  <c r="I15" i="64"/>
  <c r="AG15" i="64"/>
  <c r="AG18" i="64" s="1"/>
  <c r="AG17" i="64"/>
  <c r="G14" i="106"/>
  <c r="F15" i="106"/>
  <c r="G15" i="106" s="1"/>
  <c r="BE22" i="64"/>
  <c r="BF22" i="64" s="1"/>
  <c r="BG22" i="64" s="1"/>
  <c r="BH22" i="64" s="1"/>
  <c r="BI22" i="64" s="1"/>
  <c r="BJ22" i="64" s="1"/>
  <c r="BK22" i="64" s="1"/>
  <c r="BL22" i="64" s="1"/>
  <c r="BM22" i="64" s="1"/>
  <c r="BN22" i="64" s="1"/>
  <c r="BO22" i="64" s="1"/>
  <c r="AA23" i="64"/>
  <c r="BE23" i="64" s="1"/>
  <c r="BF23" i="64" s="1"/>
  <c r="BG23" i="64" s="1"/>
  <c r="BH23" i="64" s="1"/>
  <c r="BI23" i="64" s="1"/>
  <c r="BJ23" i="64" s="1"/>
  <c r="BK23" i="64" s="1"/>
  <c r="BL23" i="64" s="1"/>
  <c r="BM23" i="64" s="1"/>
  <c r="BN23" i="64" s="1"/>
  <c r="BO23" i="64" s="1"/>
  <c r="K45" i="69"/>
  <c r="J6" i="64"/>
  <c r="J7" i="64" s="1"/>
  <c r="BF18" i="64"/>
  <c r="BG15" i="64"/>
  <c r="G14" i="84"/>
  <c r="H14" i="84" s="1"/>
  <c r="D14" i="84"/>
  <c r="Q10" i="69"/>
  <c r="Q11" i="69"/>
  <c r="Q12" i="69"/>
  <c r="Q13" i="69"/>
  <c r="Q14" i="69"/>
  <c r="Q15" i="69"/>
  <c r="Q16" i="69"/>
  <c r="Q17" i="69"/>
  <c r="Q18" i="69"/>
  <c r="Q28" i="69"/>
  <c r="Q27" i="69"/>
  <c r="Q9" i="69"/>
  <c r="Q19" i="69"/>
  <c r="Q20" i="69"/>
  <c r="Q21" i="69"/>
  <c r="Q22" i="69"/>
  <c r="Q23" i="69"/>
  <c r="Q24" i="69"/>
  <c r="Q25" i="69"/>
  <c r="Q8" i="69"/>
  <c r="Q30" i="69"/>
  <c r="Q34" i="69"/>
  <c r="Q29" i="69"/>
  <c r="Q33" i="69"/>
  <c r="Q26" i="69"/>
  <c r="Q32" i="69"/>
  <c r="Q31" i="69"/>
  <c r="I20" i="69"/>
  <c r="M20" i="69" s="1"/>
  <c r="M21" i="69"/>
  <c r="L21" i="69"/>
  <c r="T9" i="69"/>
  <c r="T17" i="69"/>
  <c r="T16" i="69"/>
  <c r="T14" i="69"/>
  <c r="T13" i="69"/>
  <c r="T12" i="69"/>
  <c r="T30" i="69"/>
  <c r="T8" i="69"/>
  <c r="T27" i="69"/>
  <c r="T18" i="69"/>
  <c r="T19" i="69"/>
  <c r="T20" i="69"/>
  <c r="T21" i="69"/>
  <c r="T22" i="69"/>
  <c r="T23" i="69"/>
  <c r="T24" i="69"/>
  <c r="T25" i="69"/>
  <c r="T34" i="69"/>
  <c r="J51" i="69"/>
  <c r="T33" i="69"/>
  <c r="T29" i="69"/>
  <c r="T10" i="69"/>
  <c r="T28" i="69"/>
  <c r="T32" i="69"/>
  <c r="T26" i="69"/>
  <c r="T31" i="69"/>
  <c r="T11" i="69"/>
  <c r="T15" i="69"/>
  <c r="E15" i="84"/>
  <c r="B16" i="84"/>
  <c r="C15" i="84"/>
  <c r="AA17" i="64"/>
  <c r="AA18" i="64" s="1"/>
  <c r="BG17" i="64"/>
  <c r="BH14" i="64"/>
  <c r="AH6" i="64"/>
  <c r="AH7" i="64" s="1"/>
  <c r="I28" i="69"/>
  <c r="M28" i="69" s="1"/>
  <c r="L29" i="69"/>
  <c r="I12" i="69"/>
  <c r="L13" i="69"/>
  <c r="H37" i="69"/>
  <c r="H46" i="69"/>
  <c r="M13" i="69"/>
  <c r="H42" i="69"/>
  <c r="H41" i="69"/>
  <c r="H38" i="69"/>
  <c r="H47" i="69"/>
  <c r="H48" i="69" s="1"/>
  <c r="H45" i="69"/>
  <c r="G23" i="87"/>
  <c r="H23" i="87"/>
  <c r="I23" i="87"/>
  <c r="J23" i="87"/>
  <c r="K23" i="87"/>
  <c r="L23" i="87"/>
  <c r="M23" i="87"/>
  <c r="N23" i="87"/>
  <c r="O23" i="87"/>
  <c r="P23" i="87"/>
  <c r="Q23" i="87"/>
  <c r="R23" i="87"/>
  <c r="S23" i="87"/>
  <c r="T23" i="87"/>
  <c r="U23" i="87"/>
  <c r="J14" i="64"/>
  <c r="J17" i="64"/>
  <c r="AH14" i="64"/>
  <c r="G28" i="87"/>
  <c r="H28" i="87"/>
  <c r="I28" i="87"/>
  <c r="J28" i="87"/>
  <c r="K28" i="87"/>
  <c r="L28" i="87"/>
  <c r="M28" i="87"/>
  <c r="N28" i="87"/>
  <c r="O28" i="87"/>
  <c r="P28" i="87"/>
  <c r="Q28" i="87"/>
  <c r="R28" i="87"/>
  <c r="S28" i="87"/>
  <c r="T28" i="87"/>
  <c r="U28" i="87"/>
  <c r="G29" i="87"/>
  <c r="H29" i="87"/>
  <c r="I29" i="87"/>
  <c r="J29" i="87"/>
  <c r="K29" i="87"/>
  <c r="L29" i="87"/>
  <c r="M29" i="87"/>
  <c r="N29" i="87"/>
  <c r="O29" i="87"/>
  <c r="P29" i="87"/>
  <c r="Q29" i="87"/>
  <c r="R29" i="87"/>
  <c r="S29" i="87"/>
  <c r="T29" i="87"/>
  <c r="U29" i="87"/>
  <c r="G30" i="87"/>
  <c r="H30" i="87"/>
  <c r="I30" i="87"/>
  <c r="J30" i="87"/>
  <c r="K30" i="87"/>
  <c r="L30" i="87"/>
  <c r="M30" i="87"/>
  <c r="N30" i="87"/>
  <c r="O30" i="87"/>
  <c r="P30" i="87"/>
  <c r="Q30" i="87"/>
  <c r="R30" i="87"/>
  <c r="S30" i="87"/>
  <c r="T30" i="87"/>
  <c r="U30" i="87"/>
  <c r="AH15" i="64" l="1"/>
  <c r="AH18" i="64" s="1"/>
  <c r="AH17" i="64"/>
  <c r="J18" i="64"/>
  <c r="J15" i="64"/>
  <c r="L37" i="69"/>
  <c r="L42" i="69"/>
  <c r="L38" i="69"/>
  <c r="L47" i="69"/>
  <c r="L48" i="69" s="1"/>
  <c r="L46" i="69"/>
  <c r="L41" i="69"/>
  <c r="L45" i="69"/>
  <c r="M12" i="69"/>
  <c r="I47" i="69"/>
  <c r="I48" i="69" s="1"/>
  <c r="I38" i="69"/>
  <c r="I45" i="69"/>
  <c r="I41" i="69"/>
  <c r="I37" i="69"/>
  <c r="I42" i="69"/>
  <c r="I46" i="69"/>
  <c r="AI6" i="64"/>
  <c r="AI7" i="64" s="1"/>
  <c r="BH17" i="64"/>
  <c r="BI14" i="64"/>
  <c r="BG18" i="64"/>
  <c r="BH15" i="64"/>
  <c r="R8" i="69"/>
  <c r="R15" i="69"/>
  <c r="R14" i="69"/>
  <c r="R12" i="69"/>
  <c r="R26" i="69"/>
  <c r="R11" i="69"/>
  <c r="R10" i="69"/>
  <c r="R31" i="69"/>
  <c r="R32" i="69"/>
  <c r="R33" i="69"/>
  <c r="R34" i="69"/>
  <c r="R17" i="69"/>
  <c r="R16" i="69"/>
  <c r="R30" i="69"/>
  <c r="R9" i="69"/>
  <c r="R18" i="69"/>
  <c r="R20" i="69"/>
  <c r="R22" i="69"/>
  <c r="R24" i="69"/>
  <c r="R29" i="69"/>
  <c r="R28" i="69"/>
  <c r="R27" i="69"/>
  <c r="R13" i="69"/>
  <c r="R19" i="69"/>
  <c r="R21" i="69"/>
  <c r="R23" i="69"/>
  <c r="R25" i="69"/>
  <c r="D15" i="84"/>
  <c r="G15" i="84" s="1"/>
  <c r="H15" i="84" s="1"/>
  <c r="B17" i="84"/>
  <c r="E16" i="84"/>
  <c r="C16" i="84"/>
  <c r="K6" i="64"/>
  <c r="K7" i="64" s="1"/>
  <c r="U8" i="69"/>
  <c r="U18" i="69"/>
  <c r="U19" i="69"/>
  <c r="U20" i="69"/>
  <c r="U21" i="69"/>
  <c r="U22" i="69"/>
  <c r="U23" i="69"/>
  <c r="U24" i="69"/>
  <c r="U25" i="69"/>
  <c r="U17" i="69"/>
  <c r="U15" i="69"/>
  <c r="U14" i="69"/>
  <c r="U13" i="69"/>
  <c r="U10" i="69"/>
  <c r="U29" i="69"/>
  <c r="U9" i="69"/>
  <c r="U11" i="69"/>
  <c r="U30" i="69"/>
  <c r="U34" i="69"/>
  <c r="K51" i="69"/>
  <c r="U12" i="69"/>
  <c r="U16" i="69"/>
  <c r="U33" i="69"/>
  <c r="U28" i="69"/>
  <c r="U27" i="69"/>
  <c r="U32" i="69"/>
  <c r="U26" i="69"/>
  <c r="U31" i="69"/>
  <c r="G31" i="87"/>
  <c r="H31" i="87"/>
  <c r="I31" i="87"/>
  <c r="J31" i="87"/>
  <c r="K31" i="87"/>
  <c r="L31" i="87"/>
  <c r="M31" i="87"/>
  <c r="N31" i="87"/>
  <c r="O31" i="87"/>
  <c r="P31" i="87"/>
  <c r="Q31" i="87"/>
  <c r="R31" i="87"/>
  <c r="S31" i="87"/>
  <c r="T31" i="87"/>
  <c r="U31" i="87"/>
  <c r="AI14" i="64"/>
  <c r="K14" i="64"/>
  <c r="K17" i="64"/>
  <c r="G33" i="87"/>
  <c r="H33" i="87"/>
  <c r="I33" i="87"/>
  <c r="J33" i="87"/>
  <c r="K33" i="87"/>
  <c r="L33" i="87"/>
  <c r="M33" i="87"/>
  <c r="N33" i="87"/>
  <c r="O33" i="87"/>
  <c r="P33" i="87"/>
  <c r="Q33" i="87"/>
  <c r="R33" i="87"/>
  <c r="S33" i="87"/>
  <c r="T33" i="87"/>
  <c r="U33" i="87"/>
  <c r="K18" i="64" l="1"/>
  <c r="K15" i="64"/>
  <c r="AI15" i="64"/>
  <c r="AI18" i="64" s="1"/>
  <c r="AI17" i="64"/>
  <c r="S16" i="69"/>
  <c r="S15" i="69"/>
  <c r="S13" i="69"/>
  <c r="S28" i="69"/>
  <c r="S12" i="69"/>
  <c r="S11" i="69"/>
  <c r="S30" i="69"/>
  <c r="S31" i="69"/>
  <c r="S32" i="69"/>
  <c r="S33" i="69"/>
  <c r="S34" i="69"/>
  <c r="S8" i="69"/>
  <c r="S9" i="69"/>
  <c r="S18" i="69"/>
  <c r="S19" i="69"/>
  <c r="S20" i="69"/>
  <c r="S21" i="69"/>
  <c r="S22" i="69"/>
  <c r="S23" i="69"/>
  <c r="S24" i="69"/>
  <c r="S25" i="69"/>
  <c r="S17" i="69"/>
  <c r="S29" i="69"/>
  <c r="S10" i="69"/>
  <c r="S14" i="69"/>
  <c r="S26" i="69"/>
  <c r="S27" i="69"/>
  <c r="M46" i="69"/>
  <c r="M45" i="69"/>
  <c r="M41" i="69"/>
  <c r="M37" i="69"/>
  <c r="M42" i="69"/>
  <c r="M38" i="69"/>
  <c r="M47" i="69"/>
  <c r="M48" i="69" s="1"/>
  <c r="V9" i="69"/>
  <c r="V18" i="69"/>
  <c r="V19" i="69"/>
  <c r="V20" i="69"/>
  <c r="V21" i="69"/>
  <c r="V22" i="69"/>
  <c r="V23" i="69"/>
  <c r="V24" i="69"/>
  <c r="V25" i="69"/>
  <c r="V16" i="69"/>
  <c r="V15" i="69"/>
  <c r="V14" i="69"/>
  <c r="V11" i="69"/>
  <c r="V8" i="69"/>
  <c r="V10" i="69"/>
  <c r="V29" i="69"/>
  <c r="V31" i="69"/>
  <c r="V32" i="69"/>
  <c r="V33" i="69"/>
  <c r="V34" i="69"/>
  <c r="V27" i="69"/>
  <c r="V30" i="69"/>
  <c r="L51" i="69"/>
  <c r="V12" i="69"/>
  <c r="V28" i="69"/>
  <c r="V26" i="69"/>
  <c r="V13" i="69"/>
  <c r="V17" i="69"/>
  <c r="L6" i="64"/>
  <c r="L7" i="64" s="1"/>
  <c r="D16" i="84"/>
  <c r="G16" i="84"/>
  <c r="H16" i="84" s="1"/>
  <c r="BH18" i="64"/>
  <c r="BI15" i="64"/>
  <c r="BI17" i="64"/>
  <c r="BJ14" i="64"/>
  <c r="AJ6" i="64"/>
  <c r="AJ7" i="64" s="1"/>
  <c r="E17" i="84"/>
  <c r="C17" i="84"/>
  <c r="G34" i="87"/>
  <c r="AJ14" i="64"/>
  <c r="L14" i="64"/>
  <c r="L17" i="64"/>
  <c r="H34" i="87"/>
  <c r="I34" i="87"/>
  <c r="J34" i="87"/>
  <c r="K34" i="87"/>
  <c r="L34" i="87"/>
  <c r="M34" i="87"/>
  <c r="N34" i="87"/>
  <c r="O34" i="87"/>
  <c r="P34" i="87"/>
  <c r="Q34" i="87"/>
  <c r="R34" i="87"/>
  <c r="S34" i="87"/>
  <c r="T34" i="87"/>
  <c r="U34" i="87"/>
  <c r="H35" i="87"/>
  <c r="I35" i="87"/>
  <c r="J35" i="87"/>
  <c r="K35" i="87"/>
  <c r="L35" i="87"/>
  <c r="M35" i="87"/>
  <c r="N35" i="87"/>
  <c r="O35" i="87"/>
  <c r="P35" i="87"/>
  <c r="Q35" i="87"/>
  <c r="R35" i="87"/>
  <c r="S35" i="87"/>
  <c r="T35" i="87"/>
  <c r="U35" i="87"/>
  <c r="L18" i="64" l="1"/>
  <c r="L15" i="64"/>
  <c r="AJ15" i="64"/>
  <c r="AJ18" i="64" s="1"/>
  <c r="AJ17" i="64"/>
  <c r="M6" i="64"/>
  <c r="M7" i="64" s="1"/>
  <c r="D17" i="84"/>
  <c r="G17" i="84" s="1"/>
  <c r="H17" i="84" s="1"/>
  <c r="C25" i="84" s="1"/>
  <c r="AK6" i="64"/>
  <c r="AK7" i="64" s="1"/>
  <c r="BJ17" i="64"/>
  <c r="BK14" i="64"/>
  <c r="BI18" i="64"/>
  <c r="BJ15" i="64"/>
  <c r="W9" i="69"/>
  <c r="W17" i="69"/>
  <c r="W16" i="69"/>
  <c r="W15" i="69"/>
  <c r="W8" i="69"/>
  <c r="W12" i="69"/>
  <c r="W26" i="69"/>
  <c r="W11" i="69"/>
  <c r="W30" i="69"/>
  <c r="W27" i="69"/>
  <c r="W31" i="69"/>
  <c r="W34" i="69"/>
  <c r="W18" i="69"/>
  <c r="W20" i="69"/>
  <c r="W22" i="69"/>
  <c r="W24" i="69"/>
  <c r="M51" i="69"/>
  <c r="W14" i="69"/>
  <c r="W29" i="69"/>
  <c r="W33" i="69"/>
  <c r="W10" i="69"/>
  <c r="W28" i="69"/>
  <c r="W32" i="69"/>
  <c r="W19" i="69"/>
  <c r="W21" i="69"/>
  <c r="W23" i="69"/>
  <c r="W13" i="69"/>
  <c r="W25" i="69"/>
  <c r="G36" i="87"/>
  <c r="G38" i="87" s="1"/>
  <c r="G39" i="87" s="1"/>
  <c r="H36" i="87"/>
  <c r="H38" i="87" s="1"/>
  <c r="H39" i="87" s="1"/>
  <c r="I36" i="87"/>
  <c r="I38" i="87" s="1"/>
  <c r="I39" i="87" s="1"/>
  <c r="J36" i="87"/>
  <c r="J38" i="87" s="1"/>
  <c r="J39" i="87" s="1"/>
  <c r="K36" i="87"/>
  <c r="K38" i="87" s="1"/>
  <c r="K39" i="87" s="1"/>
  <c r="L36" i="87"/>
  <c r="L38" i="87" s="1"/>
  <c r="L39" i="87" s="1"/>
  <c r="M36" i="87"/>
  <c r="M38" i="87" s="1"/>
  <c r="M39" i="87" s="1"/>
  <c r="N36" i="87"/>
  <c r="N38" i="87" s="1"/>
  <c r="N39" i="87" s="1"/>
  <c r="O36" i="87"/>
  <c r="O38" i="87" s="1"/>
  <c r="O39" i="87" s="1"/>
  <c r="P36" i="87"/>
  <c r="P38" i="87" s="1"/>
  <c r="P39" i="87" s="1"/>
  <c r="Q36" i="87"/>
  <c r="Q38" i="87" s="1"/>
  <c r="Q39" i="87" s="1"/>
  <c r="R36" i="87"/>
  <c r="R38" i="87" s="1"/>
  <c r="R39" i="87" s="1"/>
  <c r="S36" i="87"/>
  <c r="S38" i="87" s="1"/>
  <c r="S39" i="87" s="1"/>
  <c r="T36" i="87"/>
  <c r="T38" i="87" s="1"/>
  <c r="T39" i="87" s="1"/>
  <c r="U36" i="87"/>
  <c r="U38" i="87" s="1"/>
  <c r="U39" i="87" s="1"/>
  <c r="AK14" i="64"/>
  <c r="M14" i="64"/>
  <c r="M17" i="64"/>
  <c r="G42" i="87"/>
  <c r="H42" i="87"/>
  <c r="I42" i="87"/>
  <c r="J42" i="87"/>
  <c r="K42" i="87"/>
  <c r="L42" i="87"/>
  <c r="M42" i="87"/>
  <c r="N42" i="87"/>
  <c r="O42" i="87"/>
  <c r="P42" i="87"/>
  <c r="Q42" i="87"/>
  <c r="R42" i="87"/>
  <c r="S42" i="87"/>
  <c r="T42" i="87"/>
  <c r="U42" i="87"/>
  <c r="H43" i="87"/>
  <c r="I43" i="87"/>
  <c r="J43" i="87"/>
  <c r="K43" i="87"/>
  <c r="L43" i="87"/>
  <c r="M43" i="87"/>
  <c r="N43" i="87"/>
  <c r="O43" i="87"/>
  <c r="P43" i="87"/>
  <c r="Q43" i="87"/>
  <c r="R43" i="87"/>
  <c r="S43" i="87"/>
  <c r="T43" i="87"/>
  <c r="U43" i="87"/>
  <c r="H44" i="87"/>
  <c r="I44" i="87"/>
  <c r="J44" i="87"/>
  <c r="K44" i="87"/>
  <c r="L44" i="87"/>
  <c r="M44" i="87"/>
  <c r="N44" i="87"/>
  <c r="O44" i="87"/>
  <c r="P44" i="87"/>
  <c r="Q44" i="87"/>
  <c r="R44" i="87"/>
  <c r="S44" i="87"/>
  <c r="T44" i="87"/>
  <c r="U44" i="87"/>
  <c r="M18" i="64" l="1"/>
  <c r="M15" i="64"/>
  <c r="AK15" i="64"/>
  <c r="AK18" i="64" s="1"/>
  <c r="AK17" i="64"/>
  <c r="N6" i="64"/>
  <c r="N7" i="64" s="1"/>
  <c r="BJ18" i="64"/>
  <c r="BK15" i="64"/>
  <c r="BL14" i="64"/>
  <c r="BK17" i="64"/>
  <c r="AL6" i="64"/>
  <c r="AL7" i="64" s="1"/>
  <c r="G45" i="87"/>
  <c r="AL14" i="64"/>
  <c r="N14" i="64"/>
  <c r="N17" i="64"/>
  <c r="H45" i="87"/>
  <c r="I45" i="87"/>
  <c r="J45" i="87"/>
  <c r="K45" i="87"/>
  <c r="L45" i="87"/>
  <c r="M45" i="87"/>
  <c r="N45" i="87"/>
  <c r="O45" i="87"/>
  <c r="P45" i="87"/>
  <c r="Q45" i="87"/>
  <c r="R45" i="87"/>
  <c r="S45" i="87"/>
  <c r="T45" i="87"/>
  <c r="U45" i="87"/>
  <c r="N18" i="64" l="1"/>
  <c r="N15" i="64"/>
  <c r="AL15" i="64"/>
  <c r="AL18" i="64" s="1"/>
  <c r="AL17" i="64"/>
  <c r="BK18" i="64"/>
  <c r="BL15" i="64"/>
  <c r="O6" i="64"/>
  <c r="O7" i="64" s="1"/>
  <c r="AM6" i="64"/>
  <c r="AM7" i="64" s="1"/>
  <c r="BL17" i="64"/>
  <c r="BM14" i="64"/>
  <c r="G46" i="87"/>
  <c r="H46" i="87"/>
  <c r="I46" i="87"/>
  <c r="J46" i="87"/>
  <c r="K46" i="87"/>
  <c r="L46" i="87"/>
  <c r="M46" i="87"/>
  <c r="N46" i="87"/>
  <c r="O46" i="87"/>
  <c r="P46" i="87"/>
  <c r="Q46" i="87"/>
  <c r="R46" i="87"/>
  <c r="S46" i="87"/>
  <c r="T46" i="87"/>
  <c r="U46" i="87"/>
  <c r="AM14" i="64"/>
  <c r="O14" i="64"/>
  <c r="O17" i="64"/>
  <c r="H47" i="87"/>
  <c r="I47" i="87"/>
  <c r="J47" i="87"/>
  <c r="K47" i="87"/>
  <c r="L47" i="87"/>
  <c r="M47" i="87"/>
  <c r="N47" i="87"/>
  <c r="O47" i="87"/>
  <c r="P47" i="87"/>
  <c r="Q47" i="87"/>
  <c r="R47" i="87"/>
  <c r="S47" i="87"/>
  <c r="T47" i="87"/>
  <c r="U47" i="87"/>
  <c r="O18" i="64" l="1"/>
  <c r="O15" i="64"/>
  <c r="AM15" i="64"/>
  <c r="AM18" i="64" s="1"/>
  <c r="AM17" i="64"/>
  <c r="BM15" i="64"/>
  <c r="BL18" i="64"/>
  <c r="P6" i="64"/>
  <c r="P7" i="64" s="1"/>
  <c r="BM17" i="64"/>
  <c r="BN14" i="64"/>
  <c r="AN6" i="64"/>
  <c r="AN7" i="64" s="1"/>
  <c r="G49" i="87"/>
  <c r="G55" i="87" s="1"/>
  <c r="G56" i="87" s="1"/>
  <c r="H49" i="87"/>
  <c r="H55" i="87" s="1"/>
  <c r="I49" i="87"/>
  <c r="I55" i="87" s="1"/>
  <c r="J49" i="87"/>
  <c r="J55" i="87" s="1"/>
  <c r="K49" i="87"/>
  <c r="K55" i="87" s="1"/>
  <c r="L49" i="87"/>
  <c r="L55" i="87" s="1"/>
  <c r="M49" i="87"/>
  <c r="M53" i="87" s="1"/>
  <c r="M59" i="87" s="1"/>
  <c r="N49" i="87"/>
  <c r="N55" i="87" s="1"/>
  <c r="O49" i="87"/>
  <c r="O55" i="87" s="1"/>
  <c r="P49" i="87"/>
  <c r="P55" i="87" s="1"/>
  <c r="Q49" i="87"/>
  <c r="Q53" i="87" s="1"/>
  <c r="Q59" i="87" s="1"/>
  <c r="R49" i="87"/>
  <c r="R53" i="87" s="1"/>
  <c r="R59" i="87" s="1"/>
  <c r="S49" i="87"/>
  <c r="S55" i="87" s="1"/>
  <c r="T49" i="87"/>
  <c r="T53" i="87" s="1"/>
  <c r="T59" i="87" s="1"/>
  <c r="U49" i="87"/>
  <c r="U53" i="87" s="1"/>
  <c r="U59" i="87" s="1"/>
  <c r="C64" i="87"/>
  <c r="C65" i="87"/>
  <c r="C66" i="87"/>
  <c r="G87" i="87"/>
  <c r="P14" i="64"/>
  <c r="P17" i="64"/>
  <c r="AN14" i="64"/>
  <c r="T64" i="87"/>
  <c r="U64" i="87"/>
  <c r="P64" i="87"/>
  <c r="Q64" i="87"/>
  <c r="R64" i="87"/>
  <c r="S64" i="87"/>
  <c r="L64" i="87"/>
  <c r="M64" i="87"/>
  <c r="N64" i="87"/>
  <c r="O64" i="87"/>
  <c r="H64" i="87"/>
  <c r="I64" i="87"/>
  <c r="J64" i="87"/>
  <c r="K64" i="87"/>
  <c r="G64" i="87"/>
  <c r="R66" i="87"/>
  <c r="S66" i="87"/>
  <c r="T66" i="87"/>
  <c r="U66" i="87"/>
  <c r="N66" i="87"/>
  <c r="O66" i="87"/>
  <c r="P66" i="87"/>
  <c r="Q66" i="87"/>
  <c r="J66" i="87"/>
  <c r="K66" i="87"/>
  <c r="L66" i="87"/>
  <c r="M66" i="87"/>
  <c r="G66" i="87"/>
  <c r="H66" i="87"/>
  <c r="I66" i="87"/>
  <c r="U65" i="87"/>
  <c r="Q65" i="87"/>
  <c r="R65" i="87"/>
  <c r="S65" i="87"/>
  <c r="T65" i="87"/>
  <c r="M65" i="87"/>
  <c r="N65" i="87"/>
  <c r="O65" i="87"/>
  <c r="P65" i="87"/>
  <c r="I65" i="87"/>
  <c r="J65" i="87"/>
  <c r="K65" i="87"/>
  <c r="L65" i="87"/>
  <c r="G65" i="87"/>
  <c r="H65" i="87"/>
  <c r="H87" i="87"/>
  <c r="I87" i="87"/>
  <c r="J87" i="87"/>
  <c r="K87" i="87"/>
  <c r="L87" i="87"/>
  <c r="M87" i="87"/>
  <c r="N87" i="87"/>
  <c r="O87" i="87"/>
  <c r="P87" i="87"/>
  <c r="R87" i="87"/>
  <c r="S87" i="87"/>
  <c r="T87" i="87"/>
  <c r="U87" i="87"/>
  <c r="U55" i="87" l="1"/>
  <c r="U56" i="87" s="1"/>
  <c r="Q60" i="87"/>
  <c r="J56" i="87"/>
  <c r="I56" i="87"/>
  <c r="T60" i="87"/>
  <c r="M55" i="87"/>
  <c r="M56" i="87" s="1"/>
  <c r="H56" i="87"/>
  <c r="T55" i="87"/>
  <c r="T56" i="87" s="1"/>
  <c r="O53" i="87"/>
  <c r="O59" i="87" s="1"/>
  <c r="O60" i="87" s="1"/>
  <c r="L56" i="87"/>
  <c r="K56" i="87"/>
  <c r="S56" i="87"/>
  <c r="L53" i="87"/>
  <c r="L59" i="87" s="1"/>
  <c r="L60" i="87" s="1"/>
  <c r="P56" i="87"/>
  <c r="R60" i="87"/>
  <c r="O56" i="87"/>
  <c r="N56" i="87"/>
  <c r="M60" i="87"/>
  <c r="AN15" i="64"/>
  <c r="AN18" i="64" s="1"/>
  <c r="AN17" i="64"/>
  <c r="P18" i="64"/>
  <c r="P15" i="64"/>
  <c r="U60" i="87"/>
  <c r="R55" i="87"/>
  <c r="R56" i="87" s="1"/>
  <c r="Q55" i="87"/>
  <c r="Q56" i="87" s="1"/>
  <c r="P53" i="87"/>
  <c r="P59" i="87" s="1"/>
  <c r="P60" i="87" s="1"/>
  <c r="N53" i="87"/>
  <c r="N59" i="87" s="1"/>
  <c r="N60" i="87" s="1"/>
  <c r="BN15" i="64"/>
  <c r="BM18" i="64"/>
  <c r="K53" i="87"/>
  <c r="K59" i="87" s="1"/>
  <c r="K60" i="87" s="1"/>
  <c r="J53" i="87"/>
  <c r="J59" i="87" s="1"/>
  <c r="J60" i="87" s="1"/>
  <c r="I53" i="87"/>
  <c r="I59" i="87" s="1"/>
  <c r="I60" i="87" s="1"/>
  <c r="H53" i="87"/>
  <c r="H59" i="87" s="1"/>
  <c r="H60" i="87" s="1"/>
  <c r="G53" i="87"/>
  <c r="G59" i="87" s="1"/>
  <c r="G60" i="87" s="1"/>
  <c r="AO6" i="64"/>
  <c r="AO7" i="64" s="1"/>
  <c r="BN17" i="64"/>
  <c r="BO14" i="64"/>
  <c r="BO17" i="64" s="1"/>
  <c r="S53" i="87"/>
  <c r="S59" i="87" s="1"/>
  <c r="S60" i="87" s="1"/>
  <c r="Q6" i="64"/>
  <c r="Q7" i="64" s="1"/>
  <c r="G90" i="87"/>
  <c r="G92" i="87" s="1"/>
  <c r="H90" i="87"/>
  <c r="H92" i="87" s="1"/>
  <c r="I90" i="87"/>
  <c r="I92" i="87" s="1"/>
  <c r="J90" i="87"/>
  <c r="J92" i="87" s="1"/>
  <c r="K90" i="87"/>
  <c r="K92" i="87" s="1"/>
  <c r="L90" i="87"/>
  <c r="L92" i="87" s="1"/>
  <c r="M90" i="87"/>
  <c r="M92" i="87" s="1"/>
  <c r="N90" i="87"/>
  <c r="N92" i="87" s="1"/>
  <c r="O90" i="87"/>
  <c r="O92" i="87" s="1"/>
  <c r="P90" i="87"/>
  <c r="P92" i="87" s="1"/>
  <c r="Q90" i="87"/>
  <c r="Q92" i="87" s="1"/>
  <c r="R90" i="87"/>
  <c r="R92" i="87" s="1"/>
  <c r="S90" i="87"/>
  <c r="S92" i="87" s="1"/>
  <c r="T90" i="87"/>
  <c r="T92" i="87" s="1"/>
  <c r="U90" i="87"/>
  <c r="U92" i="87" s="1"/>
  <c r="AO14" i="64"/>
  <c r="Q14" i="64"/>
  <c r="Q17" i="64"/>
  <c r="G94" i="87"/>
  <c r="H94" i="87"/>
  <c r="I94" i="87"/>
  <c r="J94" i="87"/>
  <c r="K94" i="87"/>
  <c r="L94" i="87"/>
  <c r="M94" i="87"/>
  <c r="N94" i="87"/>
  <c r="O94" i="87"/>
  <c r="P94" i="87"/>
  <c r="Q94" i="87"/>
  <c r="R94" i="87"/>
  <c r="S94" i="87"/>
  <c r="T94" i="87"/>
  <c r="U94" i="87"/>
  <c r="G95" i="87"/>
  <c r="H95" i="87"/>
  <c r="I95" i="87"/>
  <c r="J95" i="87"/>
  <c r="K95" i="87"/>
  <c r="L95" i="87"/>
  <c r="M95" i="87"/>
  <c r="N95" i="87"/>
  <c r="O95" i="87"/>
  <c r="P95" i="87"/>
  <c r="Q95" i="87"/>
  <c r="R95" i="87"/>
  <c r="S95" i="87"/>
  <c r="T95" i="87"/>
  <c r="U95" i="87"/>
  <c r="G96" i="87"/>
  <c r="H96" i="87"/>
  <c r="I96" i="87"/>
  <c r="J96" i="87"/>
  <c r="K96" i="87"/>
  <c r="L96" i="87"/>
  <c r="M96" i="87"/>
  <c r="N96" i="87"/>
  <c r="O96" i="87"/>
  <c r="P96" i="87"/>
  <c r="Q96" i="87"/>
  <c r="R96" i="87"/>
  <c r="S96" i="87"/>
  <c r="T96" i="87"/>
  <c r="U96" i="87"/>
  <c r="G97" i="87"/>
  <c r="H97" i="87"/>
  <c r="I97" i="87"/>
  <c r="J97" i="87"/>
  <c r="K97" i="87"/>
  <c r="L97" i="87"/>
  <c r="M97" i="87"/>
  <c r="N97" i="87"/>
  <c r="O97" i="87"/>
  <c r="P97" i="87"/>
  <c r="Q97" i="87"/>
  <c r="R97" i="87"/>
  <c r="S97" i="87"/>
  <c r="T97" i="87"/>
  <c r="U97" i="87"/>
  <c r="Q18" i="64" l="1"/>
  <c r="Q15" i="64"/>
  <c r="AO15" i="64"/>
  <c r="AO18" i="64" s="1"/>
  <c r="AO17" i="64"/>
  <c r="R6" i="64"/>
  <c r="R7" i="64" s="1"/>
  <c r="BO15" i="64"/>
  <c r="BO18" i="64" s="1"/>
  <c r="BN18" i="64"/>
  <c r="AP6" i="64"/>
  <c r="AP7" i="64" s="1"/>
  <c r="G98" i="87"/>
  <c r="G100" i="87" s="1"/>
  <c r="H98" i="87"/>
  <c r="H100" i="87" s="1"/>
  <c r="I98" i="87"/>
  <c r="I100" i="87" s="1"/>
  <c r="J98" i="87"/>
  <c r="J100" i="87" s="1"/>
  <c r="K98" i="87"/>
  <c r="K100" i="87" s="1"/>
  <c r="L98" i="87"/>
  <c r="L100" i="87" s="1"/>
  <c r="M98" i="87"/>
  <c r="M100" i="87" s="1"/>
  <c r="N98" i="87"/>
  <c r="N100" i="87" s="1"/>
  <c r="O98" i="87"/>
  <c r="O100" i="87" s="1"/>
  <c r="P98" i="87"/>
  <c r="P100" i="87" s="1"/>
  <c r="Q98" i="87"/>
  <c r="Q100" i="87" s="1"/>
  <c r="R98" i="87"/>
  <c r="R100" i="87" s="1"/>
  <c r="S98" i="87"/>
  <c r="S100" i="87" s="1"/>
  <c r="T98" i="87"/>
  <c r="T100" i="87" s="1"/>
  <c r="U98" i="87"/>
  <c r="U100" i="87" s="1"/>
  <c r="T2" i="68"/>
  <c r="B28" i="68"/>
  <c r="R14" i="64"/>
  <c r="R17" i="64"/>
  <c r="AP14" i="64"/>
  <c r="N28" i="68"/>
  <c r="O28" i="68"/>
  <c r="AP15" i="64" l="1"/>
  <c r="AP18" i="64" s="1"/>
  <c r="AP17" i="64"/>
  <c r="R18" i="64"/>
  <c r="R15" i="64"/>
  <c r="AQ6" i="64"/>
  <c r="AQ7" i="64" s="1"/>
  <c r="S6" i="64"/>
  <c r="S7" i="64" s="1"/>
  <c r="S14" i="64"/>
  <c r="S17" i="64"/>
  <c r="AQ14" i="64"/>
  <c r="S28" i="68"/>
  <c r="T28" i="68"/>
  <c r="AQ15" i="64" l="1"/>
  <c r="AQ18" i="64" s="1"/>
  <c r="AQ17" i="64"/>
  <c r="S18" i="64"/>
  <c r="S15" i="64"/>
  <c r="AR6" i="64"/>
  <c r="AR7" i="64" s="1"/>
  <c r="T6" i="64"/>
  <c r="T7" i="64" s="1"/>
  <c r="T29" i="68"/>
  <c r="T14" i="64"/>
  <c r="T17" i="64"/>
  <c r="AR14" i="64"/>
  <c r="N31" i="68"/>
  <c r="O31" i="68"/>
  <c r="AR15" i="64" l="1"/>
  <c r="AR18" i="64" s="1"/>
  <c r="AR17" i="64"/>
  <c r="T18" i="64"/>
  <c r="T15" i="64"/>
  <c r="AS6" i="64"/>
  <c r="AS7" i="64" s="1"/>
  <c r="U6" i="64"/>
  <c r="U7" i="64" s="1"/>
  <c r="AS14" i="64"/>
  <c r="U14" i="64"/>
  <c r="U17" i="64"/>
  <c r="S31" i="68"/>
  <c r="T31" i="68"/>
  <c r="U18" i="64" l="1"/>
  <c r="U15" i="64"/>
  <c r="AS15" i="64"/>
  <c r="AS18" i="64" s="1"/>
  <c r="AS17" i="64"/>
  <c r="V6" i="64"/>
  <c r="V7" i="64" s="1"/>
  <c r="AT6" i="64"/>
  <c r="AT7" i="64" s="1"/>
  <c r="T32" i="68"/>
  <c r="N33" i="68"/>
  <c r="O33" i="68"/>
  <c r="S33" i="68"/>
  <c r="T33" i="68"/>
  <c r="B37" i="68"/>
  <c r="B38" i="68"/>
  <c r="F2" i="71"/>
  <c r="F2" i="66"/>
  <c r="E2" i="65"/>
  <c r="E1" i="94"/>
  <c r="F1" i="94" s="1"/>
  <c r="AN2" i="94"/>
  <c r="AI1" i="94" s="1"/>
  <c r="AG46" i="94"/>
  <c r="AE78" i="94"/>
  <c r="AF78" i="94" s="1"/>
  <c r="AG78" i="94" s="1"/>
  <c r="D79" i="94"/>
  <c r="D81" i="94"/>
  <c r="E81" i="94"/>
  <c r="F81" i="94"/>
  <c r="G81" i="94"/>
  <c r="H81" i="94"/>
  <c r="I81" i="94"/>
  <c r="J81" i="94"/>
  <c r="K81" i="94"/>
  <c r="L81" i="94"/>
  <c r="M81" i="94"/>
  <c r="N81" i="94"/>
  <c r="O81" i="94"/>
  <c r="P81" i="94"/>
  <c r="Q81" i="94"/>
  <c r="R81" i="94"/>
  <c r="S81" i="94"/>
  <c r="T81" i="94"/>
  <c r="U81" i="94"/>
  <c r="V81" i="94"/>
  <c r="W81" i="94"/>
  <c r="X81" i="94"/>
  <c r="Y81" i="94"/>
  <c r="Z81" i="94"/>
  <c r="AA81" i="94"/>
  <c r="AB81" i="94"/>
  <c r="AC81" i="94"/>
  <c r="AD81" i="94"/>
  <c r="AE81" i="94" s="1"/>
  <c r="AF81" i="94" s="1"/>
  <c r="AG81" i="94"/>
  <c r="AI81" i="94"/>
  <c r="AK81" i="94"/>
  <c r="AL81" i="94"/>
  <c r="AP86" i="94"/>
  <c r="AP87" i="94" s="1"/>
  <c r="AP88" i="94" s="1"/>
  <c r="AP90" i="94" s="1"/>
  <c r="AP91" i="94" s="1"/>
  <c r="AP92" i="94" s="1"/>
  <c r="AP93" i="94" s="1"/>
  <c r="AQ86" i="94"/>
  <c r="AQ87" i="94"/>
  <c r="AQ88" i="94"/>
  <c r="AQ90" i="94"/>
  <c r="AQ91" i="94"/>
  <c r="AQ92" i="94"/>
  <c r="AQ93" i="94"/>
  <c r="B97" i="94"/>
  <c r="D101" i="94"/>
  <c r="D102" i="94"/>
  <c r="D104" i="94"/>
  <c r="D108" i="94"/>
  <c r="D118" i="94"/>
  <c r="E118" i="94"/>
  <c r="F118" i="94"/>
  <c r="G118" i="94"/>
  <c r="H118" i="94"/>
  <c r="I118" i="94"/>
  <c r="J118" i="94"/>
  <c r="J119" i="94" s="1"/>
  <c r="K118" i="94"/>
  <c r="L118" i="94"/>
  <c r="L119" i="94" s="1"/>
  <c r="M118" i="94"/>
  <c r="N118" i="94"/>
  <c r="O118" i="94"/>
  <c r="P118" i="94"/>
  <c r="Q118" i="94"/>
  <c r="Q119" i="94" s="1"/>
  <c r="R118" i="94"/>
  <c r="S118" i="94"/>
  <c r="T118" i="94"/>
  <c r="T119" i="94" s="1"/>
  <c r="AF118" i="94"/>
  <c r="AG118" i="94"/>
  <c r="D119" i="94"/>
  <c r="E119" i="94"/>
  <c r="F119" i="94"/>
  <c r="G119" i="94"/>
  <c r="H119" i="94"/>
  <c r="I119" i="94"/>
  <c r="M119" i="94"/>
  <c r="N119" i="94"/>
  <c r="O119" i="94"/>
  <c r="P119" i="94"/>
  <c r="R119" i="94"/>
  <c r="AG119" i="94"/>
  <c r="D120" i="94"/>
  <c r="D121" i="94" s="1"/>
  <c r="E120" i="94"/>
  <c r="E121" i="94" s="1"/>
  <c r="F120" i="94"/>
  <c r="G120" i="94"/>
  <c r="H120" i="94"/>
  <c r="H121" i="94" s="1"/>
  <c r="I120" i="94"/>
  <c r="I121" i="94" s="1"/>
  <c r="J120" i="94"/>
  <c r="K120" i="94"/>
  <c r="L120" i="94"/>
  <c r="M120" i="94"/>
  <c r="N121" i="94" s="1"/>
  <c r="N120" i="94"/>
  <c r="O120" i="94"/>
  <c r="P120" i="94"/>
  <c r="P121" i="94" s="1"/>
  <c r="Q120" i="94"/>
  <c r="R120" i="94"/>
  <c r="S120" i="94"/>
  <c r="T120" i="94"/>
  <c r="U120" i="94"/>
  <c r="U121" i="94" s="1"/>
  <c r="V120" i="94"/>
  <c r="W120" i="94"/>
  <c r="X120" i="94"/>
  <c r="X121" i="94" s="1"/>
  <c r="Y120" i="94"/>
  <c r="Y121" i="94" s="1"/>
  <c r="Z120" i="94"/>
  <c r="Z121" i="94" s="1"/>
  <c r="AA120" i="94"/>
  <c r="AA121" i="94" s="1"/>
  <c r="AB120" i="94"/>
  <c r="AC120" i="94"/>
  <c r="AD120" i="94"/>
  <c r="AE120" i="94"/>
  <c r="AF120" i="94"/>
  <c r="AF121" i="94" s="1"/>
  <c r="AG120" i="94"/>
  <c r="F121" i="94"/>
  <c r="G121" i="94"/>
  <c r="J121" i="94"/>
  <c r="K121" i="94"/>
  <c r="L121" i="94"/>
  <c r="M121" i="94"/>
  <c r="O121" i="94"/>
  <c r="S121" i="94"/>
  <c r="T121" i="94"/>
  <c r="V121" i="94"/>
  <c r="W121" i="94"/>
  <c r="AB121" i="94"/>
  <c r="AC121" i="94"/>
  <c r="AD121" i="94"/>
  <c r="AE121" i="94"/>
  <c r="BE2" i="49"/>
  <c r="D10" i="49"/>
  <c r="E10" i="49"/>
  <c r="F10" i="49"/>
  <c r="F16" i="49" s="1"/>
  <c r="G105" i="49"/>
  <c r="G10" i="49" s="1"/>
  <c r="G16" i="49" s="1"/>
  <c r="H10" i="49"/>
  <c r="I10" i="49"/>
  <c r="J10" i="49"/>
  <c r="K105" i="49"/>
  <c r="K10" i="49" s="1"/>
  <c r="L10" i="49"/>
  <c r="M10" i="49"/>
  <c r="M16" i="49" s="1"/>
  <c r="N10" i="49"/>
  <c r="O105" i="49"/>
  <c r="O10" i="49" s="1"/>
  <c r="P10" i="49"/>
  <c r="Q10" i="49"/>
  <c r="R10" i="49"/>
  <c r="S105" i="49"/>
  <c r="S10" i="49"/>
  <c r="T10" i="49"/>
  <c r="U10" i="49"/>
  <c r="V111" i="49"/>
  <c r="V110" i="49" s="1"/>
  <c r="V105" i="49"/>
  <c r="V10" i="49"/>
  <c r="AW10" i="49"/>
  <c r="AA9" i="72" s="1"/>
  <c r="AX10" i="49"/>
  <c r="AB9" i="72" s="1"/>
  <c r="AY10" i="49"/>
  <c r="AC9" i="72" s="1"/>
  <c r="AZ10" i="49"/>
  <c r="AD9" i="72" s="1"/>
  <c r="BA10" i="49"/>
  <c r="AE9" i="72" s="1"/>
  <c r="BB10" i="49"/>
  <c r="AF9" i="72" s="1"/>
  <c r="BC10" i="49"/>
  <c r="AG9" i="72" s="1"/>
  <c r="D11" i="49"/>
  <c r="E11" i="49"/>
  <c r="E16" i="49" s="1"/>
  <c r="F11" i="49"/>
  <c r="G106" i="49"/>
  <c r="G11" i="49"/>
  <c r="H11" i="49"/>
  <c r="I11" i="49"/>
  <c r="J11" i="49"/>
  <c r="K106" i="49"/>
  <c r="K11" i="49" s="1"/>
  <c r="L11" i="49"/>
  <c r="M11" i="49"/>
  <c r="N11" i="49"/>
  <c r="O106" i="49"/>
  <c r="O11" i="49" s="1"/>
  <c r="P11" i="49"/>
  <c r="Q11" i="49"/>
  <c r="R11" i="49"/>
  <c r="S106" i="49"/>
  <c r="S11" i="49" s="1"/>
  <c r="T11" i="49"/>
  <c r="U11" i="49"/>
  <c r="V106" i="49"/>
  <c r="V11" i="49"/>
  <c r="BD11" i="49" s="1"/>
  <c r="AH10" i="72" s="1"/>
  <c r="W106" i="49"/>
  <c r="W11" i="49"/>
  <c r="AW11" i="49"/>
  <c r="AA10" i="72" s="1"/>
  <c r="AX11" i="49"/>
  <c r="AB10" i="72" s="1"/>
  <c r="AY11" i="49"/>
  <c r="AC10" i="72" s="1"/>
  <c r="AZ11" i="49"/>
  <c r="AD10" i="72" s="1"/>
  <c r="BA11" i="49"/>
  <c r="AE10" i="72" s="1"/>
  <c r="BB11" i="49"/>
  <c r="BC11" i="49"/>
  <c r="AG10" i="72" s="1"/>
  <c r="D12" i="49"/>
  <c r="E12" i="49"/>
  <c r="F12" i="49"/>
  <c r="G107" i="49"/>
  <c r="G12" i="49" s="1"/>
  <c r="H12" i="49"/>
  <c r="I12" i="49"/>
  <c r="I16" i="49" s="1"/>
  <c r="J12" i="49"/>
  <c r="K107" i="49"/>
  <c r="K12" i="49" s="1"/>
  <c r="L12" i="49"/>
  <c r="M12" i="49"/>
  <c r="N12" i="49"/>
  <c r="O107" i="49"/>
  <c r="O12" i="49"/>
  <c r="P12" i="49"/>
  <c r="Q12" i="49"/>
  <c r="R12" i="49"/>
  <c r="S107" i="49"/>
  <c r="S12" i="49" s="1"/>
  <c r="T12" i="49"/>
  <c r="U12" i="49"/>
  <c r="V107" i="49"/>
  <c r="V12" i="49" s="1"/>
  <c r="AW12" i="49"/>
  <c r="AA11" i="72" s="1"/>
  <c r="AX12" i="49"/>
  <c r="AB11" i="72" s="1"/>
  <c r="AY12" i="49"/>
  <c r="AC11" i="72" s="1"/>
  <c r="AZ12" i="49"/>
  <c r="AD11" i="72" s="1"/>
  <c r="BA12" i="49"/>
  <c r="BB12" i="49"/>
  <c r="AF11" i="72" s="1"/>
  <c r="BC12" i="49"/>
  <c r="AG11" i="72" s="1"/>
  <c r="D13" i="49"/>
  <c r="E13" i="49"/>
  <c r="F13" i="49"/>
  <c r="G108" i="49"/>
  <c r="G13" i="49" s="1"/>
  <c r="H13" i="49"/>
  <c r="I13" i="49"/>
  <c r="J13" i="49"/>
  <c r="K108" i="49"/>
  <c r="K13" i="49" s="1"/>
  <c r="L13" i="49"/>
  <c r="M13" i="49"/>
  <c r="N13" i="49"/>
  <c r="O108" i="49"/>
  <c r="O13" i="49"/>
  <c r="P13" i="49"/>
  <c r="Q13" i="49"/>
  <c r="R13" i="49"/>
  <c r="S108" i="49"/>
  <c r="S13" i="49"/>
  <c r="T13" i="49"/>
  <c r="U13" i="49"/>
  <c r="V108" i="49"/>
  <c r="V13" i="49" s="1"/>
  <c r="W108" i="49"/>
  <c r="W13" i="49" s="1"/>
  <c r="AW13" i="49"/>
  <c r="AA12" i="72" s="1"/>
  <c r="AX13" i="49"/>
  <c r="AB12" i="72" s="1"/>
  <c r="AY13" i="49"/>
  <c r="AC12" i="72" s="1"/>
  <c r="AZ13" i="49"/>
  <c r="AD12" i="72" s="1"/>
  <c r="BA13" i="49"/>
  <c r="AE12" i="72" s="1"/>
  <c r="BB13" i="49"/>
  <c r="AF12" i="72" s="1"/>
  <c r="BC13" i="49"/>
  <c r="AG12" i="72" s="1"/>
  <c r="D14" i="49"/>
  <c r="E14" i="49"/>
  <c r="F14" i="49"/>
  <c r="G109" i="49"/>
  <c r="G14" i="49"/>
  <c r="H14" i="49"/>
  <c r="I14" i="49"/>
  <c r="J14" i="49"/>
  <c r="K109" i="49"/>
  <c r="K14" i="49"/>
  <c r="L14" i="49"/>
  <c r="M14" i="49"/>
  <c r="N14" i="49"/>
  <c r="O109" i="49"/>
  <c r="O14" i="49"/>
  <c r="P14" i="49"/>
  <c r="Q14" i="49"/>
  <c r="R14" i="49"/>
  <c r="S109" i="49"/>
  <c r="S14" i="49"/>
  <c r="T14" i="49"/>
  <c r="U14" i="49"/>
  <c r="V109" i="49"/>
  <c r="AW14" i="49"/>
  <c r="AA13" i="72" s="1"/>
  <c r="AX14" i="49"/>
  <c r="AY14" i="49"/>
  <c r="AC13" i="72" s="1"/>
  <c r="AZ14" i="49"/>
  <c r="AD13" i="72" s="1"/>
  <c r="BA14" i="49"/>
  <c r="AE13" i="72" s="1"/>
  <c r="BB14" i="49"/>
  <c r="AF13" i="72" s="1"/>
  <c r="BC14" i="49"/>
  <c r="AG13" i="72" s="1"/>
  <c r="D15" i="49"/>
  <c r="E15" i="49"/>
  <c r="F15" i="49"/>
  <c r="G110" i="49"/>
  <c r="G15" i="49"/>
  <c r="H15" i="49"/>
  <c r="I15" i="49"/>
  <c r="J15" i="49"/>
  <c r="K110" i="49"/>
  <c r="K15" i="49"/>
  <c r="L15" i="49"/>
  <c r="M15" i="49"/>
  <c r="N15" i="49"/>
  <c r="O110" i="49"/>
  <c r="O15" i="49" s="1"/>
  <c r="P15" i="49"/>
  <c r="Q15" i="49"/>
  <c r="Q16" i="49" s="1"/>
  <c r="R15" i="49"/>
  <c r="S110" i="49"/>
  <c r="S15" i="49" s="1"/>
  <c r="T15" i="49"/>
  <c r="U15" i="49"/>
  <c r="V15" i="49"/>
  <c r="W110" i="49"/>
  <c r="W15" i="49" s="1"/>
  <c r="AW15" i="49"/>
  <c r="AA14" i="72" s="1"/>
  <c r="AX15" i="49"/>
  <c r="AB14" i="72" s="1"/>
  <c r="AY15" i="49"/>
  <c r="AC14" i="72" s="1"/>
  <c r="AZ15" i="49"/>
  <c r="AD14" i="72" s="1"/>
  <c r="BA15" i="49"/>
  <c r="AE14" i="72" s="1"/>
  <c r="BB15" i="49"/>
  <c r="AF14" i="72" s="1"/>
  <c r="BC15" i="49"/>
  <c r="AG14" i="72" s="1"/>
  <c r="BD15" i="49"/>
  <c r="AH14" i="72" s="1"/>
  <c r="J16" i="49"/>
  <c r="J29" i="49" s="1"/>
  <c r="L16" i="49"/>
  <c r="D11" i="68" s="1"/>
  <c r="T16" i="49"/>
  <c r="T111" i="49"/>
  <c r="X111" i="49" s="1"/>
  <c r="X16" i="49" s="1"/>
  <c r="X289" i="49" s="1"/>
  <c r="X283" i="49" s="1"/>
  <c r="X282" i="49" s="1"/>
  <c r="X284" i="49" s="1"/>
  <c r="X19" i="49" s="1"/>
  <c r="U111" i="49"/>
  <c r="Y111" i="49" s="1"/>
  <c r="Y16" i="49" s="1"/>
  <c r="Z111" i="49"/>
  <c r="Z16" i="49" s="1"/>
  <c r="AC16" i="49"/>
  <c r="AD17" i="49" s="1"/>
  <c r="AD16" i="49"/>
  <c r="AE16" i="49"/>
  <c r="AE17" i="49" s="1"/>
  <c r="AF16" i="49"/>
  <c r="AK24" i="49" s="1"/>
  <c r="AG16" i="49"/>
  <c r="AH16" i="49"/>
  <c r="AI16" i="49"/>
  <c r="AJ16" i="49"/>
  <c r="AO24" i="49" s="1"/>
  <c r="AK16" i="49"/>
  <c r="AL16" i="49"/>
  <c r="AM16" i="49"/>
  <c r="AN16" i="49"/>
  <c r="AO16" i="49"/>
  <c r="AP16" i="49"/>
  <c r="AQ16" i="49"/>
  <c r="AR16" i="49"/>
  <c r="AR17" i="49" s="1"/>
  <c r="AS16" i="49"/>
  <c r="AT17" i="49" s="1"/>
  <c r="AT16" i="49"/>
  <c r="AU16" i="49"/>
  <c r="AU23" i="49" s="1"/>
  <c r="AV16" i="49"/>
  <c r="AY16" i="49"/>
  <c r="AZ17" i="49" s="1"/>
  <c r="AZ16" i="49"/>
  <c r="AI17" i="49"/>
  <c r="AM17" i="49"/>
  <c r="AP17" i="49"/>
  <c r="AU17" i="49"/>
  <c r="AV17" i="49"/>
  <c r="M18" i="49"/>
  <c r="M20" i="49" s="1"/>
  <c r="Y18" i="49"/>
  <c r="H282" i="49"/>
  <c r="H284" i="49" s="1"/>
  <c r="H19" i="49" s="1"/>
  <c r="I282" i="49"/>
  <c r="I284" i="49" s="1"/>
  <c r="I19" i="49" s="1"/>
  <c r="J282" i="49"/>
  <c r="J284" i="49"/>
  <c r="J19" i="49"/>
  <c r="K282" i="49"/>
  <c r="K284" i="49" s="1"/>
  <c r="K19" i="49"/>
  <c r="L281" i="49"/>
  <c r="L282" i="49" s="1"/>
  <c r="L284" i="49" s="1"/>
  <c r="L19" i="49" s="1"/>
  <c r="M281" i="49"/>
  <c r="M282" i="49" s="1"/>
  <c r="M284" i="49" s="1"/>
  <c r="M19" i="49"/>
  <c r="N281" i="49"/>
  <c r="N282" i="49"/>
  <c r="N284" i="49"/>
  <c r="N19" i="49" s="1"/>
  <c r="O281" i="49"/>
  <c r="O282" i="49" s="1"/>
  <c r="O284" i="49" s="1"/>
  <c r="O19" i="49" s="1"/>
  <c r="P281" i="49"/>
  <c r="P282" i="49"/>
  <c r="P284" i="49" s="1"/>
  <c r="P19" i="49" s="1"/>
  <c r="Q281" i="49"/>
  <c r="Q282" i="49" s="1"/>
  <c r="Q284" i="49" s="1"/>
  <c r="Q19" i="49"/>
  <c r="R281" i="49"/>
  <c r="R282" i="49"/>
  <c r="R284" i="49" s="1"/>
  <c r="R19" i="49"/>
  <c r="S281" i="49"/>
  <c r="S282" i="49" s="1"/>
  <c r="S284" i="49" s="1"/>
  <c r="S19" i="49"/>
  <c r="T281" i="49"/>
  <c r="T282" i="49" s="1"/>
  <c r="T284" i="49" s="1"/>
  <c r="T19" i="49" s="1"/>
  <c r="U281" i="49"/>
  <c r="U282" i="49" s="1"/>
  <c r="U284" i="49" s="1"/>
  <c r="U19" i="49"/>
  <c r="V281" i="49"/>
  <c r="V282" i="49"/>
  <c r="V284" i="49"/>
  <c r="V19" i="49" s="1"/>
  <c r="X294" i="49"/>
  <c r="Y296" i="49" s="1"/>
  <c r="Y20" i="49" s="1"/>
  <c r="X281" i="49"/>
  <c r="Y289" i="49"/>
  <c r="Y283" i="49" s="1"/>
  <c r="Y282" i="49" s="1"/>
  <c r="Y284" i="49" s="1"/>
  <c r="Y19" i="49" s="1"/>
  <c r="Y294" i="49"/>
  <c r="Y281" i="49"/>
  <c r="Z294" i="49"/>
  <c r="Z296" i="49" s="1"/>
  <c r="Z281" i="49"/>
  <c r="AD289" i="49"/>
  <c r="AD283" i="49" s="1"/>
  <c r="AD294" i="49"/>
  <c r="AC289" i="49"/>
  <c r="AC283" i="49" s="1"/>
  <c r="AC294" i="49"/>
  <c r="AD281" i="49"/>
  <c r="AE289" i="49"/>
  <c r="AE283" i="49" s="1"/>
  <c r="AF281" i="49" s="1"/>
  <c r="AE294" i="49"/>
  <c r="AF289" i="49"/>
  <c r="AF283" i="49" s="1"/>
  <c r="AF294" i="49"/>
  <c r="AG289" i="49"/>
  <c r="AG283" i="49" s="1"/>
  <c r="AG294" i="49"/>
  <c r="AH294" i="49"/>
  <c r="AH281" i="49"/>
  <c r="AI289" i="49"/>
  <c r="AI294" i="49"/>
  <c r="AI283" i="49"/>
  <c r="AJ294" i="49"/>
  <c r="AJ281" i="49"/>
  <c r="AK294" i="49"/>
  <c r="AL289" i="49"/>
  <c r="AL294" i="49"/>
  <c r="AM289" i="49"/>
  <c r="AM283" i="49" s="1"/>
  <c r="AM294" i="49"/>
  <c r="AN289" i="49"/>
  <c r="AN283" i="49" s="1"/>
  <c r="AN294" i="49"/>
  <c r="AO289" i="49"/>
  <c r="AO294" i="49"/>
  <c r="AO283" i="49" s="1"/>
  <c r="AP289" i="49"/>
  <c r="AP283" i="49" s="1"/>
  <c r="AP294" i="49"/>
  <c r="AQ289" i="49"/>
  <c r="AQ294" i="49"/>
  <c r="AQ281" i="49"/>
  <c r="AR294" i="49"/>
  <c r="AS289" i="49"/>
  <c r="AS294" i="49"/>
  <c r="AS283" i="49"/>
  <c r="AT281" i="49" s="1"/>
  <c r="AT289" i="49"/>
  <c r="AW282" i="49"/>
  <c r="AW284" i="49" s="1"/>
  <c r="AW19" i="49" s="1"/>
  <c r="AX281" i="49"/>
  <c r="AX282" i="49" s="1"/>
  <c r="AX284" i="49" s="1"/>
  <c r="AX19" i="49" s="1"/>
  <c r="AY281" i="49"/>
  <c r="AY282" i="49"/>
  <c r="AY284" i="49"/>
  <c r="AY19" i="49" s="1"/>
  <c r="AZ281" i="49"/>
  <c r="AZ282" i="49" s="1"/>
  <c r="AZ284" i="49" s="1"/>
  <c r="AZ19" i="49"/>
  <c r="BA281" i="49"/>
  <c r="BA282" i="49" s="1"/>
  <c r="BA284" i="49" s="1"/>
  <c r="BA19" i="49" s="1"/>
  <c r="BB281" i="49"/>
  <c r="BB282" i="49" s="1"/>
  <c r="BB284" i="49" s="1"/>
  <c r="BB19" i="49" s="1"/>
  <c r="BC281" i="49"/>
  <c r="BC282" i="49" s="1"/>
  <c r="BC284" i="49" s="1"/>
  <c r="BC19" i="49" s="1"/>
  <c r="E294" i="49"/>
  <c r="E296" i="49" s="1"/>
  <c r="D294" i="49"/>
  <c r="F294" i="49"/>
  <c r="F296" i="49"/>
  <c r="G294" i="49"/>
  <c r="H296" i="49" s="1"/>
  <c r="G296" i="49"/>
  <c r="H294" i="49"/>
  <c r="I294" i="49"/>
  <c r="I296" i="49" s="1"/>
  <c r="J294" i="49"/>
  <c r="K294" i="49"/>
  <c r="L296" i="49" s="1"/>
  <c r="K296" i="49"/>
  <c r="L294" i="49"/>
  <c r="M294" i="49"/>
  <c r="M296" i="49" s="1"/>
  <c r="N294" i="49"/>
  <c r="N296" i="49"/>
  <c r="O294" i="49"/>
  <c r="O296" i="49"/>
  <c r="P294" i="49"/>
  <c r="P296" i="49"/>
  <c r="Q294" i="49"/>
  <c r="Q296" i="49"/>
  <c r="R294" i="49"/>
  <c r="R296" i="49"/>
  <c r="S294" i="49"/>
  <c r="S296" i="49" s="1"/>
  <c r="T294" i="49"/>
  <c r="U294" i="49"/>
  <c r="T22" i="49"/>
  <c r="AG22" i="49"/>
  <c r="AH22" i="49"/>
  <c r="AK22" i="49"/>
  <c r="AL22" i="49"/>
  <c r="AM22" i="49"/>
  <c r="AO22" i="49"/>
  <c r="AQ22" i="49"/>
  <c r="AT22" i="49"/>
  <c r="AG23" i="49"/>
  <c r="AI23" i="49"/>
  <c r="AJ23" i="49"/>
  <c r="AN23" i="49"/>
  <c r="AO23" i="49"/>
  <c r="AP23" i="49"/>
  <c r="AQ23" i="49"/>
  <c r="AR23" i="49"/>
  <c r="AS23" i="49"/>
  <c r="AJ24" i="49"/>
  <c r="AL24" i="49"/>
  <c r="AM24" i="49"/>
  <c r="AP24" i="49"/>
  <c r="AS24" i="49"/>
  <c r="AT24" i="49"/>
  <c r="AY24" i="49"/>
  <c r="AN25" i="49"/>
  <c r="AO25" i="49"/>
  <c r="AQ25" i="49"/>
  <c r="AT25" i="49"/>
  <c r="AY25" i="49"/>
  <c r="AZ25" i="49"/>
  <c r="AY26" i="49"/>
  <c r="AZ26" i="49"/>
  <c r="D28" i="49"/>
  <c r="E28" i="49"/>
  <c r="F28" i="49"/>
  <c r="G28" i="49"/>
  <c r="H28" i="49"/>
  <c r="I28" i="49"/>
  <c r="I29" i="49" s="1"/>
  <c r="J28" i="49"/>
  <c r="K28" i="49"/>
  <c r="L28" i="49"/>
  <c r="M28" i="49"/>
  <c r="N28" i="49"/>
  <c r="O28" i="49"/>
  <c r="P28" i="49"/>
  <c r="Q28" i="49"/>
  <c r="R28" i="49"/>
  <c r="S28" i="49"/>
  <c r="T28" i="49"/>
  <c r="U28" i="49"/>
  <c r="V28" i="49"/>
  <c r="Y29" i="49"/>
  <c r="Y28" i="49"/>
  <c r="AC28" i="49"/>
  <c r="AC29" i="49" s="1"/>
  <c r="AC31" i="49" s="1"/>
  <c r="AD28" i="49"/>
  <c r="AD29" i="49" s="1"/>
  <c r="AE28" i="49"/>
  <c r="AF28" i="49"/>
  <c r="AG28" i="49"/>
  <c r="AH28" i="49"/>
  <c r="AI28" i="49"/>
  <c r="AJ28" i="49"/>
  <c r="AK28" i="49"/>
  <c r="AK29" i="49" s="1"/>
  <c r="AL28" i="49"/>
  <c r="AL29" i="49" s="1"/>
  <c r="AM28" i="49"/>
  <c r="AN28" i="49"/>
  <c r="AO28" i="49"/>
  <c r="AO29" i="49" s="1"/>
  <c r="AP28" i="49"/>
  <c r="AP29" i="49" s="1"/>
  <c r="AQ30" i="49" s="1"/>
  <c r="AQ28" i="49"/>
  <c r="AR28" i="49"/>
  <c r="AS28" i="49"/>
  <c r="AS29" i="49" s="1"/>
  <c r="AT28" i="49"/>
  <c r="AT29" i="49" s="1"/>
  <c r="AU28" i="49"/>
  <c r="AU29" i="49" s="1"/>
  <c r="AV28" i="49"/>
  <c r="AW28" i="49"/>
  <c r="AX28" i="49"/>
  <c r="AY28" i="49"/>
  <c r="AZ28" i="49"/>
  <c r="BA28" i="49"/>
  <c r="BB28" i="49"/>
  <c r="BC28" i="49"/>
  <c r="L29" i="49"/>
  <c r="L31" i="49" s="1"/>
  <c r="AE29" i="49"/>
  <c r="AG29" i="49"/>
  <c r="AG31" i="49" s="1"/>
  <c r="AH29" i="49"/>
  <c r="AH30" i="49" s="1"/>
  <c r="AJ29" i="49"/>
  <c r="AM29" i="49"/>
  <c r="AQ29" i="49"/>
  <c r="AQ50" i="49" s="1"/>
  <c r="AQ69" i="49" s="1"/>
  <c r="AR29" i="49"/>
  <c r="AZ29" i="49"/>
  <c r="AZ50" i="49" s="1"/>
  <c r="AM30" i="49"/>
  <c r="AR30" i="49"/>
  <c r="AD31" i="49"/>
  <c r="AJ31" i="49"/>
  <c r="AL31" i="49"/>
  <c r="AO31" i="49"/>
  <c r="AQ31" i="49"/>
  <c r="AZ31" i="49"/>
  <c r="D33" i="49"/>
  <c r="E33" i="49"/>
  <c r="E45" i="49" s="1"/>
  <c r="F33" i="49"/>
  <c r="G33" i="49"/>
  <c r="H33" i="49"/>
  <c r="I33" i="49"/>
  <c r="I39" i="49" s="1"/>
  <c r="J33" i="49"/>
  <c r="J39" i="49" s="1"/>
  <c r="K33" i="49"/>
  <c r="L33" i="49"/>
  <c r="M33" i="49"/>
  <c r="Q39" i="49" s="1"/>
  <c r="N33" i="49"/>
  <c r="O33" i="49"/>
  <c r="P33" i="49"/>
  <c r="P36" i="49" s="1"/>
  <c r="Q33" i="49"/>
  <c r="R33" i="49"/>
  <c r="R39" i="49" s="1"/>
  <c r="S33" i="49"/>
  <c r="S36" i="49" s="1"/>
  <c r="T33" i="49"/>
  <c r="U33" i="49"/>
  <c r="U39" i="49" s="1"/>
  <c r="V33" i="49"/>
  <c r="X45" i="49"/>
  <c r="Y45" i="49"/>
  <c r="Z45" i="49" s="1"/>
  <c r="AA45" i="49" s="1"/>
  <c r="AC33" i="49"/>
  <c r="AC36" i="49" s="1"/>
  <c r="AD33" i="49"/>
  <c r="AE33" i="49"/>
  <c r="AE36" i="49" s="1"/>
  <c r="AF33" i="49"/>
  <c r="AG33" i="49"/>
  <c r="AH33" i="49"/>
  <c r="AI33" i="49"/>
  <c r="AJ33" i="49"/>
  <c r="AK33" i="49"/>
  <c r="AK39" i="49" s="1"/>
  <c r="AL33" i="49"/>
  <c r="AL36" i="49" s="1"/>
  <c r="AM33" i="49"/>
  <c r="AN39" i="49" s="1"/>
  <c r="AN33" i="49"/>
  <c r="AO33" i="49"/>
  <c r="AP33" i="49"/>
  <c r="AP36" i="49" s="1"/>
  <c r="AQ33" i="49"/>
  <c r="AR33" i="49"/>
  <c r="AS33" i="49"/>
  <c r="AS45" i="49" s="1"/>
  <c r="AT33" i="49"/>
  <c r="AU33" i="49"/>
  <c r="AU36" i="49" s="1"/>
  <c r="AV33" i="49"/>
  <c r="AW33" i="49"/>
  <c r="AX33" i="49"/>
  <c r="AY33" i="49"/>
  <c r="AZ33" i="49"/>
  <c r="BA33" i="49"/>
  <c r="BA39" i="49" s="1"/>
  <c r="BB33" i="49"/>
  <c r="BB36" i="49" s="1"/>
  <c r="BC33" i="49"/>
  <c r="D34" i="49"/>
  <c r="E34" i="49"/>
  <c r="F34" i="49"/>
  <c r="G34" i="49"/>
  <c r="H34" i="49"/>
  <c r="I34" i="49"/>
  <c r="J34" i="49"/>
  <c r="J40" i="49" s="1"/>
  <c r="K34" i="49"/>
  <c r="L34" i="49"/>
  <c r="M34" i="49"/>
  <c r="N34" i="49"/>
  <c r="O34" i="49"/>
  <c r="P34" i="49"/>
  <c r="Q34" i="49"/>
  <c r="Q46" i="49" s="1"/>
  <c r="R34" i="49"/>
  <c r="R40" i="49" s="1"/>
  <c r="S34" i="49"/>
  <c r="S40" i="49" s="1"/>
  <c r="T34" i="49"/>
  <c r="U34" i="49"/>
  <c r="V34" i="49"/>
  <c r="X46" i="49"/>
  <c r="Y46" i="49"/>
  <c r="Y34" i="49" s="1"/>
  <c r="Y40" i="49" s="1"/>
  <c r="AC34" i="49"/>
  <c r="AC46" i="49" s="1"/>
  <c r="AD34" i="49"/>
  <c r="AE34" i="49"/>
  <c r="AF34" i="49"/>
  <c r="AG34" i="49"/>
  <c r="AH34" i="49"/>
  <c r="AI34" i="49"/>
  <c r="AJ34" i="49"/>
  <c r="AJ46" i="49" s="1"/>
  <c r="AK34" i="49"/>
  <c r="AK46" i="49" s="1"/>
  <c r="AL34" i="49"/>
  <c r="AM34" i="49"/>
  <c r="AN34" i="49"/>
  <c r="AO34" i="49"/>
  <c r="AO40" i="49" s="1"/>
  <c r="AP34" i="49"/>
  <c r="AP46" i="49" s="1"/>
  <c r="AQ34" i="49"/>
  <c r="AQ36" i="49" s="1"/>
  <c r="AR34" i="49"/>
  <c r="AS34" i="49"/>
  <c r="AS46" i="49" s="1"/>
  <c r="AT34" i="49"/>
  <c r="AU34" i="49"/>
  <c r="AV34" i="49"/>
  <c r="AW34" i="49"/>
  <c r="AX34" i="49"/>
  <c r="AY34" i="49"/>
  <c r="AY40" i="49" s="1"/>
  <c r="AZ34" i="49"/>
  <c r="AZ46" i="49" s="1"/>
  <c r="BA34" i="49"/>
  <c r="BB34" i="49"/>
  <c r="BC34" i="49"/>
  <c r="D35" i="49"/>
  <c r="E35" i="49"/>
  <c r="I41" i="49" s="1"/>
  <c r="F35" i="49"/>
  <c r="G35" i="49"/>
  <c r="K41" i="49" s="1"/>
  <c r="H35" i="49"/>
  <c r="I35" i="49"/>
  <c r="I47" i="49" s="1"/>
  <c r="J35" i="49"/>
  <c r="K35" i="49"/>
  <c r="L35" i="49"/>
  <c r="M35" i="49"/>
  <c r="M47" i="49" s="1"/>
  <c r="N35" i="49"/>
  <c r="N41" i="49" s="1"/>
  <c r="O35" i="49"/>
  <c r="O41" i="49" s="1"/>
  <c r="P35" i="49"/>
  <c r="Q35" i="49"/>
  <c r="Q41" i="49" s="1"/>
  <c r="R35" i="49"/>
  <c r="R41" i="49" s="1"/>
  <c r="S35" i="49"/>
  <c r="T35" i="49"/>
  <c r="U35" i="49"/>
  <c r="Y41" i="49" s="1"/>
  <c r="V35" i="49"/>
  <c r="V41" i="49" s="1"/>
  <c r="AC35" i="49"/>
  <c r="AD35" i="49"/>
  <c r="AE41" i="49" s="1"/>
  <c r="AE35" i="49"/>
  <c r="AF35" i="49"/>
  <c r="AG35" i="49"/>
  <c r="AH35" i="49"/>
  <c r="AI35" i="49"/>
  <c r="AI47" i="49" s="1"/>
  <c r="AJ35" i="49"/>
  <c r="AK35" i="49"/>
  <c r="AL41" i="49" s="1"/>
  <c r="AL35" i="49"/>
  <c r="AM35" i="49"/>
  <c r="AM41" i="49" s="1"/>
  <c r="AN35" i="49"/>
  <c r="AO35" i="49"/>
  <c r="AP35" i="49"/>
  <c r="AQ35" i="49"/>
  <c r="AR35" i="49"/>
  <c r="AR47" i="49" s="1"/>
  <c r="AS35" i="49"/>
  <c r="AT35" i="49"/>
  <c r="AT41" i="49" s="1"/>
  <c r="AU35" i="49"/>
  <c r="AV35" i="49"/>
  <c r="AW35" i="49"/>
  <c r="AX35" i="49"/>
  <c r="AY35" i="49"/>
  <c r="AY47" i="49" s="1"/>
  <c r="AZ35" i="49"/>
  <c r="BA35" i="49"/>
  <c r="BA41" i="49" s="1"/>
  <c r="BB35" i="49"/>
  <c r="BC35" i="49"/>
  <c r="BE35" i="49"/>
  <c r="D36" i="49"/>
  <c r="E36" i="49"/>
  <c r="F36" i="49"/>
  <c r="F48" i="49" s="1"/>
  <c r="G36" i="49"/>
  <c r="G48" i="49" s="1"/>
  <c r="H36" i="49"/>
  <c r="T36" i="49"/>
  <c r="AF36" i="49"/>
  <c r="AF48" i="49" s="1"/>
  <c r="AH36" i="49"/>
  <c r="AJ36" i="49"/>
  <c r="AN36" i="49"/>
  <c r="AS36" i="49"/>
  <c r="AV36" i="49"/>
  <c r="AX36" i="49"/>
  <c r="AZ36" i="49"/>
  <c r="AZ48" i="49" s="1"/>
  <c r="H39" i="49"/>
  <c r="K39" i="49"/>
  <c r="L39" i="49"/>
  <c r="M39" i="49"/>
  <c r="AE39" i="49"/>
  <c r="AG39" i="49"/>
  <c r="AJ39" i="49"/>
  <c r="AL39" i="49"/>
  <c r="AO39" i="49"/>
  <c r="AR39" i="49"/>
  <c r="AS39" i="49"/>
  <c r="AT39" i="49"/>
  <c r="AU39" i="49"/>
  <c r="AZ39" i="49"/>
  <c r="H40" i="49"/>
  <c r="I40" i="49"/>
  <c r="L40" i="49"/>
  <c r="M40" i="49"/>
  <c r="N40" i="49"/>
  <c r="O40" i="49"/>
  <c r="Q40" i="49"/>
  <c r="T40" i="49"/>
  <c r="V40" i="49"/>
  <c r="AF40" i="49"/>
  <c r="AG40" i="49"/>
  <c r="AH40" i="49"/>
  <c r="AI40" i="49"/>
  <c r="AN40" i="49"/>
  <c r="AP40" i="49"/>
  <c r="AR40" i="49"/>
  <c r="AS40" i="49"/>
  <c r="AV40" i="49"/>
  <c r="AW40" i="49"/>
  <c r="AX40" i="49"/>
  <c r="H41" i="49"/>
  <c r="J41" i="49"/>
  <c r="L41" i="49"/>
  <c r="M41" i="49"/>
  <c r="P41" i="49"/>
  <c r="T41" i="49"/>
  <c r="W41" i="49"/>
  <c r="X41" i="49"/>
  <c r="AA41" i="49"/>
  <c r="AH41" i="49"/>
  <c r="AI41" i="49"/>
  <c r="AJ41" i="49"/>
  <c r="AK41" i="49"/>
  <c r="AP41" i="49"/>
  <c r="AU41" i="49"/>
  <c r="AX41" i="49"/>
  <c r="AY41" i="49"/>
  <c r="AZ41" i="49"/>
  <c r="BB41" i="49"/>
  <c r="T42" i="49"/>
  <c r="AV42" i="49"/>
  <c r="I45" i="49"/>
  <c r="J45" i="49"/>
  <c r="L45" i="49"/>
  <c r="M45" i="49"/>
  <c r="T45" i="49"/>
  <c r="AD45" i="49"/>
  <c r="AE45" i="49"/>
  <c r="AG45" i="49"/>
  <c r="AH45" i="49"/>
  <c r="AK45" i="49"/>
  <c r="AL45" i="49"/>
  <c r="AM45" i="49"/>
  <c r="AN45" i="49"/>
  <c r="AO45" i="49"/>
  <c r="AP45" i="49"/>
  <c r="AR45" i="49"/>
  <c r="AT45" i="49"/>
  <c r="AU45" i="49"/>
  <c r="F46" i="49"/>
  <c r="I46" i="49"/>
  <c r="J46" i="49"/>
  <c r="M46" i="49"/>
  <c r="T46" i="49"/>
  <c r="AD46" i="49"/>
  <c r="AE46" i="49"/>
  <c r="AF46" i="49"/>
  <c r="AH46" i="49"/>
  <c r="AI46" i="49"/>
  <c r="AL46" i="49"/>
  <c r="AM46" i="49"/>
  <c r="AN46" i="49"/>
  <c r="AO46" i="49"/>
  <c r="AQ46" i="49"/>
  <c r="AT46" i="49"/>
  <c r="AU46" i="49"/>
  <c r="AV46" i="49"/>
  <c r="AY46" i="49"/>
  <c r="F47" i="49"/>
  <c r="G47" i="49"/>
  <c r="J47" i="49"/>
  <c r="L47" i="49"/>
  <c r="T47" i="49"/>
  <c r="AC47" i="49"/>
  <c r="AD47" i="49"/>
  <c r="AE47" i="49"/>
  <c r="AG47" i="49"/>
  <c r="AH47" i="49"/>
  <c r="AJ47" i="49"/>
  <c r="AK47" i="49"/>
  <c r="AL47" i="49"/>
  <c r="AN47" i="49"/>
  <c r="AO47" i="49"/>
  <c r="AP47" i="49"/>
  <c r="AS47" i="49"/>
  <c r="AT47" i="49"/>
  <c r="AU47" i="49"/>
  <c r="AZ47" i="49"/>
  <c r="T48" i="49"/>
  <c r="AL48" i="49"/>
  <c r="AN48" i="49"/>
  <c r="AS48" i="49"/>
  <c r="AU48" i="49"/>
  <c r="AV48" i="49"/>
  <c r="AE50" i="49"/>
  <c r="AJ50" i="49"/>
  <c r="AL50" i="49"/>
  <c r="AS50" i="49"/>
  <c r="AJ52" i="49"/>
  <c r="AL52" i="49"/>
  <c r="AG53" i="49"/>
  <c r="AO53" i="49"/>
  <c r="D55" i="49"/>
  <c r="E55" i="49"/>
  <c r="F55" i="49"/>
  <c r="G55" i="49"/>
  <c r="H55" i="49"/>
  <c r="I55" i="49"/>
  <c r="J55" i="49"/>
  <c r="K55" i="49"/>
  <c r="L55" i="49"/>
  <c r="M55" i="49"/>
  <c r="N55" i="49"/>
  <c r="O55" i="49"/>
  <c r="P55" i="49"/>
  <c r="Q55" i="49"/>
  <c r="R55" i="49"/>
  <c r="S55" i="49"/>
  <c r="T55" i="49"/>
  <c r="U55" i="49"/>
  <c r="V55" i="49"/>
  <c r="AC55" i="49"/>
  <c r="D21" i="94" s="1"/>
  <c r="AD55" i="49"/>
  <c r="E21" i="94" s="1"/>
  <c r="AE55" i="49"/>
  <c r="F21" i="94" s="1"/>
  <c r="AF55" i="49"/>
  <c r="G21" i="94" s="1"/>
  <c r="AG55" i="49"/>
  <c r="H21" i="94" s="1"/>
  <c r="AH55" i="49"/>
  <c r="I21" i="94" s="1"/>
  <c r="AI55" i="49"/>
  <c r="J21" i="94" s="1"/>
  <c r="AJ55" i="49"/>
  <c r="K21" i="94" s="1"/>
  <c r="AK55" i="49"/>
  <c r="L21" i="94" s="1"/>
  <c r="AL55" i="49"/>
  <c r="M21" i="94" s="1"/>
  <c r="AM55" i="49"/>
  <c r="N21" i="94" s="1"/>
  <c r="AN55" i="49"/>
  <c r="O21" i="94" s="1"/>
  <c r="AO55" i="49"/>
  <c r="P21" i="94" s="1"/>
  <c r="AP55" i="49"/>
  <c r="Q21" i="94" s="1"/>
  <c r="AQ55" i="49"/>
  <c r="R21" i="94" s="1"/>
  <c r="AR55" i="49"/>
  <c r="S21" i="94" s="1"/>
  <c r="AS55" i="49"/>
  <c r="T21" i="94" s="1"/>
  <c r="AT55" i="49"/>
  <c r="U21" i="94" s="1"/>
  <c r="AU55" i="49"/>
  <c r="V21" i="94" s="1"/>
  <c r="AV55" i="49"/>
  <c r="W21" i="94" s="1"/>
  <c r="AW55" i="49"/>
  <c r="X21" i="94" s="1"/>
  <c r="AX55" i="49"/>
  <c r="Y21" i="94" s="1"/>
  <c r="AY55" i="49"/>
  <c r="Z21" i="94" s="1"/>
  <c r="AZ55" i="49"/>
  <c r="AA21" i="94" s="1"/>
  <c r="BA55" i="49"/>
  <c r="AB21" i="94" s="1"/>
  <c r="BB55" i="49"/>
  <c r="AC21" i="94" s="1"/>
  <c r="BC55" i="49"/>
  <c r="AD21" i="94" s="1"/>
  <c r="D56" i="49"/>
  <c r="E56" i="49"/>
  <c r="F56" i="49"/>
  <c r="G56" i="49"/>
  <c r="H56" i="49"/>
  <c r="I56" i="49"/>
  <c r="J56" i="49"/>
  <c r="K56" i="49"/>
  <c r="L56" i="49"/>
  <c r="M56" i="49"/>
  <c r="N56" i="49"/>
  <c r="O56" i="49"/>
  <c r="P56" i="49"/>
  <c r="Q56" i="49"/>
  <c r="R56" i="49"/>
  <c r="S56" i="49"/>
  <c r="T56" i="49"/>
  <c r="U56" i="49"/>
  <c r="V56" i="49"/>
  <c r="U97" i="49"/>
  <c r="U99" i="49" s="1"/>
  <c r="W56" i="49" s="1"/>
  <c r="BD56" i="49" s="1"/>
  <c r="AE22" i="94" s="1"/>
  <c r="U98" i="49"/>
  <c r="V97" i="49"/>
  <c r="V98" i="49"/>
  <c r="V99" i="49"/>
  <c r="W97" i="49"/>
  <c r="AC56" i="49"/>
  <c r="D22" i="94" s="1"/>
  <c r="D44" i="94" s="1"/>
  <c r="AD56" i="49"/>
  <c r="E22" i="94" s="1"/>
  <c r="E44" i="94" s="1"/>
  <c r="AE56" i="49"/>
  <c r="F22" i="94" s="1"/>
  <c r="F44" i="94" s="1"/>
  <c r="AF56" i="49"/>
  <c r="G22" i="94" s="1"/>
  <c r="G44" i="94" s="1"/>
  <c r="AG56" i="49"/>
  <c r="H22" i="94" s="1"/>
  <c r="H44" i="94" s="1"/>
  <c r="AH56" i="49"/>
  <c r="I22" i="94" s="1"/>
  <c r="I44" i="94" s="1"/>
  <c r="AI56" i="49"/>
  <c r="J22" i="94" s="1"/>
  <c r="J44" i="94" s="1"/>
  <c r="AJ56" i="49"/>
  <c r="K22" i="94" s="1"/>
  <c r="K44" i="94" s="1"/>
  <c r="AK56" i="49"/>
  <c r="AL56" i="49"/>
  <c r="M22" i="94" s="1"/>
  <c r="M44" i="94" s="1"/>
  <c r="AM56" i="49"/>
  <c r="N22" i="94" s="1"/>
  <c r="N44" i="94" s="1"/>
  <c r="AN56" i="49"/>
  <c r="O22" i="94" s="1"/>
  <c r="O44" i="94" s="1"/>
  <c r="AO56" i="49"/>
  <c r="P22" i="94" s="1"/>
  <c r="P44" i="94" s="1"/>
  <c r="AP56" i="49"/>
  <c r="Q22" i="94" s="1"/>
  <c r="Q44" i="94" s="1"/>
  <c r="AQ56" i="49"/>
  <c r="R22" i="94" s="1"/>
  <c r="R44" i="94" s="1"/>
  <c r="AR56" i="49"/>
  <c r="S22" i="94" s="1"/>
  <c r="S44" i="94" s="1"/>
  <c r="AS56" i="49"/>
  <c r="T22" i="94" s="1"/>
  <c r="T44" i="94" s="1"/>
  <c r="AT56" i="49"/>
  <c r="U22" i="94" s="1"/>
  <c r="U44" i="94" s="1"/>
  <c r="AU56" i="49"/>
  <c r="V22" i="94" s="1"/>
  <c r="V44" i="94" s="1"/>
  <c r="AV56" i="49"/>
  <c r="W22" i="94" s="1"/>
  <c r="W44" i="94" s="1"/>
  <c r="AW56" i="49"/>
  <c r="X22" i="94" s="1"/>
  <c r="X44" i="94" s="1"/>
  <c r="AX56" i="49"/>
  <c r="Y22" i="94" s="1"/>
  <c r="Y44" i="94" s="1"/>
  <c r="AY56" i="49"/>
  <c r="Z22" i="94" s="1"/>
  <c r="Z44" i="94" s="1"/>
  <c r="AZ56" i="49"/>
  <c r="AA22" i="94" s="1"/>
  <c r="AA44" i="94" s="1"/>
  <c r="BA56" i="49"/>
  <c r="BB56" i="49"/>
  <c r="AC22" i="94" s="1"/>
  <c r="AC44" i="94" s="1"/>
  <c r="BC56" i="49"/>
  <c r="AD22" i="94" s="1"/>
  <c r="AD44" i="94" s="1"/>
  <c r="D57" i="49"/>
  <c r="E57" i="49"/>
  <c r="F57" i="49"/>
  <c r="G57" i="49"/>
  <c r="H57" i="49"/>
  <c r="I57" i="49"/>
  <c r="J57" i="49"/>
  <c r="K57" i="49"/>
  <c r="L57" i="49"/>
  <c r="M57" i="49"/>
  <c r="N57" i="49"/>
  <c r="O57" i="49"/>
  <c r="P57" i="49"/>
  <c r="Q57" i="49"/>
  <c r="R57" i="49"/>
  <c r="S57" i="49"/>
  <c r="T57" i="49"/>
  <c r="BD57" i="49" s="1"/>
  <c r="AE23" i="94" s="1"/>
  <c r="U57" i="49"/>
  <c r="V57" i="49"/>
  <c r="AC313" i="49"/>
  <c r="AC57" i="49" s="1"/>
  <c r="D23" i="94" s="1"/>
  <c r="AD313" i="49"/>
  <c r="AD57" i="49"/>
  <c r="E23" i="94" s="1"/>
  <c r="AE313" i="49"/>
  <c r="AE57" i="49"/>
  <c r="F23" i="94" s="1"/>
  <c r="AF313" i="49"/>
  <c r="AF57" i="49" s="1"/>
  <c r="G23" i="94" s="1"/>
  <c r="AG313" i="49"/>
  <c r="AG57" i="49"/>
  <c r="H23" i="94" s="1"/>
  <c r="AH313" i="49"/>
  <c r="AH57" i="49"/>
  <c r="I23" i="94" s="1"/>
  <c r="AI313" i="49"/>
  <c r="AI57" i="49"/>
  <c r="J23" i="94" s="1"/>
  <c r="AJ313" i="49"/>
  <c r="AJ57" i="49"/>
  <c r="K23" i="94" s="1"/>
  <c r="AK313" i="49"/>
  <c r="AK57" i="49"/>
  <c r="L23" i="94" s="1"/>
  <c r="AL313" i="49"/>
  <c r="AL57" i="49"/>
  <c r="M23" i="94" s="1"/>
  <c r="AM313" i="49"/>
  <c r="AM57" i="49"/>
  <c r="N23" i="94" s="1"/>
  <c r="AN313" i="49"/>
  <c r="AN57" i="49" s="1"/>
  <c r="O23" i="94" s="1"/>
  <c r="AO313" i="49"/>
  <c r="AO57" i="49"/>
  <c r="P23" i="94" s="1"/>
  <c r="AP313" i="49"/>
  <c r="AP57" i="49"/>
  <c r="Q23" i="94" s="1"/>
  <c r="AQ313" i="49"/>
  <c r="AQ57" i="49"/>
  <c r="R23" i="94" s="1"/>
  <c r="AR57" i="49"/>
  <c r="S23" i="94" s="1"/>
  <c r="AS57" i="49"/>
  <c r="T23" i="94" s="1"/>
  <c r="AT57" i="49"/>
  <c r="U23" i="94" s="1"/>
  <c r="AU57" i="49"/>
  <c r="V23" i="94" s="1"/>
  <c r="AV57" i="49"/>
  <c r="W23" i="94" s="1"/>
  <c r="AW57" i="49"/>
  <c r="X23" i="94" s="1"/>
  <c r="AX57" i="49"/>
  <c r="Y23" i="94" s="1"/>
  <c r="AY57" i="49"/>
  <c r="Z23" i="94" s="1"/>
  <c r="AZ57" i="49"/>
  <c r="AA23" i="94" s="1"/>
  <c r="BA57" i="49"/>
  <c r="AB23" i="94" s="1"/>
  <c r="BB57" i="49"/>
  <c r="AC23" i="94" s="1"/>
  <c r="BC57" i="49"/>
  <c r="AD23" i="94" s="1"/>
  <c r="BE57" i="49"/>
  <c r="AF23" i="94" s="1"/>
  <c r="AE58" i="49"/>
  <c r="AE59" i="49" s="1"/>
  <c r="F25" i="94" s="1"/>
  <c r="F45" i="94" s="1"/>
  <c r="AL58" i="49"/>
  <c r="AL59" i="49" s="1"/>
  <c r="AQ58" i="49"/>
  <c r="AQ59" i="49"/>
  <c r="R25" i="94" s="1"/>
  <c r="R45" i="94" s="1"/>
  <c r="AE60" i="49"/>
  <c r="AE62" i="49" s="1"/>
  <c r="AE64" i="49" s="1"/>
  <c r="D61" i="49"/>
  <c r="E61" i="49"/>
  <c r="F61" i="49"/>
  <c r="G61" i="49"/>
  <c r="H61" i="49"/>
  <c r="I61" i="49"/>
  <c r="J61" i="49"/>
  <c r="K61" i="49"/>
  <c r="L61" i="49"/>
  <c r="M61" i="49"/>
  <c r="N61" i="49"/>
  <c r="O61" i="49"/>
  <c r="P61" i="49"/>
  <c r="Q61" i="49"/>
  <c r="R61" i="49"/>
  <c r="S61" i="49"/>
  <c r="T61" i="49"/>
  <c r="U61" i="49"/>
  <c r="V61" i="49"/>
  <c r="AC61" i="49"/>
  <c r="D27" i="94" s="1"/>
  <c r="D46" i="94" s="1"/>
  <c r="AD61" i="49"/>
  <c r="E27" i="94" s="1"/>
  <c r="E46" i="94" s="1"/>
  <c r="AE61" i="49"/>
  <c r="F27" i="94" s="1"/>
  <c r="F46" i="94" s="1"/>
  <c r="AF61" i="49"/>
  <c r="G27" i="94" s="1"/>
  <c r="G46" i="94" s="1"/>
  <c r="AG61" i="49"/>
  <c r="H27" i="94" s="1"/>
  <c r="H46" i="94" s="1"/>
  <c r="AH61" i="49"/>
  <c r="I27" i="94" s="1"/>
  <c r="I46" i="94" s="1"/>
  <c r="AI61" i="49"/>
  <c r="J27" i="94" s="1"/>
  <c r="J46" i="94" s="1"/>
  <c r="AJ61" i="49"/>
  <c r="K27" i="94" s="1"/>
  <c r="K46" i="94" s="1"/>
  <c r="AK61" i="49"/>
  <c r="L27" i="94" s="1"/>
  <c r="L46" i="94" s="1"/>
  <c r="AL61" i="49"/>
  <c r="M27" i="94" s="1"/>
  <c r="M46" i="94" s="1"/>
  <c r="AM61" i="49"/>
  <c r="N27" i="94" s="1"/>
  <c r="N46" i="94" s="1"/>
  <c r="AN61" i="49"/>
  <c r="O27" i="94" s="1"/>
  <c r="O46" i="94" s="1"/>
  <c r="AO61" i="49"/>
  <c r="P27" i="94" s="1"/>
  <c r="P46" i="94" s="1"/>
  <c r="AP61" i="49"/>
  <c r="Q27" i="94" s="1"/>
  <c r="Q46" i="94" s="1"/>
  <c r="AQ61" i="49"/>
  <c r="R27" i="94" s="1"/>
  <c r="R46" i="94" s="1"/>
  <c r="AR61" i="49"/>
  <c r="S27" i="94" s="1"/>
  <c r="S46" i="94" s="1"/>
  <c r="AS61" i="49"/>
  <c r="T27" i="94" s="1"/>
  <c r="T46" i="94" s="1"/>
  <c r="AT61" i="49"/>
  <c r="U27" i="94" s="1"/>
  <c r="U46" i="94" s="1"/>
  <c r="AU61" i="49"/>
  <c r="V27" i="94" s="1"/>
  <c r="V46" i="94" s="1"/>
  <c r="AV61" i="49"/>
  <c r="W27" i="94" s="1"/>
  <c r="W46" i="94" s="1"/>
  <c r="AW61" i="49"/>
  <c r="X27" i="94" s="1"/>
  <c r="X46" i="94" s="1"/>
  <c r="AX61" i="49"/>
  <c r="Y27" i="94" s="1"/>
  <c r="Y46" i="94" s="1"/>
  <c r="AY61" i="49"/>
  <c r="Z27" i="94" s="1"/>
  <c r="Z46" i="94" s="1"/>
  <c r="AZ61" i="49"/>
  <c r="AA27" i="94" s="1"/>
  <c r="AA46" i="94" s="1"/>
  <c r="BA61" i="49"/>
  <c r="AB27" i="94" s="1"/>
  <c r="AB46" i="94" s="1"/>
  <c r="BB61" i="49"/>
  <c r="AC27" i="94" s="1"/>
  <c r="AC46" i="94" s="1"/>
  <c r="BC61" i="49"/>
  <c r="AD27" i="94" s="1"/>
  <c r="AD46" i="94" s="1"/>
  <c r="BE61" i="49"/>
  <c r="AF27" i="94" s="1"/>
  <c r="AF46" i="94" s="1"/>
  <c r="D332" i="49"/>
  <c r="D63" i="49" s="1"/>
  <c r="E332" i="49"/>
  <c r="E63" i="49"/>
  <c r="F332" i="49"/>
  <c r="F63" i="49" s="1"/>
  <c r="G332" i="49"/>
  <c r="G63" i="49" s="1"/>
  <c r="H332" i="49"/>
  <c r="H63" i="49"/>
  <c r="I332" i="49"/>
  <c r="I63" i="49"/>
  <c r="J332" i="49"/>
  <c r="J63" i="49"/>
  <c r="K332" i="49"/>
  <c r="K63" i="49"/>
  <c r="L332" i="49"/>
  <c r="L63" i="49"/>
  <c r="M332" i="49"/>
  <c r="M63" i="49"/>
  <c r="N332" i="49"/>
  <c r="N63" i="49"/>
  <c r="O332" i="49"/>
  <c r="O63" i="49" s="1"/>
  <c r="P332" i="49"/>
  <c r="P63" i="49"/>
  <c r="Q332" i="49"/>
  <c r="Q63" i="49"/>
  <c r="R332" i="49"/>
  <c r="R63" i="49"/>
  <c r="S332" i="49"/>
  <c r="S63" i="49"/>
  <c r="T332" i="49"/>
  <c r="T63" i="49"/>
  <c r="U332" i="49"/>
  <c r="U63" i="49"/>
  <c r="V332" i="49"/>
  <c r="V63" i="49"/>
  <c r="BD63" i="49" s="1"/>
  <c r="AE29" i="94" s="1"/>
  <c r="W63" i="49"/>
  <c r="X63" i="49" s="1"/>
  <c r="Y63" i="49" s="1"/>
  <c r="Z63" i="49" s="1"/>
  <c r="AA63" i="49" s="1"/>
  <c r="AC332" i="49"/>
  <c r="AC63" i="49" s="1"/>
  <c r="D29" i="94" s="1"/>
  <c r="AD332" i="49"/>
  <c r="AD63" i="49" s="1"/>
  <c r="E29" i="94" s="1"/>
  <c r="AE332" i="49"/>
  <c r="AE63" i="49"/>
  <c r="F29" i="94" s="1"/>
  <c r="AF332" i="49"/>
  <c r="AF63" i="49" s="1"/>
  <c r="G29" i="94" s="1"/>
  <c r="AG332" i="49"/>
  <c r="AG63" i="49"/>
  <c r="H29" i="94" s="1"/>
  <c r="AH332" i="49"/>
  <c r="AH63" i="49"/>
  <c r="I29" i="94" s="1"/>
  <c r="AI332" i="49"/>
  <c r="AI63" i="49"/>
  <c r="J29" i="94" s="1"/>
  <c r="AJ332" i="49"/>
  <c r="AJ63" i="49" s="1"/>
  <c r="K29" i="94" s="1"/>
  <c r="AK332" i="49"/>
  <c r="AK63" i="49" s="1"/>
  <c r="L29" i="94" s="1"/>
  <c r="AL332" i="49"/>
  <c r="AL63" i="49" s="1"/>
  <c r="M29" i="94" s="1"/>
  <c r="AM332" i="49"/>
  <c r="AM63" i="49" s="1"/>
  <c r="N29" i="94" s="1"/>
  <c r="AN332" i="49"/>
  <c r="AN63" i="49" s="1"/>
  <c r="O29" i="94" s="1"/>
  <c r="AO332" i="49"/>
  <c r="AO63" i="49"/>
  <c r="P29" i="94" s="1"/>
  <c r="AP332" i="49"/>
  <c r="AP63" i="49" s="1"/>
  <c r="Q29" i="94" s="1"/>
  <c r="AQ332" i="49"/>
  <c r="AQ63" i="49"/>
  <c r="R29" i="94" s="1"/>
  <c r="AR332" i="49"/>
  <c r="AR63" i="49" s="1"/>
  <c r="S29" i="94" s="1"/>
  <c r="AS332" i="49"/>
  <c r="AS63" i="49" s="1"/>
  <c r="T29" i="94" s="1"/>
  <c r="AT332" i="49"/>
  <c r="AT63" i="49" s="1"/>
  <c r="U29" i="94" s="1"/>
  <c r="AU332" i="49"/>
  <c r="AU63" i="49" s="1"/>
  <c r="V29" i="94" s="1"/>
  <c r="AV332" i="49"/>
  <c r="AV63" i="49" s="1"/>
  <c r="W29" i="94" s="1"/>
  <c r="AW332" i="49"/>
  <c r="AW63" i="49"/>
  <c r="X29" i="94" s="1"/>
  <c r="AX332" i="49"/>
  <c r="AX63" i="49"/>
  <c r="Y29" i="94" s="1"/>
  <c r="AY332" i="49"/>
  <c r="AY63" i="49" s="1"/>
  <c r="Z29" i="94" s="1"/>
  <c r="AZ332" i="49"/>
  <c r="AZ63" i="49" s="1"/>
  <c r="AA29" i="94" s="1"/>
  <c r="BA332" i="49"/>
  <c r="BA63" i="49" s="1"/>
  <c r="AB29" i="94" s="1"/>
  <c r="BB332" i="49"/>
  <c r="BB63" i="49" s="1"/>
  <c r="AC29" i="94" s="1"/>
  <c r="BC332" i="49"/>
  <c r="BC63" i="49" s="1"/>
  <c r="AD29" i="94" s="1"/>
  <c r="AJ69" i="49"/>
  <c r="AJ71" i="49" s="1"/>
  <c r="AJ73" i="49" s="1"/>
  <c r="AL69" i="49"/>
  <c r="AL71" i="49" s="1"/>
  <c r="AS69" i="49"/>
  <c r="AZ69" i="49"/>
  <c r="D480" i="49"/>
  <c r="D70" i="49"/>
  <c r="E480" i="49"/>
  <c r="E70" i="49"/>
  <c r="E76" i="49" s="1"/>
  <c r="F480" i="49"/>
  <c r="F70" i="49"/>
  <c r="F76" i="49" s="1"/>
  <c r="G480" i="49"/>
  <c r="G70" i="49" s="1"/>
  <c r="G76" i="49" s="1"/>
  <c r="H480" i="49"/>
  <c r="H70" i="49" s="1"/>
  <c r="I480" i="49"/>
  <c r="I70" i="49" s="1"/>
  <c r="J480" i="49"/>
  <c r="J70" i="49" s="1"/>
  <c r="J76" i="49" s="1"/>
  <c r="K480" i="49"/>
  <c r="K70" i="49" s="1"/>
  <c r="L480" i="49"/>
  <c r="L70" i="49"/>
  <c r="L76" i="49" s="1"/>
  <c r="M480" i="49"/>
  <c r="M70" i="49" s="1"/>
  <c r="M76" i="49" s="1"/>
  <c r="N480" i="49"/>
  <c r="N70" i="49"/>
  <c r="O480" i="49"/>
  <c r="O70" i="49" s="1"/>
  <c r="P480" i="49"/>
  <c r="P70" i="49" s="1"/>
  <c r="Q480" i="49"/>
  <c r="Q70" i="49" s="1"/>
  <c r="R480" i="49"/>
  <c r="R70" i="49" s="1"/>
  <c r="S480" i="49"/>
  <c r="S70" i="49" s="1"/>
  <c r="T480" i="49"/>
  <c r="T70" i="49"/>
  <c r="T76" i="49" s="1"/>
  <c r="U480" i="49"/>
  <c r="U70" i="49" s="1"/>
  <c r="V480" i="49"/>
  <c r="V70" i="49"/>
  <c r="AC480" i="49"/>
  <c r="AC70" i="49" s="1"/>
  <c r="D35" i="94" s="1"/>
  <c r="AD480" i="49"/>
  <c r="AD70" i="49" s="1"/>
  <c r="E35" i="94" s="1"/>
  <c r="AE480" i="49"/>
  <c r="AE70" i="49" s="1"/>
  <c r="F35" i="94" s="1"/>
  <c r="AF480" i="49"/>
  <c r="AF70" i="49" s="1"/>
  <c r="AG480" i="49"/>
  <c r="AG70" i="49" s="1"/>
  <c r="AH480" i="49"/>
  <c r="AH70" i="49"/>
  <c r="AI480" i="49"/>
  <c r="AI70" i="49" s="1"/>
  <c r="J35" i="94" s="1"/>
  <c r="AJ480" i="49"/>
  <c r="AJ70" i="49"/>
  <c r="AK480" i="49"/>
  <c r="AK70" i="49" s="1"/>
  <c r="L35" i="94" s="1"/>
  <c r="AL480" i="49"/>
  <c r="AL70" i="49" s="1"/>
  <c r="M35" i="94" s="1"/>
  <c r="AM480" i="49"/>
  <c r="AM70" i="49" s="1"/>
  <c r="N35" i="94" s="1"/>
  <c r="AN480" i="49"/>
  <c r="AN70" i="49" s="1"/>
  <c r="AO480" i="49"/>
  <c r="AO70" i="49" s="1"/>
  <c r="P35" i="94" s="1"/>
  <c r="AP480" i="49"/>
  <c r="AP70" i="49"/>
  <c r="AQ480" i="49"/>
  <c r="AQ70" i="49"/>
  <c r="R35" i="94" s="1"/>
  <c r="AR480" i="49"/>
  <c r="AR70" i="49"/>
  <c r="AS480" i="49"/>
  <c r="AS70" i="49" s="1"/>
  <c r="T35" i="94" s="1"/>
  <c r="AT480" i="49"/>
  <c r="AT70" i="49" s="1"/>
  <c r="U35" i="94" s="1"/>
  <c r="AU480" i="49"/>
  <c r="AU70" i="49"/>
  <c r="V35" i="94" s="1"/>
  <c r="AV480" i="49"/>
  <c r="AV70" i="49"/>
  <c r="W35" i="94" s="1"/>
  <c r="AW480" i="49"/>
  <c r="AW70" i="49" s="1"/>
  <c r="X35" i="94" s="1"/>
  <c r="AX480" i="49"/>
  <c r="AX70" i="49" s="1"/>
  <c r="AY480" i="49"/>
  <c r="AY70" i="49"/>
  <c r="Z35" i="94" s="1"/>
  <c r="AZ480" i="49"/>
  <c r="AZ70" i="49" s="1"/>
  <c r="BA480" i="49"/>
  <c r="BA70" i="49" s="1"/>
  <c r="BB480" i="49"/>
  <c r="BB70" i="49" s="1"/>
  <c r="AC35" i="94" s="1"/>
  <c r="BC480" i="49"/>
  <c r="BC70" i="49" s="1"/>
  <c r="AD35" i="94" s="1"/>
  <c r="D484" i="49"/>
  <c r="D72" i="49" s="1"/>
  <c r="E484" i="49"/>
  <c r="E72" i="49" s="1"/>
  <c r="E77" i="49" s="1"/>
  <c r="F484" i="49"/>
  <c r="F72" i="49" s="1"/>
  <c r="F77" i="49" s="1"/>
  <c r="G484" i="49"/>
  <c r="G72" i="49" s="1"/>
  <c r="G77" i="49" s="1"/>
  <c r="H484" i="49"/>
  <c r="H72" i="49" s="1"/>
  <c r="I484" i="49"/>
  <c r="I72" i="49" s="1"/>
  <c r="I77" i="49" s="1"/>
  <c r="J484" i="49"/>
  <c r="J72" i="49" s="1"/>
  <c r="K484" i="49"/>
  <c r="K72" i="49" s="1"/>
  <c r="L484" i="49"/>
  <c r="L72" i="49" s="1"/>
  <c r="M484" i="49"/>
  <c r="M72" i="49" s="1"/>
  <c r="M77" i="49" s="1"/>
  <c r="N484" i="49"/>
  <c r="N72" i="49" s="1"/>
  <c r="O484" i="49"/>
  <c r="O72" i="49" s="1"/>
  <c r="P484" i="49"/>
  <c r="P72" i="49"/>
  <c r="Q484" i="49"/>
  <c r="Q72" i="49"/>
  <c r="R484" i="49"/>
  <c r="R72" i="49" s="1"/>
  <c r="S484" i="49"/>
  <c r="S72" i="49" s="1"/>
  <c r="T484" i="49"/>
  <c r="T72" i="49" s="1"/>
  <c r="T77" i="49" s="1"/>
  <c r="U484" i="49"/>
  <c r="U72" i="49"/>
  <c r="V484" i="49"/>
  <c r="V72" i="49" s="1"/>
  <c r="AC484" i="49"/>
  <c r="AC72" i="49" s="1"/>
  <c r="D37" i="94" s="1"/>
  <c r="AD484" i="49"/>
  <c r="AD72" i="49" s="1"/>
  <c r="AE484" i="49"/>
  <c r="AE72" i="49"/>
  <c r="F37" i="94" s="1"/>
  <c r="AF484" i="49"/>
  <c r="AF72" i="49" s="1"/>
  <c r="AG484" i="49"/>
  <c r="AG72" i="49" s="1"/>
  <c r="H37" i="94" s="1"/>
  <c r="AH484" i="49"/>
  <c r="AH72" i="49" s="1"/>
  <c r="AI484" i="49"/>
  <c r="AI72" i="49"/>
  <c r="J37" i="94" s="1"/>
  <c r="AJ484" i="49"/>
  <c r="AJ72" i="49" s="1"/>
  <c r="AK484" i="49"/>
  <c r="AK72" i="49"/>
  <c r="L37" i="94" s="1"/>
  <c r="AL484" i="49"/>
  <c r="AL72" i="49"/>
  <c r="AM484" i="49"/>
  <c r="AM72" i="49" s="1"/>
  <c r="N37" i="94" s="1"/>
  <c r="AN484" i="49"/>
  <c r="AN72" i="49" s="1"/>
  <c r="O37" i="94" s="1"/>
  <c r="AO484" i="49"/>
  <c r="AO72" i="49" s="1"/>
  <c r="P37" i="94" s="1"/>
  <c r="AP484" i="49"/>
  <c r="AP72" i="49"/>
  <c r="Q37" i="94" s="1"/>
  <c r="AQ484" i="49"/>
  <c r="AQ72" i="49"/>
  <c r="AR484" i="49"/>
  <c r="AR72" i="49" s="1"/>
  <c r="AS484" i="49"/>
  <c r="AS72" i="49" s="1"/>
  <c r="AT484" i="49"/>
  <c r="AT72" i="49"/>
  <c r="U37" i="94" s="1"/>
  <c r="AU484" i="49"/>
  <c r="AU72" i="49" s="1"/>
  <c r="AV484" i="49"/>
  <c r="AV72" i="49" s="1"/>
  <c r="W37" i="94" s="1"/>
  <c r="AW484" i="49"/>
  <c r="AW72" i="49" s="1"/>
  <c r="X37" i="94" s="1"/>
  <c r="AX484" i="49"/>
  <c r="AX72" i="49" s="1"/>
  <c r="AY484" i="49"/>
  <c r="AY72" i="49"/>
  <c r="Z37" i="94" s="1"/>
  <c r="AZ484" i="49"/>
  <c r="AZ72" i="49" s="1"/>
  <c r="BA484" i="49"/>
  <c r="BA72" i="49"/>
  <c r="BB484" i="49"/>
  <c r="BB72" i="49"/>
  <c r="BC484" i="49"/>
  <c r="BC72" i="49" s="1"/>
  <c r="AJ75" i="49"/>
  <c r="I76" i="49"/>
  <c r="Q76" i="49"/>
  <c r="AC76" i="49"/>
  <c r="AD76" i="49"/>
  <c r="AK76" i="49"/>
  <c r="AL76" i="49"/>
  <c r="AM76" i="49"/>
  <c r="AO76" i="49"/>
  <c r="AS76" i="49"/>
  <c r="AT76" i="49"/>
  <c r="AU76" i="49"/>
  <c r="AV76" i="49"/>
  <c r="J77" i="49"/>
  <c r="L77" i="49"/>
  <c r="Q77" i="49"/>
  <c r="AC77" i="49"/>
  <c r="AE77" i="49"/>
  <c r="AI77" i="49"/>
  <c r="AO77" i="49"/>
  <c r="AP77" i="49"/>
  <c r="AT77" i="49"/>
  <c r="AV77" i="49"/>
  <c r="D79" i="49"/>
  <c r="E79" i="49"/>
  <c r="F79" i="49"/>
  <c r="G79" i="49"/>
  <c r="H79" i="49"/>
  <c r="I79" i="49"/>
  <c r="J79" i="49"/>
  <c r="K79" i="49"/>
  <c r="L79" i="49"/>
  <c r="M79" i="49"/>
  <c r="N79" i="49"/>
  <c r="O79" i="49"/>
  <c r="P79" i="49"/>
  <c r="Q79" i="49"/>
  <c r="R79" i="49"/>
  <c r="S79" i="49"/>
  <c r="T79" i="49"/>
  <c r="U79" i="49"/>
  <c r="V79" i="49"/>
  <c r="W79" i="49"/>
  <c r="AD79" i="49"/>
  <c r="AE79" i="49"/>
  <c r="AF79" i="49"/>
  <c r="AG79" i="49"/>
  <c r="AH79" i="49"/>
  <c r="AI79" i="49"/>
  <c r="AJ79" i="49"/>
  <c r="AL79" i="49"/>
  <c r="AM79" i="49"/>
  <c r="AN79" i="49"/>
  <c r="AO79" i="49"/>
  <c r="AP79" i="49"/>
  <c r="AQ79" i="49"/>
  <c r="AR79" i="49"/>
  <c r="AT79" i="49"/>
  <c r="AU79" i="49"/>
  <c r="AV79" i="49"/>
  <c r="AW79" i="49"/>
  <c r="AX79" i="49"/>
  <c r="AY79" i="49"/>
  <c r="AZ79" i="49"/>
  <c r="BB79" i="49"/>
  <c r="BC79" i="49"/>
  <c r="BD79" i="49"/>
  <c r="AE80" i="49"/>
  <c r="AQ80" i="49"/>
  <c r="D84" i="49"/>
  <c r="E495" i="49"/>
  <c r="E84" i="49" s="1"/>
  <c r="F495" i="49"/>
  <c r="F84" i="49" s="1"/>
  <c r="H84" i="49"/>
  <c r="I495" i="49"/>
  <c r="J495" i="49" s="1"/>
  <c r="J84" i="49" s="1"/>
  <c r="I84" i="49"/>
  <c r="K495" i="49"/>
  <c r="K84" i="49" s="1"/>
  <c r="L84" i="49"/>
  <c r="M495" i="49"/>
  <c r="M84" i="49" s="1"/>
  <c r="N495" i="49"/>
  <c r="N84" i="49" s="1"/>
  <c r="O495" i="49"/>
  <c r="O84" i="49" s="1"/>
  <c r="P84" i="49"/>
  <c r="Q495" i="49"/>
  <c r="Q84" i="49"/>
  <c r="R495" i="49"/>
  <c r="R84" i="49" s="1"/>
  <c r="T84" i="49"/>
  <c r="U495" i="49"/>
  <c r="U84" i="49"/>
  <c r="AC84" i="49"/>
  <c r="AD84" i="49"/>
  <c r="AE84" i="49"/>
  <c r="AF84" i="49"/>
  <c r="AG84" i="49"/>
  <c r="AH84" i="49"/>
  <c r="AI84" i="49"/>
  <c r="AJ84" i="49"/>
  <c r="AK84" i="49"/>
  <c r="AL84" i="49"/>
  <c r="AM84" i="49"/>
  <c r="AN84" i="49"/>
  <c r="AO84" i="49"/>
  <c r="AP84" i="49"/>
  <c r="AQ84" i="49"/>
  <c r="AR84" i="49"/>
  <c r="AS84" i="49"/>
  <c r="AT84" i="49"/>
  <c r="AU84" i="49"/>
  <c r="AV84" i="49"/>
  <c r="AW84" i="49"/>
  <c r="AX84" i="49"/>
  <c r="AY84" i="49"/>
  <c r="AZ84" i="49"/>
  <c r="BA84" i="49"/>
  <c r="BB84" i="49"/>
  <c r="BC84" i="49"/>
  <c r="BE84" i="49"/>
  <c r="D85" i="49"/>
  <c r="E449" i="49"/>
  <c r="E466" i="49" s="1"/>
  <c r="D449" i="49"/>
  <c r="E450" i="49"/>
  <c r="D450" i="49"/>
  <c r="E451" i="49"/>
  <c r="F468" i="49" s="1"/>
  <c r="D451" i="49"/>
  <c r="E452" i="49"/>
  <c r="D452" i="49"/>
  <c r="E469" i="49"/>
  <c r="E453" i="49"/>
  <c r="F470" i="49" s="1"/>
  <c r="D453" i="49"/>
  <c r="E470" i="49"/>
  <c r="F449" i="49"/>
  <c r="F466" i="49" s="1"/>
  <c r="F450" i="49"/>
  <c r="F467" i="49"/>
  <c r="F451" i="49"/>
  <c r="F452" i="49"/>
  <c r="F469" i="49"/>
  <c r="F453" i="49"/>
  <c r="G449" i="49"/>
  <c r="H466" i="49" s="1"/>
  <c r="G466" i="49"/>
  <c r="G450" i="49"/>
  <c r="G467" i="49" s="1"/>
  <c r="G451" i="49"/>
  <c r="G468" i="49" s="1"/>
  <c r="G452" i="49"/>
  <c r="G469" i="49"/>
  <c r="G453" i="49"/>
  <c r="G470" i="49"/>
  <c r="H449" i="49"/>
  <c r="H450" i="49"/>
  <c r="H467" i="49"/>
  <c r="H451" i="49"/>
  <c r="I468" i="49" s="1"/>
  <c r="H468" i="49"/>
  <c r="H452" i="49"/>
  <c r="H469" i="49" s="1"/>
  <c r="H453" i="49"/>
  <c r="H470" i="49" s="1"/>
  <c r="I449" i="49"/>
  <c r="I466" i="49"/>
  <c r="I450" i="49"/>
  <c r="I467" i="49"/>
  <c r="I451" i="49"/>
  <c r="I452" i="49"/>
  <c r="I453" i="49"/>
  <c r="J470" i="49" s="1"/>
  <c r="I470" i="49"/>
  <c r="J449" i="49"/>
  <c r="J466" i="49" s="1"/>
  <c r="J450" i="49"/>
  <c r="J467" i="49"/>
  <c r="J451" i="49"/>
  <c r="J468" i="49"/>
  <c r="J452" i="49"/>
  <c r="J469" i="49"/>
  <c r="J453" i="49"/>
  <c r="K449" i="49"/>
  <c r="L466" i="49" s="1"/>
  <c r="K466" i="49"/>
  <c r="K450" i="49"/>
  <c r="K467" i="49" s="1"/>
  <c r="K451" i="49"/>
  <c r="K468" i="49" s="1"/>
  <c r="K452" i="49"/>
  <c r="K469" i="49"/>
  <c r="K453" i="49"/>
  <c r="K470" i="49"/>
  <c r="L449" i="49"/>
  <c r="L450" i="49"/>
  <c r="L451" i="49"/>
  <c r="M468" i="49" s="1"/>
  <c r="L468" i="49"/>
  <c r="L452" i="49"/>
  <c r="L469" i="49" s="1"/>
  <c r="L453" i="49"/>
  <c r="L470" i="49" s="1"/>
  <c r="M449" i="49"/>
  <c r="M466" i="49"/>
  <c r="M450" i="49"/>
  <c r="M467" i="49"/>
  <c r="M451" i="49"/>
  <c r="M452" i="49"/>
  <c r="M469" i="49"/>
  <c r="M453" i="49"/>
  <c r="N470" i="49" s="1"/>
  <c r="M470" i="49"/>
  <c r="M471" i="49"/>
  <c r="M85" i="49" s="1"/>
  <c r="N449" i="49"/>
  <c r="N466" i="49" s="1"/>
  <c r="N450" i="49"/>
  <c r="N467" i="49"/>
  <c r="N451" i="49"/>
  <c r="N468" i="49"/>
  <c r="N452" i="49"/>
  <c r="N469" i="49"/>
  <c r="N453" i="49"/>
  <c r="O449" i="49"/>
  <c r="P466" i="49" s="1"/>
  <c r="O466" i="49"/>
  <c r="O471" i="49" s="1"/>
  <c r="O85" i="49" s="1"/>
  <c r="O450" i="49"/>
  <c r="O467" i="49" s="1"/>
  <c r="O451" i="49"/>
  <c r="O468" i="49" s="1"/>
  <c r="O452" i="49"/>
  <c r="O469" i="49"/>
  <c r="O453" i="49"/>
  <c r="O470" i="49"/>
  <c r="P449" i="49"/>
  <c r="P450" i="49"/>
  <c r="P451" i="49"/>
  <c r="Q468" i="49" s="1"/>
  <c r="P468" i="49"/>
  <c r="P452" i="49"/>
  <c r="P469" i="49" s="1"/>
  <c r="P453" i="49"/>
  <c r="P470" i="49" s="1"/>
  <c r="Q449" i="49"/>
  <c r="Q466" i="49"/>
  <c r="Q450" i="49"/>
  <c r="Q467" i="49"/>
  <c r="Q451" i="49"/>
  <c r="Q452" i="49"/>
  <c r="Q453" i="49"/>
  <c r="R470" i="49" s="1"/>
  <c r="Q470" i="49"/>
  <c r="R449" i="49"/>
  <c r="R466" i="49" s="1"/>
  <c r="R450" i="49"/>
  <c r="R467" i="49"/>
  <c r="R451" i="49"/>
  <c r="R468" i="49"/>
  <c r="R452" i="49"/>
  <c r="R469" i="49"/>
  <c r="R453" i="49"/>
  <c r="S449" i="49"/>
  <c r="T466" i="49" s="1"/>
  <c r="S466" i="49"/>
  <c r="S450" i="49"/>
  <c r="S467" i="49" s="1"/>
  <c r="S451" i="49"/>
  <c r="S468" i="49" s="1"/>
  <c r="S452" i="49"/>
  <c r="S469" i="49"/>
  <c r="S453" i="49"/>
  <c r="S470" i="49"/>
  <c r="T449" i="49"/>
  <c r="T450" i="49"/>
  <c r="T451" i="49"/>
  <c r="U468" i="49" s="1"/>
  <c r="T468" i="49"/>
  <c r="T452" i="49"/>
  <c r="T469" i="49" s="1"/>
  <c r="T453" i="49"/>
  <c r="T470" i="49" s="1"/>
  <c r="U449" i="49"/>
  <c r="U466" i="49"/>
  <c r="U450" i="49"/>
  <c r="U467" i="49"/>
  <c r="U451" i="49"/>
  <c r="U452" i="49"/>
  <c r="U453" i="49"/>
  <c r="V470" i="49" s="1"/>
  <c r="U470" i="49"/>
  <c r="V449" i="49"/>
  <c r="V466" i="49" s="1"/>
  <c r="V450" i="49"/>
  <c r="V467" i="49"/>
  <c r="V451" i="49"/>
  <c r="V468" i="49"/>
  <c r="V452" i="49"/>
  <c r="V469" i="49"/>
  <c r="V453" i="49"/>
  <c r="D541" i="49"/>
  <c r="E540" i="49"/>
  <c r="E541" i="49" s="1"/>
  <c r="F540" i="49" s="1"/>
  <c r="F541" i="49" s="1"/>
  <c r="G540" i="49" s="1"/>
  <c r="G541" i="49" s="1"/>
  <c r="H540" i="49" s="1"/>
  <c r="H541" i="49" s="1"/>
  <c r="I540" i="49" s="1"/>
  <c r="I541" i="49" s="1"/>
  <c r="J540" i="49" s="1"/>
  <c r="J541" i="49" s="1"/>
  <c r="K540" i="49" s="1"/>
  <c r="K541" i="49" s="1"/>
  <c r="L540" i="49" s="1"/>
  <c r="L541" i="49" s="1"/>
  <c r="M540" i="49" s="1"/>
  <c r="M541" i="49" s="1"/>
  <c r="N540" i="49" s="1"/>
  <c r="N541" i="49" s="1"/>
  <c r="O540" i="49" s="1"/>
  <c r="O541" i="49" s="1"/>
  <c r="P540" i="49" s="1"/>
  <c r="P541" i="49" s="1"/>
  <c r="Q540" i="49" s="1"/>
  <c r="Q541" i="49" s="1"/>
  <c r="R540" i="49" s="1"/>
  <c r="R541" i="49" s="1"/>
  <c r="Y477" i="49"/>
  <c r="Y476" i="49"/>
  <c r="X476" i="49"/>
  <c r="Z476" i="49"/>
  <c r="AC85" i="49"/>
  <c r="AD449" i="49"/>
  <c r="AC449" i="49"/>
  <c r="AD450" i="49"/>
  <c r="AC450" i="49"/>
  <c r="AD451" i="49"/>
  <c r="AC451" i="49"/>
  <c r="AD468" i="49"/>
  <c r="AD452" i="49"/>
  <c r="AD469" i="49" s="1"/>
  <c r="AC452" i="49"/>
  <c r="AD453" i="49"/>
  <c r="AC453" i="49"/>
  <c r="AD470" i="49" s="1"/>
  <c r="AE449" i="49"/>
  <c r="AE466" i="49" s="1"/>
  <c r="AE450" i="49"/>
  <c r="AF467" i="49" s="1"/>
  <c r="AE451" i="49"/>
  <c r="AE468" i="49" s="1"/>
  <c r="AE452" i="49"/>
  <c r="AE453" i="49"/>
  <c r="AE470" i="49" s="1"/>
  <c r="AF449" i="49"/>
  <c r="AF466" i="49"/>
  <c r="AF450" i="49"/>
  <c r="AF451" i="49"/>
  <c r="AF468" i="49" s="1"/>
  <c r="AF452" i="49"/>
  <c r="AF469" i="49" s="1"/>
  <c r="AF453" i="49"/>
  <c r="AG449" i="49"/>
  <c r="AG466" i="49"/>
  <c r="AG450" i="49"/>
  <c r="AH467" i="49" s="1"/>
  <c r="AG467" i="49"/>
  <c r="AG451" i="49"/>
  <c r="AG452" i="49"/>
  <c r="AG453" i="49"/>
  <c r="AG470" i="49"/>
  <c r="AH449" i="49"/>
  <c r="AH466" i="49" s="1"/>
  <c r="AH450" i="49"/>
  <c r="AH451" i="49"/>
  <c r="AH468" i="49" s="1"/>
  <c r="AH471" i="49" s="1"/>
  <c r="AH85" i="49" s="1"/>
  <c r="AH452" i="49"/>
  <c r="AI469" i="49" s="1"/>
  <c r="AH469" i="49"/>
  <c r="AH453" i="49"/>
  <c r="AH470" i="49"/>
  <c r="AI449" i="49"/>
  <c r="AI466" i="49"/>
  <c r="AI450" i="49"/>
  <c r="AI467" i="49"/>
  <c r="AI451" i="49"/>
  <c r="AI468" i="49" s="1"/>
  <c r="AI452" i="49"/>
  <c r="AI453" i="49"/>
  <c r="AI470" i="49"/>
  <c r="AJ449" i="49"/>
  <c r="AJ466" i="49"/>
  <c r="AJ450" i="49"/>
  <c r="AJ467" i="49" s="1"/>
  <c r="AJ451" i="49"/>
  <c r="AJ452" i="49"/>
  <c r="AJ469" i="49"/>
  <c r="AJ453" i="49"/>
  <c r="AK449" i="49"/>
  <c r="AK466" i="49"/>
  <c r="AK450" i="49"/>
  <c r="AK451" i="49"/>
  <c r="AK468" i="49" s="1"/>
  <c r="AK452" i="49"/>
  <c r="AK469" i="49" s="1"/>
  <c r="AK453" i="49"/>
  <c r="AL449" i="49"/>
  <c r="AM466" i="49" s="1"/>
  <c r="AL450" i="49"/>
  <c r="AL451" i="49"/>
  <c r="AL452" i="49"/>
  <c r="AL453" i="49"/>
  <c r="AL470" i="49" s="1"/>
  <c r="AM449" i="49"/>
  <c r="AM450" i="49"/>
  <c r="AM467" i="49" s="1"/>
  <c r="AM451" i="49"/>
  <c r="AN468" i="49" s="1"/>
  <c r="AM452" i="49"/>
  <c r="AM453" i="49"/>
  <c r="AN449" i="49"/>
  <c r="AN466" i="49" s="1"/>
  <c r="AN450" i="49"/>
  <c r="AN467" i="49"/>
  <c r="AN451" i="49"/>
  <c r="AN452" i="49"/>
  <c r="AN469" i="49" s="1"/>
  <c r="AN453" i="49"/>
  <c r="AN470" i="49" s="1"/>
  <c r="AO449" i="49"/>
  <c r="AO466" i="49" s="1"/>
  <c r="AO450" i="49"/>
  <c r="AP467" i="49" s="1"/>
  <c r="AO451" i="49"/>
  <c r="AO468" i="49"/>
  <c r="AO452" i="49"/>
  <c r="AO469" i="49"/>
  <c r="AO453" i="49"/>
  <c r="AP449" i="49"/>
  <c r="AP466" i="49"/>
  <c r="AP450" i="49"/>
  <c r="AP451" i="49"/>
  <c r="AP468" i="49" s="1"/>
  <c r="AP452" i="49"/>
  <c r="AQ469" i="49" s="1"/>
  <c r="AP469" i="49"/>
  <c r="AP453" i="49"/>
  <c r="AP470" i="49"/>
  <c r="AQ449" i="49"/>
  <c r="AQ466" i="49" s="1"/>
  <c r="AQ450" i="49"/>
  <c r="AQ467" i="49"/>
  <c r="AQ471" i="49" s="1"/>
  <c r="AQ85" i="49" s="1"/>
  <c r="AQ451" i="49"/>
  <c r="AQ468" i="49"/>
  <c r="AQ452" i="49"/>
  <c r="AQ453" i="49"/>
  <c r="AQ470" i="49" s="1"/>
  <c r="AR449" i="49"/>
  <c r="AR450" i="49"/>
  <c r="AR467" i="49"/>
  <c r="AR451" i="49"/>
  <c r="AR468" i="49" s="1"/>
  <c r="AR452" i="49"/>
  <c r="AR469" i="49"/>
  <c r="AR453" i="49"/>
  <c r="AR470" i="49"/>
  <c r="AS449" i="49"/>
  <c r="AS466" i="49" s="1"/>
  <c r="AS450" i="49"/>
  <c r="AS467" i="49"/>
  <c r="AS451" i="49"/>
  <c r="AS468" i="49" s="1"/>
  <c r="AS452" i="49"/>
  <c r="AS469" i="49" s="1"/>
  <c r="AS453" i="49"/>
  <c r="AS470" i="49"/>
  <c r="AT449" i="49"/>
  <c r="AT450" i="49"/>
  <c r="AT467" i="49"/>
  <c r="AT451" i="49"/>
  <c r="AT452" i="49"/>
  <c r="AT469" i="49"/>
  <c r="AT453" i="49"/>
  <c r="AT470" i="49" s="1"/>
  <c r="AU449" i="49"/>
  <c r="AU466" i="49" s="1"/>
  <c r="AU471" i="49" s="1"/>
  <c r="AU85" i="49" s="1"/>
  <c r="AU450" i="49"/>
  <c r="AU467" i="49"/>
  <c r="AU451" i="49"/>
  <c r="AU468" i="49" s="1"/>
  <c r="AU452" i="49"/>
  <c r="AU469" i="49"/>
  <c r="AU453" i="49"/>
  <c r="AU470" i="49" s="1"/>
  <c r="AV449" i="49"/>
  <c r="AV450" i="49"/>
  <c r="AV467" i="49" s="1"/>
  <c r="AV451" i="49"/>
  <c r="AV452" i="49"/>
  <c r="AV469" i="49"/>
  <c r="AV453" i="49"/>
  <c r="AV470" i="49" s="1"/>
  <c r="AW449" i="49"/>
  <c r="AW466" i="49"/>
  <c r="AW450" i="49"/>
  <c r="AW451" i="49"/>
  <c r="AW468" i="49" s="1"/>
  <c r="AW452" i="49"/>
  <c r="AW469" i="49"/>
  <c r="AW453" i="49"/>
  <c r="AX449" i="49"/>
  <c r="AX466" i="49"/>
  <c r="AX450" i="49"/>
  <c r="AX467" i="49"/>
  <c r="AX451" i="49"/>
  <c r="AY468" i="49" s="1"/>
  <c r="AX452" i="49"/>
  <c r="AX469" i="49" s="1"/>
  <c r="AX453" i="49"/>
  <c r="AX470" i="49" s="1"/>
  <c r="AY449" i="49"/>
  <c r="AY466" i="49"/>
  <c r="AY450" i="49"/>
  <c r="AY467" i="49" s="1"/>
  <c r="AY451" i="49"/>
  <c r="AY452" i="49"/>
  <c r="AY469" i="49"/>
  <c r="AY453" i="49"/>
  <c r="AZ470" i="49" s="1"/>
  <c r="AY470" i="49"/>
  <c r="AZ449" i="49"/>
  <c r="AZ466" i="49"/>
  <c r="AZ450" i="49"/>
  <c r="AZ451" i="49"/>
  <c r="AZ468" i="49"/>
  <c r="AZ452" i="49"/>
  <c r="AZ469" i="49" s="1"/>
  <c r="AZ453" i="49"/>
  <c r="BA449" i="49"/>
  <c r="BB466" i="49" s="1"/>
  <c r="BA450" i="49"/>
  <c r="BA451" i="49"/>
  <c r="BA468" i="49"/>
  <c r="BA452" i="49"/>
  <c r="BA453" i="49"/>
  <c r="BA470" i="49" s="1"/>
  <c r="BB449" i="49"/>
  <c r="BB450" i="49"/>
  <c r="BB451" i="49"/>
  <c r="BC468" i="49" s="1"/>
  <c r="BB452" i="49"/>
  <c r="BB453" i="49"/>
  <c r="BC449" i="49"/>
  <c r="BC466" i="49" s="1"/>
  <c r="BC450" i="49"/>
  <c r="BC467" i="49"/>
  <c r="BC451" i="49"/>
  <c r="BC452" i="49"/>
  <c r="BC453" i="49"/>
  <c r="BC470" i="49" s="1"/>
  <c r="D346" i="49"/>
  <c r="D87" i="49"/>
  <c r="E346" i="49"/>
  <c r="E87" i="49"/>
  <c r="BG87" i="49" s="1"/>
  <c r="F346" i="49"/>
  <c r="F87" i="49" s="1"/>
  <c r="G346" i="49"/>
  <c r="G87" i="49" s="1"/>
  <c r="H346" i="49"/>
  <c r="H87" i="49"/>
  <c r="I346" i="49"/>
  <c r="I87" i="49" s="1"/>
  <c r="J346" i="49"/>
  <c r="J87" i="49" s="1"/>
  <c r="K346" i="49"/>
  <c r="K87" i="49" s="1"/>
  <c r="L346" i="49"/>
  <c r="M346" i="49"/>
  <c r="M87" i="49"/>
  <c r="N346" i="49"/>
  <c r="N87" i="49" s="1"/>
  <c r="O346" i="49"/>
  <c r="O87" i="49" s="1"/>
  <c r="P346" i="49"/>
  <c r="Q346" i="49"/>
  <c r="Q87" i="49"/>
  <c r="R346" i="49"/>
  <c r="R87" i="49"/>
  <c r="S346" i="49"/>
  <c r="S87" i="49"/>
  <c r="T346" i="49"/>
  <c r="U346" i="49"/>
  <c r="U87" i="49" s="1"/>
  <c r="V346" i="49"/>
  <c r="V87" i="49" s="1"/>
  <c r="AC87" i="49"/>
  <c r="AD87" i="49"/>
  <c r="AE87" i="49"/>
  <c r="AF87" i="49"/>
  <c r="AG87" i="49"/>
  <c r="AH87" i="49"/>
  <c r="AI87" i="49"/>
  <c r="AJ87" i="49"/>
  <c r="AK87" i="49"/>
  <c r="AL87" i="49"/>
  <c r="AM87" i="49"/>
  <c r="AN87" i="49"/>
  <c r="AO87" i="49"/>
  <c r="AP87" i="49"/>
  <c r="AQ87" i="49"/>
  <c r="AR346" i="49"/>
  <c r="AR87" i="49"/>
  <c r="AS346" i="49"/>
  <c r="AS87" i="49" s="1"/>
  <c r="AT346" i="49"/>
  <c r="AT87" i="49" s="1"/>
  <c r="AU346" i="49"/>
  <c r="AU87" i="49" s="1"/>
  <c r="AV346" i="49"/>
  <c r="AV87" i="49"/>
  <c r="AW346" i="49"/>
  <c r="AW87" i="49" s="1"/>
  <c r="AX346" i="49"/>
  <c r="AY346" i="49"/>
  <c r="AY87" i="49"/>
  <c r="AZ346" i="49"/>
  <c r="AZ87" i="49"/>
  <c r="BA346" i="49"/>
  <c r="BA87" i="49"/>
  <c r="BB346" i="49"/>
  <c r="BB87" i="49"/>
  <c r="BC346" i="49"/>
  <c r="BC87" i="49"/>
  <c r="D90" i="49"/>
  <c r="E90" i="49"/>
  <c r="F90" i="49"/>
  <c r="G90" i="49"/>
  <c r="H90" i="49"/>
  <c r="I90" i="49"/>
  <c r="J90" i="49"/>
  <c r="K90" i="49"/>
  <c r="L90" i="49"/>
  <c r="M90" i="49"/>
  <c r="N90" i="49"/>
  <c r="O90" i="49"/>
  <c r="P90" i="49"/>
  <c r="Q90" i="49"/>
  <c r="R90" i="49"/>
  <c r="S90" i="49"/>
  <c r="T90" i="49"/>
  <c r="U90" i="49"/>
  <c r="BD90" i="49" s="1"/>
  <c r="AE56" i="94" s="1"/>
  <c r="V90" i="49"/>
  <c r="AC90" i="49"/>
  <c r="D56" i="94" s="1"/>
  <c r="AD90" i="49"/>
  <c r="E56" i="94" s="1"/>
  <c r="AE90" i="49"/>
  <c r="F56" i="94" s="1"/>
  <c r="AF90" i="49"/>
  <c r="G56" i="94" s="1"/>
  <c r="AG90" i="49"/>
  <c r="AH90" i="49"/>
  <c r="I56" i="94" s="1"/>
  <c r="AI90" i="49"/>
  <c r="AJ90" i="49"/>
  <c r="K56" i="94" s="1"/>
  <c r="AK90" i="49"/>
  <c r="L56" i="94" s="1"/>
  <c r="AL90" i="49"/>
  <c r="M56" i="94" s="1"/>
  <c r="AM90" i="49"/>
  <c r="N56" i="94" s="1"/>
  <c r="AN90" i="49"/>
  <c r="O56" i="94" s="1"/>
  <c r="AO90" i="49"/>
  <c r="P56" i="94" s="1"/>
  <c r="AP90" i="49"/>
  <c r="Q56" i="94" s="1"/>
  <c r="AQ90" i="49"/>
  <c r="R56" i="94" s="1"/>
  <c r="AR90" i="49"/>
  <c r="S56" i="94" s="1"/>
  <c r="AS90" i="49"/>
  <c r="T56" i="94" s="1"/>
  <c r="AT90" i="49"/>
  <c r="U56" i="94" s="1"/>
  <c r="AU90" i="49"/>
  <c r="V56" i="94" s="1"/>
  <c r="AV90" i="49"/>
  <c r="W56" i="94" s="1"/>
  <c r="AW90" i="49"/>
  <c r="X56" i="94" s="1"/>
  <c r="AX90" i="49"/>
  <c r="Y56" i="94" s="1"/>
  <c r="AY90" i="49"/>
  <c r="Z56" i="94" s="1"/>
  <c r="AZ90" i="49"/>
  <c r="AA56" i="94" s="1"/>
  <c r="BA90" i="49"/>
  <c r="AB56" i="94" s="1"/>
  <c r="BB90" i="49"/>
  <c r="AC56" i="94" s="1"/>
  <c r="BC90" i="49"/>
  <c r="AD56" i="94" s="1"/>
  <c r="BE90" i="49"/>
  <c r="AF56" i="94" s="1"/>
  <c r="D91" i="49"/>
  <c r="E91" i="49"/>
  <c r="F91" i="49"/>
  <c r="G91" i="49"/>
  <c r="H91" i="49"/>
  <c r="I91" i="49"/>
  <c r="J91" i="49"/>
  <c r="K91" i="49"/>
  <c r="L91" i="49"/>
  <c r="M91" i="49"/>
  <c r="N91" i="49"/>
  <c r="O91" i="49"/>
  <c r="P91" i="49"/>
  <c r="Q91" i="49"/>
  <c r="R91" i="49"/>
  <c r="S91" i="49"/>
  <c r="T91" i="49"/>
  <c r="U91" i="49"/>
  <c r="BD91" i="49" s="1"/>
  <c r="AE57" i="94" s="1"/>
  <c r="V91" i="49"/>
  <c r="AC91" i="49"/>
  <c r="D57" i="94" s="1"/>
  <c r="AD91" i="49"/>
  <c r="E57" i="94" s="1"/>
  <c r="AE91" i="49"/>
  <c r="F57" i="94" s="1"/>
  <c r="AF91" i="49"/>
  <c r="G57" i="94" s="1"/>
  <c r="AG91" i="49"/>
  <c r="H57" i="94" s="1"/>
  <c r="AH91" i="49"/>
  <c r="I57" i="94" s="1"/>
  <c r="AI91" i="49"/>
  <c r="J57" i="94" s="1"/>
  <c r="AJ91" i="49"/>
  <c r="K57" i="94" s="1"/>
  <c r="AK91" i="49"/>
  <c r="L57" i="94" s="1"/>
  <c r="AL91" i="49"/>
  <c r="M57" i="94" s="1"/>
  <c r="AM91" i="49"/>
  <c r="N57" i="94" s="1"/>
  <c r="AN91" i="49"/>
  <c r="O57" i="94" s="1"/>
  <c r="AO91" i="49"/>
  <c r="P57" i="94" s="1"/>
  <c r="AP91" i="49"/>
  <c r="Q57" i="94" s="1"/>
  <c r="AQ91" i="49"/>
  <c r="R57" i="94" s="1"/>
  <c r="AR91" i="49"/>
  <c r="S57" i="94" s="1"/>
  <c r="AS91" i="49"/>
  <c r="T57" i="94" s="1"/>
  <c r="AT91" i="49"/>
  <c r="U57" i="94" s="1"/>
  <c r="AU91" i="49"/>
  <c r="V57" i="94" s="1"/>
  <c r="AV91" i="49"/>
  <c r="W57" i="94" s="1"/>
  <c r="AW91" i="49"/>
  <c r="X57" i="94" s="1"/>
  <c r="AX91" i="49"/>
  <c r="Y57" i="94" s="1"/>
  <c r="AY91" i="49"/>
  <c r="Z57" i="94" s="1"/>
  <c r="AZ91" i="49"/>
  <c r="AA57" i="94" s="1"/>
  <c r="BA91" i="49"/>
  <c r="AB57" i="94" s="1"/>
  <c r="BB91" i="49"/>
  <c r="AC57" i="94" s="1"/>
  <c r="BC91" i="49"/>
  <c r="AD57" i="94" s="1"/>
  <c r="BE91" i="49"/>
  <c r="AF57" i="94" s="1"/>
  <c r="D92" i="49"/>
  <c r="E92" i="49"/>
  <c r="F92" i="49"/>
  <c r="G92" i="49"/>
  <c r="H92" i="49"/>
  <c r="I92" i="49"/>
  <c r="J92" i="49"/>
  <c r="K92" i="49"/>
  <c r="L92" i="49"/>
  <c r="M92" i="49"/>
  <c r="N92" i="49"/>
  <c r="O92" i="49"/>
  <c r="P92" i="49"/>
  <c r="Q92" i="49"/>
  <c r="R92" i="49"/>
  <c r="S92" i="49"/>
  <c r="S94" i="49" s="1"/>
  <c r="T92" i="49"/>
  <c r="U92" i="49"/>
  <c r="BD92" i="49" s="1"/>
  <c r="AE58" i="94" s="1"/>
  <c r="V92" i="49"/>
  <c r="AC92" i="49"/>
  <c r="D58" i="94" s="1"/>
  <c r="AD92" i="49"/>
  <c r="E58" i="94" s="1"/>
  <c r="AE92" i="49"/>
  <c r="F58" i="94" s="1"/>
  <c r="AF92" i="49"/>
  <c r="G58" i="94" s="1"/>
  <c r="AG92" i="49"/>
  <c r="H58" i="94" s="1"/>
  <c r="AH92" i="49"/>
  <c r="I58" i="94" s="1"/>
  <c r="AI92" i="49"/>
  <c r="J58" i="94" s="1"/>
  <c r="AJ92" i="49"/>
  <c r="K58" i="94" s="1"/>
  <c r="AK92" i="49"/>
  <c r="L58" i="94" s="1"/>
  <c r="AL92" i="49"/>
  <c r="M58" i="94" s="1"/>
  <c r="AM92" i="49"/>
  <c r="N58" i="94" s="1"/>
  <c r="AN92" i="49"/>
  <c r="O58" i="94" s="1"/>
  <c r="AO92" i="49"/>
  <c r="P58" i="94" s="1"/>
  <c r="AP92" i="49"/>
  <c r="Q58" i="94" s="1"/>
  <c r="AQ92" i="49"/>
  <c r="R58" i="94" s="1"/>
  <c r="AR92" i="49"/>
  <c r="S58" i="94" s="1"/>
  <c r="AS92" i="49"/>
  <c r="T58" i="94" s="1"/>
  <c r="AT92" i="49"/>
  <c r="U58" i="94" s="1"/>
  <c r="AU92" i="49"/>
  <c r="V58" i="94" s="1"/>
  <c r="AV92" i="49"/>
  <c r="W58" i="94" s="1"/>
  <c r="AW92" i="49"/>
  <c r="X58" i="94" s="1"/>
  <c r="AX92" i="49"/>
  <c r="Y58" i="94" s="1"/>
  <c r="AY92" i="49"/>
  <c r="Z58" i="94" s="1"/>
  <c r="AZ92" i="49"/>
  <c r="AA58" i="94" s="1"/>
  <c r="BA92" i="49"/>
  <c r="AB58" i="94" s="1"/>
  <c r="BB92" i="49"/>
  <c r="BC92" i="49"/>
  <c r="AD58" i="94" s="1"/>
  <c r="BE92" i="49"/>
  <c r="AF58" i="94" s="1"/>
  <c r="D93" i="49"/>
  <c r="E93" i="49"/>
  <c r="F93" i="49"/>
  <c r="G93" i="49"/>
  <c r="H93" i="49"/>
  <c r="I93" i="49"/>
  <c r="J93" i="49"/>
  <c r="K93" i="49"/>
  <c r="L93" i="49"/>
  <c r="M93" i="49"/>
  <c r="N93" i="49"/>
  <c r="O93" i="49"/>
  <c r="P93" i="49"/>
  <c r="Q93" i="49"/>
  <c r="R93" i="49"/>
  <c r="S93" i="49"/>
  <c r="T93" i="49"/>
  <c r="U93" i="49"/>
  <c r="BD93" i="49" s="1"/>
  <c r="AE59" i="94" s="1"/>
  <c r="V93" i="49"/>
  <c r="AC93" i="49"/>
  <c r="D59" i="94" s="1"/>
  <c r="AD93" i="49"/>
  <c r="E59" i="94" s="1"/>
  <c r="AE93" i="49"/>
  <c r="F59" i="94" s="1"/>
  <c r="AF93" i="49"/>
  <c r="G59" i="94" s="1"/>
  <c r="AG93" i="49"/>
  <c r="H59" i="94" s="1"/>
  <c r="AH93" i="49"/>
  <c r="I59" i="94" s="1"/>
  <c r="AI93" i="49"/>
  <c r="J59" i="94" s="1"/>
  <c r="AJ93" i="49"/>
  <c r="K59" i="94" s="1"/>
  <c r="AK93" i="49"/>
  <c r="L59" i="94" s="1"/>
  <c r="AL93" i="49"/>
  <c r="M59" i="94" s="1"/>
  <c r="AM93" i="49"/>
  <c r="N59" i="94" s="1"/>
  <c r="AN93" i="49"/>
  <c r="O59" i="94" s="1"/>
  <c r="AO93" i="49"/>
  <c r="P59" i="94" s="1"/>
  <c r="AP93" i="49"/>
  <c r="Q59" i="94" s="1"/>
  <c r="AQ93" i="49"/>
  <c r="R59" i="94" s="1"/>
  <c r="AR93" i="49"/>
  <c r="S59" i="94" s="1"/>
  <c r="AS93" i="49"/>
  <c r="T59" i="94" s="1"/>
  <c r="AT93" i="49"/>
  <c r="U59" i="94" s="1"/>
  <c r="AU93" i="49"/>
  <c r="V59" i="94" s="1"/>
  <c r="AV93" i="49"/>
  <c r="W59" i="94" s="1"/>
  <c r="AW93" i="49"/>
  <c r="X59" i="94" s="1"/>
  <c r="AX93" i="49"/>
  <c r="Y59" i="94" s="1"/>
  <c r="AY93" i="49"/>
  <c r="Z59" i="94" s="1"/>
  <c r="AZ93" i="49"/>
  <c r="AA59" i="94" s="1"/>
  <c r="BA93" i="49"/>
  <c r="AB59" i="94" s="1"/>
  <c r="BB93" i="49"/>
  <c r="AC59" i="94" s="1"/>
  <c r="BC93" i="49"/>
  <c r="AD59" i="94" s="1"/>
  <c r="BE93" i="49"/>
  <c r="AF59" i="94" s="1"/>
  <c r="D362" i="49"/>
  <c r="D377" i="49"/>
  <c r="E362" i="49"/>
  <c r="E381" i="49" s="1"/>
  <c r="E94" i="49" s="1"/>
  <c r="E377" i="49"/>
  <c r="F362" i="49"/>
  <c r="F377" i="49"/>
  <c r="F381" i="49"/>
  <c r="F94" i="49" s="1"/>
  <c r="G362" i="49"/>
  <c r="G381" i="49" s="1"/>
  <c r="G94" i="49" s="1"/>
  <c r="G377" i="49"/>
  <c r="H362" i="49"/>
  <c r="H381" i="49" s="1"/>
  <c r="H94" i="49" s="1"/>
  <c r="H377" i="49"/>
  <c r="I362" i="49"/>
  <c r="I377" i="49"/>
  <c r="I381" i="49"/>
  <c r="I94" i="49" s="1"/>
  <c r="J362" i="49"/>
  <c r="J377" i="49"/>
  <c r="J381" i="49"/>
  <c r="J94" i="49"/>
  <c r="K362" i="49"/>
  <c r="K377" i="49"/>
  <c r="K381" i="49"/>
  <c r="K94" i="49" s="1"/>
  <c r="L362" i="49"/>
  <c r="L377" i="49"/>
  <c r="M362" i="49"/>
  <c r="M381" i="49" s="1"/>
  <c r="M94" i="49" s="1"/>
  <c r="M377" i="49"/>
  <c r="N362" i="49"/>
  <c r="N377" i="49"/>
  <c r="N381" i="49"/>
  <c r="O362" i="49"/>
  <c r="O377" i="49"/>
  <c r="O381" i="49"/>
  <c r="O94" i="49" s="1"/>
  <c r="P362" i="49"/>
  <c r="P377" i="49"/>
  <c r="Q362" i="49"/>
  <c r="Q381" i="49" s="1"/>
  <c r="Q94" i="49" s="1"/>
  <c r="Q377" i="49"/>
  <c r="R362" i="49"/>
  <c r="BJ362" i="49" s="1"/>
  <c r="R377" i="49"/>
  <c r="S362" i="49"/>
  <c r="S377" i="49"/>
  <c r="S381" i="49"/>
  <c r="T362" i="49"/>
  <c r="T377" i="49"/>
  <c r="U362" i="49"/>
  <c r="U381" i="49" s="1"/>
  <c r="U94" i="49" s="1"/>
  <c r="U377" i="49"/>
  <c r="V362" i="49"/>
  <c r="V377" i="49"/>
  <c r="AC94" i="49"/>
  <c r="D60" i="94" s="1"/>
  <c r="AE94" i="49"/>
  <c r="F60" i="94" s="1"/>
  <c r="AF94" i="49"/>
  <c r="G60" i="94" s="1"/>
  <c r="AH94" i="49"/>
  <c r="I60" i="94" s="1"/>
  <c r="AJ94" i="49"/>
  <c r="K60" i="94" s="1"/>
  <c r="AM94" i="49"/>
  <c r="N60" i="94" s="1"/>
  <c r="AN94" i="49"/>
  <c r="O60" i="94" s="1"/>
  <c r="AP94" i="49"/>
  <c r="Q60" i="94" s="1"/>
  <c r="AQ94" i="49"/>
  <c r="R60" i="94" s="1"/>
  <c r="AR362" i="49"/>
  <c r="AR377" i="49"/>
  <c r="AS362" i="49"/>
  <c r="AS377" i="49"/>
  <c r="AS381" i="49"/>
  <c r="AT362" i="49"/>
  <c r="AT377" i="49"/>
  <c r="AU362" i="49"/>
  <c r="AU377" i="49"/>
  <c r="AV362" i="49"/>
  <c r="AV377" i="49"/>
  <c r="AW362" i="49"/>
  <c r="AW377" i="49"/>
  <c r="AW381" i="49"/>
  <c r="AW94" i="49" s="1"/>
  <c r="X60" i="94" s="1"/>
  <c r="AX362" i="49"/>
  <c r="AX377" i="49"/>
  <c r="AY362" i="49"/>
  <c r="AY377" i="49"/>
  <c r="AY381" i="49" s="1"/>
  <c r="AY94" i="49"/>
  <c r="Z60" i="94" s="1"/>
  <c r="AZ362" i="49"/>
  <c r="AZ381" i="49" s="1"/>
  <c r="AZ94" i="49" s="1"/>
  <c r="AA60" i="94" s="1"/>
  <c r="AZ377" i="49"/>
  <c r="BA362" i="49"/>
  <c r="BA381" i="49" s="1"/>
  <c r="BA377" i="49"/>
  <c r="BB362" i="49"/>
  <c r="BB381" i="49" s="1"/>
  <c r="BB377" i="49"/>
  <c r="BC362" i="49"/>
  <c r="BC377" i="49"/>
  <c r="BC381" i="49"/>
  <c r="BC94" i="49"/>
  <c r="AD60" i="94" s="1"/>
  <c r="BE94" i="49"/>
  <c r="AF60" i="94" s="1"/>
  <c r="AQ98" i="49"/>
  <c r="R64" i="94" s="1"/>
  <c r="AR98" i="49"/>
  <c r="S64" i="94" s="1"/>
  <c r="AS98" i="49"/>
  <c r="AT98" i="49"/>
  <c r="AU98" i="49"/>
  <c r="V64" i="94" s="1"/>
  <c r="D97" i="49"/>
  <c r="D99" i="49" s="1"/>
  <c r="E97" i="49"/>
  <c r="F97" i="49"/>
  <c r="G97" i="49"/>
  <c r="H97" i="49"/>
  <c r="H99" i="49" s="1"/>
  <c r="I97" i="49"/>
  <c r="I99" i="49" s="1"/>
  <c r="J97" i="49"/>
  <c r="K97" i="49"/>
  <c r="K99" i="49" s="1"/>
  <c r="L97" i="49"/>
  <c r="L99" i="49" s="1"/>
  <c r="M97" i="49"/>
  <c r="M99" i="49" s="1"/>
  <c r="N97" i="49"/>
  <c r="O97" i="49"/>
  <c r="P97" i="49"/>
  <c r="Q97" i="49"/>
  <c r="Q99" i="49" s="1"/>
  <c r="R97" i="49"/>
  <c r="S97" i="49"/>
  <c r="T97" i="49"/>
  <c r="X97" i="49"/>
  <c r="Y97" i="49"/>
  <c r="Z97" i="49"/>
  <c r="AA97" i="49"/>
  <c r="BE97" i="49" s="1"/>
  <c r="AF63" i="94" s="1"/>
  <c r="AC97" i="49"/>
  <c r="D63" i="94" s="1"/>
  <c r="D65" i="94" s="1"/>
  <c r="AD97" i="49"/>
  <c r="E63" i="94" s="1"/>
  <c r="AE97" i="49"/>
  <c r="AF97" i="49"/>
  <c r="AG97" i="49"/>
  <c r="H63" i="94" s="1"/>
  <c r="AH97" i="49"/>
  <c r="I63" i="94" s="1"/>
  <c r="AI97" i="49"/>
  <c r="J63" i="94" s="1"/>
  <c r="AJ97" i="49"/>
  <c r="K63" i="94" s="1"/>
  <c r="AK97" i="49"/>
  <c r="L63" i="94" s="1"/>
  <c r="L65" i="94" s="1"/>
  <c r="AL97" i="49"/>
  <c r="M63" i="94" s="1"/>
  <c r="AM97" i="49"/>
  <c r="N63" i="94" s="1"/>
  <c r="AN97" i="49"/>
  <c r="O63" i="94" s="1"/>
  <c r="AO97" i="49"/>
  <c r="AP97" i="49"/>
  <c r="Q63" i="94" s="1"/>
  <c r="AQ97" i="49"/>
  <c r="R63" i="94" s="1"/>
  <c r="R65" i="94" s="1"/>
  <c r="AR97" i="49"/>
  <c r="S63" i="94" s="1"/>
  <c r="S65" i="94" s="1"/>
  <c r="AS97" i="49"/>
  <c r="AT97" i="49"/>
  <c r="U63" i="94" s="1"/>
  <c r="AU97" i="49"/>
  <c r="V63" i="94" s="1"/>
  <c r="V65" i="94" s="1"/>
  <c r="AV97" i="49"/>
  <c r="W63" i="94" s="1"/>
  <c r="W65" i="94" s="1"/>
  <c r="AW97" i="49"/>
  <c r="X63" i="94" s="1"/>
  <c r="AX97" i="49"/>
  <c r="Y63" i="94" s="1"/>
  <c r="AY97" i="49"/>
  <c r="Z63" i="94" s="1"/>
  <c r="AZ97" i="49"/>
  <c r="AA63" i="94" s="1"/>
  <c r="BA97" i="49"/>
  <c r="AB63" i="94" s="1"/>
  <c r="AB65" i="94" s="1"/>
  <c r="BB97" i="49"/>
  <c r="AC63" i="94" s="1"/>
  <c r="BC97" i="49"/>
  <c r="AD63" i="94" s="1"/>
  <c r="BD97" i="49"/>
  <c r="AE63" i="94" s="1"/>
  <c r="D98" i="49"/>
  <c r="E98" i="49"/>
  <c r="E99" i="49" s="1"/>
  <c r="F98" i="49"/>
  <c r="G98" i="49"/>
  <c r="G99" i="49" s="1"/>
  <c r="H98" i="49"/>
  <c r="I98" i="49"/>
  <c r="J98" i="49"/>
  <c r="J99" i="49" s="1"/>
  <c r="K98" i="49"/>
  <c r="L98" i="49"/>
  <c r="M98" i="49"/>
  <c r="N98" i="49"/>
  <c r="O98" i="49"/>
  <c r="O99" i="49" s="1"/>
  <c r="P98" i="49"/>
  <c r="Q98" i="49"/>
  <c r="R98" i="49"/>
  <c r="S98" i="49"/>
  <c r="T98" i="49"/>
  <c r="AC98" i="49"/>
  <c r="D64" i="94" s="1"/>
  <c r="AD98" i="49"/>
  <c r="AE98" i="49"/>
  <c r="F64" i="94" s="1"/>
  <c r="AF98" i="49"/>
  <c r="G64" i="94" s="1"/>
  <c r="AG98" i="49"/>
  <c r="H64" i="94" s="1"/>
  <c r="AH98" i="49"/>
  <c r="AI98" i="49"/>
  <c r="J64" i="94" s="1"/>
  <c r="AJ98" i="49"/>
  <c r="K64" i="94" s="1"/>
  <c r="AK98" i="49"/>
  <c r="L64" i="94" s="1"/>
  <c r="AL98" i="49"/>
  <c r="M64" i="94" s="1"/>
  <c r="AM98" i="49"/>
  <c r="N64" i="94" s="1"/>
  <c r="AN98" i="49"/>
  <c r="O64" i="94" s="1"/>
  <c r="AO98" i="49"/>
  <c r="P64" i="94" s="1"/>
  <c r="AP98" i="49"/>
  <c r="AV98" i="49"/>
  <c r="W64" i="94" s="1"/>
  <c r="AW98" i="49"/>
  <c r="X64" i="94" s="1"/>
  <c r="AX98" i="49"/>
  <c r="Y64" i="94" s="1"/>
  <c r="AY98" i="49"/>
  <c r="Z64" i="94" s="1"/>
  <c r="AZ98" i="49"/>
  <c r="BA98" i="49"/>
  <c r="AB64" i="94" s="1"/>
  <c r="BB98" i="49"/>
  <c r="AC64" i="94" s="1"/>
  <c r="BC98" i="49"/>
  <c r="N99" i="49"/>
  <c r="P99" i="49"/>
  <c r="R99" i="49"/>
  <c r="S99" i="49"/>
  <c r="T99" i="49"/>
  <c r="AC99" i="49"/>
  <c r="AI99" i="49"/>
  <c r="AJ99" i="49"/>
  <c r="AL99" i="49"/>
  <c r="AL100" i="49" s="1"/>
  <c r="AQ99" i="49"/>
  <c r="AR99" i="49"/>
  <c r="AU99" i="49"/>
  <c r="AV99" i="49"/>
  <c r="AW99" i="49"/>
  <c r="AY99" i="49"/>
  <c r="BA99" i="49"/>
  <c r="BB99" i="49"/>
  <c r="BI99" i="49" s="1"/>
  <c r="AJ100" i="49"/>
  <c r="BD106" i="49"/>
  <c r="BD115" i="49" s="1"/>
  <c r="BD108" i="49"/>
  <c r="BD110" i="49"/>
  <c r="BD119" i="49" s="1"/>
  <c r="D111" i="49"/>
  <c r="E111" i="49"/>
  <c r="E132" i="49" s="1"/>
  <c r="F111" i="49"/>
  <c r="G111" i="49"/>
  <c r="H111" i="49"/>
  <c r="I111" i="49"/>
  <c r="I139" i="49" s="1"/>
  <c r="J111" i="49"/>
  <c r="J135" i="49" s="1"/>
  <c r="K111" i="49"/>
  <c r="L111" i="49"/>
  <c r="L136" i="49" s="1"/>
  <c r="M111" i="49"/>
  <c r="M136" i="49" s="1"/>
  <c r="N111" i="49"/>
  <c r="N120" i="49" s="1"/>
  <c r="O111" i="49"/>
  <c r="O120" i="49" s="1"/>
  <c r="P111" i="49"/>
  <c r="P120" i="49" s="1"/>
  <c r="Q111" i="49"/>
  <c r="R111" i="49"/>
  <c r="S111" i="49"/>
  <c r="AW111" i="49"/>
  <c r="AW139" i="49" s="1"/>
  <c r="AX111" i="49"/>
  <c r="AX139" i="49" s="1"/>
  <c r="AY111" i="49"/>
  <c r="AZ111" i="49"/>
  <c r="AZ139" i="49" s="1"/>
  <c r="BA111" i="49"/>
  <c r="BA158" i="49" s="1"/>
  <c r="BB111" i="49"/>
  <c r="BB137" i="49" s="1"/>
  <c r="BC111" i="49"/>
  <c r="BC136" i="49" s="1"/>
  <c r="H114" i="49"/>
  <c r="I114" i="49"/>
  <c r="J114" i="49"/>
  <c r="K114" i="49"/>
  <c r="L114" i="49"/>
  <c r="M114" i="49"/>
  <c r="N114" i="49"/>
  <c r="O114" i="49"/>
  <c r="P114" i="49"/>
  <c r="Q114" i="49"/>
  <c r="R114" i="49"/>
  <c r="S114" i="49"/>
  <c r="T114" i="49"/>
  <c r="U114" i="49"/>
  <c r="V114" i="49"/>
  <c r="AX114" i="49"/>
  <c r="AY114" i="49"/>
  <c r="AZ114" i="49"/>
  <c r="BA114" i="49"/>
  <c r="BB114" i="49"/>
  <c r="BC114" i="49"/>
  <c r="H115" i="49"/>
  <c r="I115" i="49"/>
  <c r="J115" i="49"/>
  <c r="K115" i="49"/>
  <c r="L115" i="49"/>
  <c r="M115" i="49"/>
  <c r="N115" i="49"/>
  <c r="O115" i="49"/>
  <c r="P115" i="49"/>
  <c r="Q115" i="49"/>
  <c r="R115" i="49"/>
  <c r="S115" i="49"/>
  <c r="T115" i="49"/>
  <c r="U115" i="49"/>
  <c r="V115" i="49"/>
  <c r="W115" i="49"/>
  <c r="AX115" i="49"/>
  <c r="AY115" i="49"/>
  <c r="AZ115" i="49"/>
  <c r="BA115" i="49"/>
  <c r="BB115" i="49"/>
  <c r="BC115" i="49"/>
  <c r="H116" i="49"/>
  <c r="I116" i="49"/>
  <c r="J116" i="49"/>
  <c r="K116" i="49"/>
  <c r="L116" i="49"/>
  <c r="M116" i="49"/>
  <c r="N116" i="49"/>
  <c r="O116" i="49"/>
  <c r="P116" i="49"/>
  <c r="Q116" i="49"/>
  <c r="R116" i="49"/>
  <c r="S116" i="49"/>
  <c r="T116" i="49"/>
  <c r="U116" i="49"/>
  <c r="V116" i="49"/>
  <c r="AX116" i="49"/>
  <c r="AY116" i="49"/>
  <c r="AZ116" i="49"/>
  <c r="BA116" i="49"/>
  <c r="BB116" i="49"/>
  <c r="BC116" i="49"/>
  <c r="H117" i="49"/>
  <c r="I117" i="49"/>
  <c r="J117" i="49"/>
  <c r="K117" i="49"/>
  <c r="L117" i="49"/>
  <c r="M117" i="49"/>
  <c r="N117" i="49"/>
  <c r="O117" i="49"/>
  <c r="P117" i="49"/>
  <c r="Q117" i="49"/>
  <c r="R117" i="49"/>
  <c r="S117" i="49"/>
  <c r="T117" i="49"/>
  <c r="U117" i="49"/>
  <c r="V117" i="49"/>
  <c r="W117" i="49"/>
  <c r="AX117" i="49"/>
  <c r="AY117" i="49"/>
  <c r="AZ117" i="49"/>
  <c r="BA117" i="49"/>
  <c r="BB117" i="49"/>
  <c r="BC117" i="49"/>
  <c r="BD117" i="49"/>
  <c r="H118" i="49"/>
  <c r="I118" i="49"/>
  <c r="J118" i="49"/>
  <c r="K118" i="49"/>
  <c r="L118" i="49"/>
  <c r="M118" i="49"/>
  <c r="N118" i="49"/>
  <c r="O118" i="49"/>
  <c r="P118" i="49"/>
  <c r="Q118" i="49"/>
  <c r="R118" i="49"/>
  <c r="S118" i="49"/>
  <c r="T118" i="49"/>
  <c r="U118" i="49"/>
  <c r="V118" i="49"/>
  <c r="AX118" i="49"/>
  <c r="AY118" i="49"/>
  <c r="AZ118" i="49"/>
  <c r="BA118" i="49"/>
  <c r="BB118" i="49"/>
  <c r="BC118" i="49"/>
  <c r="H119" i="49"/>
  <c r="I119" i="49"/>
  <c r="J119" i="49"/>
  <c r="K119" i="49"/>
  <c r="L119" i="49"/>
  <c r="M119" i="49"/>
  <c r="N119" i="49"/>
  <c r="O119" i="49"/>
  <c r="P119" i="49"/>
  <c r="Q119" i="49"/>
  <c r="R119" i="49"/>
  <c r="S119" i="49"/>
  <c r="T119" i="49"/>
  <c r="U119" i="49"/>
  <c r="V119" i="49"/>
  <c r="W119" i="49"/>
  <c r="AX119" i="49"/>
  <c r="AY119" i="49"/>
  <c r="AZ119" i="49"/>
  <c r="BA119" i="49"/>
  <c r="BB119" i="49"/>
  <c r="BC119" i="49"/>
  <c r="H120" i="49"/>
  <c r="J120" i="49"/>
  <c r="L120" i="49"/>
  <c r="S120" i="49"/>
  <c r="T120" i="49"/>
  <c r="U120" i="49"/>
  <c r="AX120" i="49"/>
  <c r="AZ120" i="49"/>
  <c r="BA120" i="49"/>
  <c r="BC120" i="49"/>
  <c r="D123" i="49"/>
  <c r="D122" i="49" s="1"/>
  <c r="E123" i="49"/>
  <c r="E122" i="49" s="1"/>
  <c r="F123" i="49"/>
  <c r="F122" i="49"/>
  <c r="G123" i="49"/>
  <c r="G122" i="49"/>
  <c r="H123" i="49"/>
  <c r="H122" i="49" s="1"/>
  <c r="I123" i="49"/>
  <c r="I122" i="49"/>
  <c r="J123" i="49"/>
  <c r="J122" i="49"/>
  <c r="K123" i="49"/>
  <c r="L123" i="49"/>
  <c r="L122" i="49"/>
  <c r="M123" i="49"/>
  <c r="M122" i="49"/>
  <c r="N123" i="49"/>
  <c r="N122" i="49"/>
  <c r="O123" i="49"/>
  <c r="O122" i="49"/>
  <c r="P123" i="49"/>
  <c r="P122" i="49" s="1"/>
  <c r="Q123" i="49"/>
  <c r="Q122" i="49"/>
  <c r="R123" i="49"/>
  <c r="R122" i="49" s="1"/>
  <c r="S123" i="49"/>
  <c r="S122" i="49"/>
  <c r="E126" i="49"/>
  <c r="F126" i="49"/>
  <c r="G126" i="49"/>
  <c r="H126" i="49"/>
  <c r="I126" i="49"/>
  <c r="J126" i="49"/>
  <c r="K126" i="49"/>
  <c r="L126" i="49"/>
  <c r="M126" i="49"/>
  <c r="N126" i="49"/>
  <c r="O126" i="49"/>
  <c r="P126" i="49"/>
  <c r="Q126" i="49"/>
  <c r="R126" i="49"/>
  <c r="S126" i="49"/>
  <c r="T126" i="49"/>
  <c r="U126" i="49"/>
  <c r="V126" i="49"/>
  <c r="E127" i="49"/>
  <c r="F127" i="49"/>
  <c r="G127" i="49"/>
  <c r="H127" i="49"/>
  <c r="I127" i="49"/>
  <c r="J127" i="49"/>
  <c r="K127" i="49"/>
  <c r="L127" i="49"/>
  <c r="M127" i="49"/>
  <c r="N127" i="49"/>
  <c r="O127" i="49"/>
  <c r="P127" i="49"/>
  <c r="Q127" i="49"/>
  <c r="R127" i="49"/>
  <c r="S127" i="49"/>
  <c r="T127" i="49"/>
  <c r="U127" i="49"/>
  <c r="V127" i="49"/>
  <c r="E128" i="49"/>
  <c r="F128" i="49"/>
  <c r="G128" i="49"/>
  <c r="H128" i="49"/>
  <c r="I128" i="49"/>
  <c r="J128" i="49"/>
  <c r="K128" i="49"/>
  <c r="L128" i="49"/>
  <c r="M128" i="49"/>
  <c r="N128" i="49"/>
  <c r="O128" i="49"/>
  <c r="P128" i="49"/>
  <c r="Q128" i="49"/>
  <c r="R128" i="49"/>
  <c r="S128" i="49"/>
  <c r="T128" i="49"/>
  <c r="U128" i="49"/>
  <c r="V128" i="49"/>
  <c r="E129" i="49"/>
  <c r="F129" i="49"/>
  <c r="G129" i="49"/>
  <c r="H129" i="49"/>
  <c r="I129" i="49"/>
  <c r="J129" i="49"/>
  <c r="K129" i="49"/>
  <c r="L129" i="49"/>
  <c r="M129" i="49"/>
  <c r="N129" i="49"/>
  <c r="O129" i="49"/>
  <c r="P129" i="49"/>
  <c r="Q129" i="49"/>
  <c r="R129" i="49"/>
  <c r="S129" i="49"/>
  <c r="T129" i="49"/>
  <c r="U129" i="49"/>
  <c r="V129" i="49"/>
  <c r="E130" i="49"/>
  <c r="F130" i="49"/>
  <c r="G130" i="49"/>
  <c r="H130" i="49"/>
  <c r="I130" i="49"/>
  <c r="J130" i="49"/>
  <c r="K130" i="49"/>
  <c r="L130" i="49"/>
  <c r="M130" i="49"/>
  <c r="N130" i="49"/>
  <c r="O130" i="49"/>
  <c r="P130" i="49"/>
  <c r="Q130" i="49"/>
  <c r="R130" i="49"/>
  <c r="S130" i="49"/>
  <c r="T130" i="49"/>
  <c r="U130" i="49"/>
  <c r="V130" i="49"/>
  <c r="E131" i="49"/>
  <c r="F131" i="49"/>
  <c r="G131" i="49"/>
  <c r="H131" i="49"/>
  <c r="I131" i="49"/>
  <c r="J131" i="49"/>
  <c r="K131" i="49"/>
  <c r="L131" i="49"/>
  <c r="M131" i="49"/>
  <c r="N131" i="49"/>
  <c r="O131" i="49"/>
  <c r="P131" i="49"/>
  <c r="Q131" i="49"/>
  <c r="R131" i="49"/>
  <c r="S131" i="49"/>
  <c r="T131" i="49"/>
  <c r="U131" i="49"/>
  <c r="V131" i="49"/>
  <c r="F132" i="49"/>
  <c r="G132" i="49"/>
  <c r="H132" i="49"/>
  <c r="I132" i="49"/>
  <c r="J132" i="49"/>
  <c r="K132" i="49"/>
  <c r="Q132" i="49"/>
  <c r="R132" i="49"/>
  <c r="S132" i="49"/>
  <c r="T132" i="49"/>
  <c r="U132" i="49"/>
  <c r="V132" i="49"/>
  <c r="D135" i="49"/>
  <c r="F135" i="49"/>
  <c r="F141" i="49" s="1"/>
  <c r="G135" i="49"/>
  <c r="H135" i="49"/>
  <c r="H141" i="49" s="1"/>
  <c r="I135" i="49"/>
  <c r="I141" i="49" s="1"/>
  <c r="L135" i="49"/>
  <c r="O135" i="49"/>
  <c r="P135" i="49"/>
  <c r="Q135" i="49"/>
  <c r="R135" i="49"/>
  <c r="T135" i="49"/>
  <c r="U135" i="49"/>
  <c r="AX135" i="49"/>
  <c r="AX141" i="49" s="1"/>
  <c r="AY135" i="49"/>
  <c r="AZ135" i="49"/>
  <c r="BA135" i="49"/>
  <c r="E136" i="49"/>
  <c r="F136" i="49"/>
  <c r="G136" i="49"/>
  <c r="H136" i="49"/>
  <c r="I136" i="49"/>
  <c r="J136" i="49"/>
  <c r="O136" i="49"/>
  <c r="P136" i="49"/>
  <c r="Q136" i="49"/>
  <c r="R136" i="49"/>
  <c r="T136" i="49"/>
  <c r="U136" i="49"/>
  <c r="AX136" i="49"/>
  <c r="AY136" i="49"/>
  <c r="AZ136" i="49"/>
  <c r="BA136" i="49"/>
  <c r="D137" i="49"/>
  <c r="F137" i="49"/>
  <c r="G137" i="49"/>
  <c r="H137" i="49"/>
  <c r="I137" i="49"/>
  <c r="O137" i="49"/>
  <c r="P137" i="49"/>
  <c r="Q137" i="49"/>
  <c r="R137" i="49"/>
  <c r="T137" i="49"/>
  <c r="U137" i="49"/>
  <c r="AX137" i="49"/>
  <c r="AY137" i="49"/>
  <c r="AZ137" i="49"/>
  <c r="BA137" i="49"/>
  <c r="E138" i="49"/>
  <c r="F138" i="49"/>
  <c r="G138" i="49"/>
  <c r="H138" i="49"/>
  <c r="I138" i="49"/>
  <c r="J138" i="49"/>
  <c r="O138" i="49"/>
  <c r="P138" i="49"/>
  <c r="Q138" i="49"/>
  <c r="S138" i="49"/>
  <c r="T138" i="49"/>
  <c r="U138" i="49"/>
  <c r="AX138" i="49"/>
  <c r="AY138" i="49"/>
  <c r="AZ138" i="49"/>
  <c r="BA138" i="49"/>
  <c r="BB138" i="49"/>
  <c r="E139" i="49"/>
  <c r="F139" i="49"/>
  <c r="G139" i="49"/>
  <c r="H139" i="49"/>
  <c r="J139" i="49"/>
  <c r="O139" i="49"/>
  <c r="P139" i="49"/>
  <c r="Q139" i="49"/>
  <c r="R139" i="49"/>
  <c r="S139" i="49"/>
  <c r="T139" i="49"/>
  <c r="U139" i="49"/>
  <c r="AY139" i="49"/>
  <c r="BA139" i="49"/>
  <c r="BA141" i="49" s="1"/>
  <c r="BB139" i="49"/>
  <c r="BC139" i="49"/>
  <c r="F140" i="49"/>
  <c r="G140" i="49"/>
  <c r="H140" i="49"/>
  <c r="I140" i="49"/>
  <c r="J140" i="49"/>
  <c r="K140" i="49"/>
  <c r="N140" i="49"/>
  <c r="O140" i="49"/>
  <c r="Q140" i="49"/>
  <c r="R140" i="49"/>
  <c r="T140" i="49"/>
  <c r="U140" i="49"/>
  <c r="AX140" i="49"/>
  <c r="AY140" i="49"/>
  <c r="AZ140" i="49"/>
  <c r="AZ141" i="49" s="1"/>
  <c r="BA140" i="49"/>
  <c r="BB140" i="49"/>
  <c r="BC140" i="49"/>
  <c r="Q141" i="49"/>
  <c r="T141" i="49"/>
  <c r="V141" i="49"/>
  <c r="D149" i="49"/>
  <c r="E149" i="49"/>
  <c r="F149" i="49"/>
  <c r="G149" i="49"/>
  <c r="H149" i="49"/>
  <c r="I149" i="49"/>
  <c r="J149" i="49"/>
  <c r="K149" i="49"/>
  <c r="L149" i="49"/>
  <c r="M149" i="49"/>
  <c r="N149" i="49"/>
  <c r="O149" i="49"/>
  <c r="P149" i="49"/>
  <c r="Q149" i="49"/>
  <c r="R149" i="49"/>
  <c r="S149" i="49"/>
  <c r="T149" i="49"/>
  <c r="U149" i="49"/>
  <c r="D176" i="49"/>
  <c r="D186" i="49"/>
  <c r="D223" i="49" s="1"/>
  <c r="D156" i="49"/>
  <c r="E176" i="49"/>
  <c r="E208" i="49" s="1"/>
  <c r="E186" i="49"/>
  <c r="E156" i="49"/>
  <c r="F176" i="49"/>
  <c r="F186" i="49" s="1"/>
  <c r="F225" i="49" s="1"/>
  <c r="F156" i="49"/>
  <c r="G173" i="49"/>
  <c r="G174" i="49"/>
  <c r="G175" i="49"/>
  <c r="H207" i="49" s="1"/>
  <c r="AZ176" i="49"/>
  <c r="G177" i="49"/>
  <c r="G178" i="49"/>
  <c r="G179" i="49"/>
  <c r="G180" i="49"/>
  <c r="G181" i="49"/>
  <c r="G213" i="49" s="1"/>
  <c r="G182" i="49"/>
  <c r="G183" i="49"/>
  <c r="G184" i="49"/>
  <c r="G185" i="49"/>
  <c r="H176" i="49"/>
  <c r="H186" i="49"/>
  <c r="H233" i="49" s="1"/>
  <c r="I176" i="49"/>
  <c r="I186" i="49"/>
  <c r="J176" i="49"/>
  <c r="K173" i="49"/>
  <c r="K174" i="49"/>
  <c r="K206" i="49" s="1"/>
  <c r="K175" i="49"/>
  <c r="BA176" i="49"/>
  <c r="K176" i="49"/>
  <c r="K177" i="49"/>
  <c r="K178" i="49"/>
  <c r="K179" i="49"/>
  <c r="K180" i="49"/>
  <c r="K244" i="49" s="1"/>
  <c r="K181" i="49"/>
  <c r="K182" i="49"/>
  <c r="L214" i="49" s="1"/>
  <c r="K183" i="49"/>
  <c r="K199" i="49" s="1"/>
  <c r="K184" i="49"/>
  <c r="O200" i="49" s="1"/>
  <c r="K185" i="49"/>
  <c r="L217" i="49" s="1"/>
  <c r="L176" i="49"/>
  <c r="L240" i="49" s="1"/>
  <c r="L186" i="49"/>
  <c r="L221" i="49" s="1"/>
  <c r="L156" i="49"/>
  <c r="M176" i="49"/>
  <c r="M186" i="49"/>
  <c r="M230" i="49" s="1"/>
  <c r="N176" i="49"/>
  <c r="N192" i="49" s="1"/>
  <c r="O173" i="49"/>
  <c r="O189" i="49" s="1"/>
  <c r="O174" i="49"/>
  <c r="P206" i="49" s="1"/>
  <c r="O175" i="49"/>
  <c r="O207" i="49" s="1"/>
  <c r="BB176" i="49"/>
  <c r="BB240" i="49" s="1"/>
  <c r="O177" i="49"/>
  <c r="O178" i="49"/>
  <c r="O179" i="49"/>
  <c r="O180" i="49"/>
  <c r="P212" i="49" s="1"/>
  <c r="O181" i="49"/>
  <c r="P213" i="49" s="1"/>
  <c r="O182" i="49"/>
  <c r="O183" i="49"/>
  <c r="O184" i="49"/>
  <c r="O185" i="49"/>
  <c r="S249" i="49" s="1"/>
  <c r="P176" i="49"/>
  <c r="P186" i="49" s="1"/>
  <c r="P223" i="49" s="1"/>
  <c r="P156" i="49"/>
  <c r="Q176" i="49"/>
  <c r="Q186" i="49" s="1"/>
  <c r="Q222" i="49" s="1"/>
  <c r="Q156" i="49"/>
  <c r="R166" i="49" s="1"/>
  <c r="R176" i="49"/>
  <c r="R186" i="49"/>
  <c r="R221" i="49" s="1"/>
  <c r="R234" i="49" s="1"/>
  <c r="R156" i="49"/>
  <c r="S173" i="49"/>
  <c r="S174" i="49"/>
  <c r="S175" i="49"/>
  <c r="BC176" i="49"/>
  <c r="S176" i="49"/>
  <c r="S177" i="49"/>
  <c r="S178" i="49"/>
  <c r="S179" i="49"/>
  <c r="S211" i="49" s="1"/>
  <c r="S180" i="49"/>
  <c r="S212" i="49" s="1"/>
  <c r="S181" i="49"/>
  <c r="S245" i="49" s="1"/>
  <c r="S182" i="49"/>
  <c r="T214" i="49" s="1"/>
  <c r="S183" i="49"/>
  <c r="S199" i="49" s="1"/>
  <c r="S184" i="49"/>
  <c r="S248" i="49" s="1"/>
  <c r="S185" i="49"/>
  <c r="T217" i="49" s="1"/>
  <c r="T176" i="49"/>
  <c r="T186" i="49"/>
  <c r="T232" i="49" s="1"/>
  <c r="V158" i="49"/>
  <c r="R158" i="49"/>
  <c r="AX176" i="49"/>
  <c r="AY176" i="49"/>
  <c r="AY186" i="49"/>
  <c r="AY225" i="49" s="1"/>
  <c r="AY156" i="49"/>
  <c r="BA186" i="49"/>
  <c r="BA230" i="49" s="1"/>
  <c r="BB186" i="49"/>
  <c r="BB231" i="49" s="1"/>
  <c r="BB156" i="49"/>
  <c r="BC186" i="49"/>
  <c r="BC156" i="49"/>
  <c r="D158" i="49"/>
  <c r="D157" i="49" s="1"/>
  <c r="E158" i="49"/>
  <c r="E157" i="49" s="1"/>
  <c r="E167" i="49" s="1"/>
  <c r="F158" i="49"/>
  <c r="F157" i="49"/>
  <c r="G158" i="49"/>
  <c r="H158" i="49"/>
  <c r="I158" i="49"/>
  <c r="J158" i="49"/>
  <c r="J168" i="49" s="1"/>
  <c r="K158" i="49"/>
  <c r="N158" i="49"/>
  <c r="O158" i="49"/>
  <c r="O168" i="49" s="1"/>
  <c r="P158" i="49"/>
  <c r="Q158" i="49"/>
  <c r="Q168" i="49" s="1"/>
  <c r="S158" i="49"/>
  <c r="S168" i="49" s="1"/>
  <c r="T158" i="49"/>
  <c r="T163" i="49" s="1"/>
  <c r="U158" i="49"/>
  <c r="V168" i="49" s="1"/>
  <c r="AX158" i="49"/>
  <c r="AY158" i="49"/>
  <c r="AY157" i="49"/>
  <c r="AZ158" i="49"/>
  <c r="BB158" i="49"/>
  <c r="BC158" i="49"/>
  <c r="BC163" i="49" s="1"/>
  <c r="BC157" i="49"/>
  <c r="P161" i="49"/>
  <c r="J163" i="49"/>
  <c r="K163" i="49"/>
  <c r="V163" i="49"/>
  <c r="AZ163" i="49"/>
  <c r="BB163" i="49"/>
  <c r="E168" i="49"/>
  <c r="G168" i="49"/>
  <c r="H168" i="49"/>
  <c r="P168" i="49"/>
  <c r="T168" i="49"/>
  <c r="AW225" i="49"/>
  <c r="B189" i="49"/>
  <c r="H189" i="49"/>
  <c r="I189" i="49"/>
  <c r="J189" i="49"/>
  <c r="L189" i="49"/>
  <c r="M189" i="49"/>
  <c r="N189" i="49"/>
  <c r="P189" i="49"/>
  <c r="Q189" i="49"/>
  <c r="R189" i="49"/>
  <c r="S189" i="49"/>
  <c r="T189" i="49"/>
  <c r="AY189" i="49"/>
  <c r="AZ189" i="49"/>
  <c r="BA189" i="49"/>
  <c r="BB189" i="49"/>
  <c r="BC189" i="49"/>
  <c r="B190" i="49"/>
  <c r="H190" i="49"/>
  <c r="I190" i="49"/>
  <c r="J190" i="49"/>
  <c r="K190" i="49"/>
  <c r="L190" i="49"/>
  <c r="M190" i="49"/>
  <c r="N190" i="49"/>
  <c r="O190" i="49"/>
  <c r="P190" i="49"/>
  <c r="Q190" i="49"/>
  <c r="R190" i="49"/>
  <c r="S190" i="49"/>
  <c r="T190" i="49"/>
  <c r="U190" i="49"/>
  <c r="AY190" i="49"/>
  <c r="AZ190" i="49"/>
  <c r="BA190" i="49"/>
  <c r="BB190" i="49"/>
  <c r="BC190" i="49"/>
  <c r="B191" i="49"/>
  <c r="H191" i="49"/>
  <c r="I191" i="49"/>
  <c r="J191" i="49"/>
  <c r="K191" i="49"/>
  <c r="L191" i="49"/>
  <c r="M191" i="49"/>
  <c r="N191" i="49"/>
  <c r="P191" i="49"/>
  <c r="Q191" i="49"/>
  <c r="R191" i="49"/>
  <c r="S191" i="49"/>
  <c r="T191" i="49"/>
  <c r="U191" i="49"/>
  <c r="AY191" i="49"/>
  <c r="AZ191" i="49"/>
  <c r="BA191" i="49"/>
  <c r="BB191" i="49"/>
  <c r="BC191" i="49"/>
  <c r="B192" i="49"/>
  <c r="H192" i="49"/>
  <c r="L192" i="49"/>
  <c r="P192" i="49"/>
  <c r="Q192" i="49"/>
  <c r="T192" i="49"/>
  <c r="U192" i="49"/>
  <c r="B193" i="49"/>
  <c r="H193" i="49"/>
  <c r="I193" i="49"/>
  <c r="J193" i="49"/>
  <c r="K193" i="49"/>
  <c r="L193" i="49"/>
  <c r="M193" i="49"/>
  <c r="N193" i="49"/>
  <c r="P193" i="49"/>
  <c r="Q193" i="49"/>
  <c r="R193" i="49"/>
  <c r="S193" i="49"/>
  <c r="T193" i="49"/>
  <c r="U193" i="49"/>
  <c r="AY193" i="49"/>
  <c r="AZ193" i="49"/>
  <c r="BA193" i="49"/>
  <c r="BB193" i="49"/>
  <c r="BC193" i="49"/>
  <c r="B194" i="49"/>
  <c r="H194" i="49"/>
  <c r="I194" i="49"/>
  <c r="J194" i="49"/>
  <c r="K194" i="49"/>
  <c r="L194" i="49"/>
  <c r="M194" i="49"/>
  <c r="N194" i="49"/>
  <c r="O194" i="49"/>
  <c r="P194" i="49"/>
  <c r="Q194" i="49"/>
  <c r="R194" i="49"/>
  <c r="S194" i="49"/>
  <c r="T194" i="49"/>
  <c r="U194" i="49"/>
  <c r="AY194" i="49"/>
  <c r="AZ194" i="49"/>
  <c r="BA194" i="49"/>
  <c r="BB194" i="49"/>
  <c r="BC194" i="49"/>
  <c r="B195" i="49"/>
  <c r="H195" i="49"/>
  <c r="I195" i="49"/>
  <c r="J195" i="49"/>
  <c r="K195" i="49"/>
  <c r="L195" i="49"/>
  <c r="M195" i="49"/>
  <c r="N195" i="49"/>
  <c r="O195" i="49"/>
  <c r="P195" i="49"/>
  <c r="Q195" i="49"/>
  <c r="R195" i="49"/>
  <c r="S195" i="49"/>
  <c r="T195" i="49"/>
  <c r="U195" i="49"/>
  <c r="AY195" i="49"/>
  <c r="AZ195" i="49"/>
  <c r="BA195" i="49"/>
  <c r="BB195" i="49"/>
  <c r="BC195" i="49"/>
  <c r="B196" i="49"/>
  <c r="H196" i="49"/>
  <c r="I196" i="49"/>
  <c r="J196" i="49"/>
  <c r="L196" i="49"/>
  <c r="M196" i="49"/>
  <c r="N196" i="49"/>
  <c r="P196" i="49"/>
  <c r="Q196" i="49"/>
  <c r="R196" i="49"/>
  <c r="T196" i="49"/>
  <c r="U196" i="49"/>
  <c r="AY196" i="49"/>
  <c r="AZ196" i="49"/>
  <c r="BA196" i="49"/>
  <c r="BB196" i="49"/>
  <c r="BC196" i="49"/>
  <c r="B197" i="49"/>
  <c r="H197" i="49"/>
  <c r="I197" i="49"/>
  <c r="J197" i="49"/>
  <c r="K197" i="49"/>
  <c r="L197" i="49"/>
  <c r="M197" i="49"/>
  <c r="N197" i="49"/>
  <c r="O197" i="49"/>
  <c r="P197" i="49"/>
  <c r="Q197" i="49"/>
  <c r="R197" i="49"/>
  <c r="T197" i="49"/>
  <c r="U197" i="49"/>
  <c r="AY197" i="49"/>
  <c r="AZ197" i="49"/>
  <c r="BA197" i="49"/>
  <c r="BB197" i="49"/>
  <c r="BC197" i="49"/>
  <c r="B198" i="49"/>
  <c r="H198" i="49"/>
  <c r="I198" i="49"/>
  <c r="J198" i="49"/>
  <c r="K198" i="49"/>
  <c r="L198" i="49"/>
  <c r="M198" i="49"/>
  <c r="N198" i="49"/>
  <c r="P198" i="49"/>
  <c r="Q198" i="49"/>
  <c r="R198" i="49"/>
  <c r="S198" i="49"/>
  <c r="T198" i="49"/>
  <c r="U198" i="49"/>
  <c r="AY198" i="49"/>
  <c r="AZ198" i="49"/>
  <c r="BA198" i="49"/>
  <c r="BB198" i="49"/>
  <c r="BC198" i="49"/>
  <c r="B199" i="49"/>
  <c r="H199" i="49"/>
  <c r="I199" i="49"/>
  <c r="J199" i="49"/>
  <c r="L199" i="49"/>
  <c r="M199" i="49"/>
  <c r="N199" i="49"/>
  <c r="O199" i="49"/>
  <c r="P199" i="49"/>
  <c r="Q199" i="49"/>
  <c r="R199" i="49"/>
  <c r="T199" i="49"/>
  <c r="U199" i="49"/>
  <c r="AY199" i="49"/>
  <c r="AZ199" i="49"/>
  <c r="BA199" i="49"/>
  <c r="BB199" i="49"/>
  <c r="BC199" i="49"/>
  <c r="B200" i="49"/>
  <c r="H200" i="49"/>
  <c r="I200" i="49"/>
  <c r="J200" i="49"/>
  <c r="K200" i="49"/>
  <c r="L200" i="49"/>
  <c r="M200" i="49"/>
  <c r="N200" i="49"/>
  <c r="P200" i="49"/>
  <c r="Q200" i="49"/>
  <c r="R200" i="49"/>
  <c r="S200" i="49"/>
  <c r="T200" i="49"/>
  <c r="U200" i="49"/>
  <c r="AY200" i="49"/>
  <c r="AZ200" i="49"/>
  <c r="BA200" i="49"/>
  <c r="BB200" i="49"/>
  <c r="BC200" i="49"/>
  <c r="B201" i="49"/>
  <c r="H201" i="49"/>
  <c r="I201" i="49"/>
  <c r="J201" i="49"/>
  <c r="K201" i="49"/>
  <c r="L201" i="49"/>
  <c r="M201" i="49"/>
  <c r="N201" i="49"/>
  <c r="P201" i="49"/>
  <c r="Q201" i="49"/>
  <c r="R201" i="49"/>
  <c r="T201" i="49"/>
  <c r="U201" i="49"/>
  <c r="AY201" i="49"/>
  <c r="AZ201" i="49"/>
  <c r="BA201" i="49"/>
  <c r="BB201" i="49"/>
  <c r="BC201" i="49"/>
  <c r="B202" i="49"/>
  <c r="L202" i="49"/>
  <c r="M202" i="49"/>
  <c r="P202" i="49"/>
  <c r="BC202" i="49"/>
  <c r="B205" i="49"/>
  <c r="E205" i="49"/>
  <c r="F205" i="49"/>
  <c r="H205" i="49"/>
  <c r="I205" i="49"/>
  <c r="J205" i="49"/>
  <c r="K205" i="49"/>
  <c r="M205" i="49"/>
  <c r="N205" i="49"/>
  <c r="Q205" i="49"/>
  <c r="R205" i="49"/>
  <c r="S205" i="49"/>
  <c r="T205" i="49"/>
  <c r="B206" i="49"/>
  <c r="E206" i="49"/>
  <c r="F206" i="49"/>
  <c r="G206" i="49"/>
  <c r="H206" i="49"/>
  <c r="I206" i="49"/>
  <c r="J206" i="49"/>
  <c r="L206" i="49"/>
  <c r="M206" i="49"/>
  <c r="N206" i="49"/>
  <c r="O206" i="49"/>
  <c r="Q206" i="49"/>
  <c r="R206" i="49"/>
  <c r="S206" i="49"/>
  <c r="T206" i="49"/>
  <c r="U206" i="49"/>
  <c r="B207" i="49"/>
  <c r="E207" i="49"/>
  <c r="F207" i="49"/>
  <c r="G207" i="49"/>
  <c r="I207" i="49"/>
  <c r="J207" i="49"/>
  <c r="K207" i="49"/>
  <c r="L207" i="49"/>
  <c r="M207" i="49"/>
  <c r="N207" i="49"/>
  <c r="P207" i="49"/>
  <c r="Q207" i="49"/>
  <c r="R207" i="49"/>
  <c r="S207" i="49"/>
  <c r="T207" i="49"/>
  <c r="U207" i="49"/>
  <c r="B208" i="49"/>
  <c r="F208" i="49"/>
  <c r="I208" i="49"/>
  <c r="L208" i="49"/>
  <c r="M208" i="49"/>
  <c r="N208" i="49"/>
  <c r="R208" i="49"/>
  <c r="U208" i="49"/>
  <c r="B209" i="49"/>
  <c r="E209" i="49"/>
  <c r="F209" i="49"/>
  <c r="G209" i="49"/>
  <c r="I209" i="49"/>
  <c r="J209" i="49"/>
  <c r="K209" i="49"/>
  <c r="L209" i="49"/>
  <c r="M209" i="49"/>
  <c r="N209" i="49"/>
  <c r="O209" i="49"/>
  <c r="Q209" i="49"/>
  <c r="R209" i="49"/>
  <c r="S209" i="49"/>
  <c r="T209" i="49"/>
  <c r="U209" i="49"/>
  <c r="B210" i="49"/>
  <c r="E210" i="49"/>
  <c r="F210" i="49"/>
  <c r="G210" i="49"/>
  <c r="H210" i="49"/>
  <c r="I210" i="49"/>
  <c r="J210" i="49"/>
  <c r="K210" i="49"/>
  <c r="L210" i="49"/>
  <c r="M210" i="49"/>
  <c r="N210" i="49"/>
  <c r="O210" i="49"/>
  <c r="P210" i="49"/>
  <c r="Q210" i="49"/>
  <c r="R210" i="49"/>
  <c r="S210" i="49"/>
  <c r="T210" i="49"/>
  <c r="U210" i="49"/>
  <c r="B211" i="49"/>
  <c r="E211" i="49"/>
  <c r="F211" i="49"/>
  <c r="G211" i="49"/>
  <c r="H211" i="49"/>
  <c r="I211" i="49"/>
  <c r="J211" i="49"/>
  <c r="K211" i="49"/>
  <c r="L211" i="49"/>
  <c r="M211" i="49"/>
  <c r="N211" i="49"/>
  <c r="O211" i="49"/>
  <c r="P211" i="49"/>
  <c r="Q211" i="49"/>
  <c r="R211" i="49"/>
  <c r="T211" i="49"/>
  <c r="U211" i="49"/>
  <c r="B212" i="49"/>
  <c r="E212" i="49"/>
  <c r="F212" i="49"/>
  <c r="G212" i="49"/>
  <c r="I212" i="49"/>
  <c r="J212" i="49"/>
  <c r="L212" i="49"/>
  <c r="M212" i="49"/>
  <c r="N212" i="49"/>
  <c r="O212" i="49"/>
  <c r="Q212" i="49"/>
  <c r="R212" i="49"/>
  <c r="T212" i="49"/>
  <c r="U212" i="49"/>
  <c r="B213" i="49"/>
  <c r="E213" i="49"/>
  <c r="F213" i="49"/>
  <c r="H213" i="49"/>
  <c r="I213" i="49"/>
  <c r="J213" i="49"/>
  <c r="K213" i="49"/>
  <c r="L213" i="49"/>
  <c r="M213" i="49"/>
  <c r="N213" i="49"/>
  <c r="Q213" i="49"/>
  <c r="R213" i="49"/>
  <c r="S213" i="49"/>
  <c r="T213" i="49"/>
  <c r="U213" i="49"/>
  <c r="B214" i="49"/>
  <c r="E214" i="49"/>
  <c r="F214" i="49"/>
  <c r="H214" i="49"/>
  <c r="I214" i="49"/>
  <c r="J214" i="49"/>
  <c r="K214" i="49"/>
  <c r="M214" i="49"/>
  <c r="N214" i="49"/>
  <c r="Q214" i="49"/>
  <c r="R214" i="49"/>
  <c r="S214" i="49"/>
  <c r="U214" i="49"/>
  <c r="B215" i="49"/>
  <c r="E215" i="49"/>
  <c r="F215" i="49"/>
  <c r="G215" i="49"/>
  <c r="H215" i="49"/>
  <c r="I215" i="49"/>
  <c r="J215" i="49"/>
  <c r="K215" i="49"/>
  <c r="L215" i="49"/>
  <c r="M215" i="49"/>
  <c r="N215" i="49"/>
  <c r="O215" i="49"/>
  <c r="P215" i="49"/>
  <c r="Q215" i="49"/>
  <c r="R215" i="49"/>
  <c r="S215" i="49"/>
  <c r="U215" i="49"/>
  <c r="B216" i="49"/>
  <c r="E216" i="49"/>
  <c r="F216" i="49"/>
  <c r="I216" i="49"/>
  <c r="J216" i="49"/>
  <c r="K216" i="49"/>
  <c r="L216" i="49"/>
  <c r="M216" i="49"/>
  <c r="N216" i="49"/>
  <c r="O216" i="49"/>
  <c r="P216" i="49"/>
  <c r="Q216" i="49"/>
  <c r="R216" i="49"/>
  <c r="T216" i="49"/>
  <c r="U216" i="49"/>
  <c r="B217" i="49"/>
  <c r="E217" i="49"/>
  <c r="F217" i="49"/>
  <c r="G217" i="49"/>
  <c r="H217" i="49"/>
  <c r="I217" i="49"/>
  <c r="J217" i="49"/>
  <c r="M217" i="49"/>
  <c r="N217" i="49"/>
  <c r="P217" i="49"/>
  <c r="Q217" i="49"/>
  <c r="R217" i="49"/>
  <c r="S217" i="49"/>
  <c r="U217" i="49"/>
  <c r="B218" i="49"/>
  <c r="E218" i="49"/>
  <c r="F218" i="49"/>
  <c r="I218" i="49"/>
  <c r="R218" i="49"/>
  <c r="B221" i="49"/>
  <c r="B237" i="49" s="1"/>
  <c r="D221" i="49"/>
  <c r="E221" i="49"/>
  <c r="F221" i="49"/>
  <c r="M221" i="49"/>
  <c r="P221" i="49"/>
  <c r="Q221" i="49"/>
  <c r="T221" i="49"/>
  <c r="AY221" i="49"/>
  <c r="BA221" i="49"/>
  <c r="BB221" i="49"/>
  <c r="BC221" i="49"/>
  <c r="B222" i="49"/>
  <c r="D222" i="49"/>
  <c r="F222" i="49"/>
  <c r="I222" i="49"/>
  <c r="M222" i="49"/>
  <c r="P222" i="49"/>
  <c r="R222" i="49"/>
  <c r="AY222" i="49"/>
  <c r="BA222" i="49"/>
  <c r="BB222" i="49"/>
  <c r="BC222" i="49"/>
  <c r="B223" i="49"/>
  <c r="F223" i="49"/>
  <c r="H223" i="49"/>
  <c r="I223" i="49"/>
  <c r="Q223" i="49"/>
  <c r="R223" i="49"/>
  <c r="T223" i="49"/>
  <c r="AY223" i="49"/>
  <c r="BA223" i="49"/>
  <c r="BC223" i="49"/>
  <c r="BC234" i="49" s="1"/>
  <c r="B224" i="49"/>
  <c r="D224" i="49"/>
  <c r="F224" i="49"/>
  <c r="H224" i="49"/>
  <c r="L224" i="49"/>
  <c r="M224" i="49"/>
  <c r="P224" i="49"/>
  <c r="R224" i="49"/>
  <c r="T224" i="49"/>
  <c r="AY224" i="49"/>
  <c r="BA224" i="49"/>
  <c r="BC224" i="49"/>
  <c r="B225" i="49"/>
  <c r="B241" i="49" s="1"/>
  <c r="D225" i="49"/>
  <c r="D234" i="49" s="1"/>
  <c r="E225" i="49"/>
  <c r="H225" i="49"/>
  <c r="I225" i="49"/>
  <c r="L225" i="49"/>
  <c r="M225" i="49"/>
  <c r="P225" i="49"/>
  <c r="R225" i="49"/>
  <c r="T225" i="49"/>
  <c r="BA225" i="49"/>
  <c r="BC225" i="49"/>
  <c r="B226" i="49"/>
  <c r="D226" i="49"/>
  <c r="E226" i="49"/>
  <c r="F226" i="49"/>
  <c r="H226" i="49"/>
  <c r="L226" i="49"/>
  <c r="M226" i="49"/>
  <c r="P226" i="49"/>
  <c r="P234" i="49" s="1"/>
  <c r="Q226" i="49"/>
  <c r="R226" i="49"/>
  <c r="T226" i="49"/>
  <c r="AY226" i="49"/>
  <c r="BA226" i="49"/>
  <c r="BC226" i="49"/>
  <c r="B227" i="49"/>
  <c r="B243" i="49" s="1"/>
  <c r="D227" i="49"/>
  <c r="E227" i="49"/>
  <c r="H227" i="49"/>
  <c r="L227" i="49"/>
  <c r="M227" i="49"/>
  <c r="P227" i="49"/>
  <c r="R227" i="49"/>
  <c r="BA227" i="49"/>
  <c r="BB227" i="49"/>
  <c r="BC227" i="49"/>
  <c r="B228" i="49"/>
  <c r="B244" i="49" s="1"/>
  <c r="D228" i="49"/>
  <c r="E228" i="49"/>
  <c r="F228" i="49"/>
  <c r="L228" i="49"/>
  <c r="M228" i="49"/>
  <c r="P228" i="49"/>
  <c r="Q228" i="49"/>
  <c r="R228" i="49"/>
  <c r="T228" i="49"/>
  <c r="AY228" i="49"/>
  <c r="BA228" i="49"/>
  <c r="BC228" i="49"/>
  <c r="B229" i="49"/>
  <c r="B245" i="49" s="1"/>
  <c r="D229" i="49"/>
  <c r="E229" i="49"/>
  <c r="H229" i="49"/>
  <c r="I229" i="49"/>
  <c r="L229" i="49"/>
  <c r="M229" i="49"/>
  <c r="P229" i="49"/>
  <c r="R229" i="49"/>
  <c r="T229" i="49"/>
  <c r="BA229" i="49"/>
  <c r="BB229" i="49"/>
  <c r="BC229" i="49"/>
  <c r="B230" i="49"/>
  <c r="D230" i="49"/>
  <c r="E230" i="49"/>
  <c r="F230" i="49"/>
  <c r="H230" i="49"/>
  <c r="L230" i="49"/>
  <c r="P230" i="49"/>
  <c r="Q230" i="49"/>
  <c r="R230" i="49"/>
  <c r="T230" i="49"/>
  <c r="AY230" i="49"/>
  <c r="BC230" i="49"/>
  <c r="B231" i="49"/>
  <c r="D231" i="49"/>
  <c r="E231" i="49"/>
  <c r="H231" i="49"/>
  <c r="I231" i="49"/>
  <c r="L231" i="49"/>
  <c r="M231" i="49"/>
  <c r="P231" i="49"/>
  <c r="R231" i="49"/>
  <c r="T231" i="49"/>
  <c r="BC231" i="49"/>
  <c r="B232" i="49"/>
  <c r="D232" i="49"/>
  <c r="E232" i="49"/>
  <c r="F232" i="49"/>
  <c r="H232" i="49"/>
  <c r="L232" i="49"/>
  <c r="M232" i="49"/>
  <c r="P232" i="49"/>
  <c r="Q232" i="49"/>
  <c r="R232" i="49"/>
  <c r="AY232" i="49"/>
  <c r="BA232" i="49"/>
  <c r="BC232" i="49"/>
  <c r="B233" i="49"/>
  <c r="B249" i="49" s="1"/>
  <c r="D233" i="49"/>
  <c r="E233" i="49"/>
  <c r="I233" i="49"/>
  <c r="L233" i="49"/>
  <c r="M233" i="49"/>
  <c r="P233" i="49"/>
  <c r="R233" i="49"/>
  <c r="BA233" i="49"/>
  <c r="BB233" i="49"/>
  <c r="BC233" i="49"/>
  <c r="B234" i="49"/>
  <c r="B250" i="49" s="1"/>
  <c r="AW234" i="49"/>
  <c r="H237" i="49"/>
  <c r="I237" i="49"/>
  <c r="J237" i="49"/>
  <c r="K237" i="49"/>
  <c r="L237" i="49"/>
  <c r="M237" i="49"/>
  <c r="N237" i="49"/>
  <c r="O237" i="49"/>
  <c r="P237" i="49"/>
  <c r="Q237" i="49"/>
  <c r="R237" i="49"/>
  <c r="S237" i="49"/>
  <c r="T237" i="49"/>
  <c r="AY237" i="49"/>
  <c r="AZ237" i="49"/>
  <c r="BA237" i="49"/>
  <c r="BB237" i="49"/>
  <c r="BC237" i="49"/>
  <c r="B238" i="49"/>
  <c r="H238" i="49"/>
  <c r="I238" i="49"/>
  <c r="J238" i="49"/>
  <c r="K238" i="49"/>
  <c r="L238" i="49"/>
  <c r="M238" i="49"/>
  <c r="N238" i="49"/>
  <c r="O238" i="49"/>
  <c r="P238" i="49"/>
  <c r="Q238" i="49"/>
  <c r="R238" i="49"/>
  <c r="S238" i="49"/>
  <c r="T238" i="49"/>
  <c r="U238" i="49"/>
  <c r="AY238" i="49"/>
  <c r="AZ238" i="49"/>
  <c r="BA238" i="49"/>
  <c r="BB238" i="49"/>
  <c r="BC238" i="49"/>
  <c r="B239" i="49"/>
  <c r="H239" i="49"/>
  <c r="I239" i="49"/>
  <c r="J239" i="49"/>
  <c r="L239" i="49"/>
  <c r="M239" i="49"/>
  <c r="N239" i="49"/>
  <c r="O239" i="49"/>
  <c r="P239" i="49"/>
  <c r="Q239" i="49"/>
  <c r="R239" i="49"/>
  <c r="S239" i="49"/>
  <c r="T239" i="49"/>
  <c r="U239" i="49"/>
  <c r="AY239" i="49"/>
  <c r="AZ239" i="49"/>
  <c r="BA239" i="49"/>
  <c r="BB239" i="49"/>
  <c r="BC239" i="49"/>
  <c r="B240" i="49"/>
  <c r="H240" i="49"/>
  <c r="I240" i="49"/>
  <c r="J240" i="49"/>
  <c r="M240" i="49"/>
  <c r="P240" i="49"/>
  <c r="Q240" i="49"/>
  <c r="R240" i="49"/>
  <c r="U240" i="49"/>
  <c r="AY240" i="49"/>
  <c r="AZ240" i="49"/>
  <c r="BA240" i="49"/>
  <c r="H241" i="49"/>
  <c r="I241" i="49"/>
  <c r="J241" i="49"/>
  <c r="K241" i="49"/>
  <c r="L241" i="49"/>
  <c r="M241" i="49"/>
  <c r="N241" i="49"/>
  <c r="P241" i="49"/>
  <c r="Q241" i="49"/>
  <c r="R241" i="49"/>
  <c r="S241" i="49"/>
  <c r="T241" i="49"/>
  <c r="U241" i="49"/>
  <c r="AY241" i="49"/>
  <c r="AZ241" i="49"/>
  <c r="BA241" i="49"/>
  <c r="BB241" i="49"/>
  <c r="BC241" i="49"/>
  <c r="B242" i="49"/>
  <c r="H242" i="49"/>
  <c r="I242" i="49"/>
  <c r="J242" i="49"/>
  <c r="K242" i="49"/>
  <c r="L242" i="49"/>
  <c r="M242" i="49"/>
  <c r="N242" i="49"/>
  <c r="O242" i="49"/>
  <c r="P242" i="49"/>
  <c r="Q242" i="49"/>
  <c r="R242" i="49"/>
  <c r="S242" i="49"/>
  <c r="T242" i="49"/>
  <c r="U242" i="49"/>
  <c r="AY242" i="49"/>
  <c r="AZ242" i="49"/>
  <c r="BA242" i="49"/>
  <c r="BB242" i="49"/>
  <c r="BC242" i="49"/>
  <c r="H243" i="49"/>
  <c r="I243" i="49"/>
  <c r="J243" i="49"/>
  <c r="K243" i="49"/>
  <c r="L243" i="49"/>
  <c r="M243" i="49"/>
  <c r="N243" i="49"/>
  <c r="O243" i="49"/>
  <c r="P243" i="49"/>
  <c r="Q243" i="49"/>
  <c r="R243" i="49"/>
  <c r="S243" i="49"/>
  <c r="T243" i="49"/>
  <c r="U243" i="49"/>
  <c r="AY243" i="49"/>
  <c r="AZ243" i="49"/>
  <c r="BA243" i="49"/>
  <c r="BB243" i="49"/>
  <c r="BC243" i="49"/>
  <c r="H244" i="49"/>
  <c r="I244" i="49"/>
  <c r="J244" i="49"/>
  <c r="L244" i="49"/>
  <c r="M244" i="49"/>
  <c r="N244" i="49"/>
  <c r="P244" i="49"/>
  <c r="Q244" i="49"/>
  <c r="R244" i="49"/>
  <c r="S244" i="49"/>
  <c r="T244" i="49"/>
  <c r="U244" i="49"/>
  <c r="AY244" i="49"/>
  <c r="AZ244" i="49"/>
  <c r="BA244" i="49"/>
  <c r="BB244" i="49"/>
  <c r="BC244" i="49"/>
  <c r="H245" i="49"/>
  <c r="I245" i="49"/>
  <c r="J245" i="49"/>
  <c r="L245" i="49"/>
  <c r="M245" i="49"/>
  <c r="N245" i="49"/>
  <c r="O245" i="49"/>
  <c r="P245" i="49"/>
  <c r="Q245" i="49"/>
  <c r="R245" i="49"/>
  <c r="T245" i="49"/>
  <c r="U245" i="49"/>
  <c r="AY245" i="49"/>
  <c r="AZ245" i="49"/>
  <c r="BA245" i="49"/>
  <c r="BB245" i="49"/>
  <c r="BC245" i="49"/>
  <c r="B246" i="49"/>
  <c r="H246" i="49"/>
  <c r="I246" i="49"/>
  <c r="J246" i="49"/>
  <c r="K246" i="49"/>
  <c r="L246" i="49"/>
  <c r="M246" i="49"/>
  <c r="N246" i="49"/>
  <c r="O246" i="49"/>
  <c r="P246" i="49"/>
  <c r="Q246" i="49"/>
  <c r="R246" i="49"/>
  <c r="S246" i="49"/>
  <c r="T246" i="49"/>
  <c r="U246" i="49"/>
  <c r="AY246" i="49"/>
  <c r="AZ246" i="49"/>
  <c r="BA246" i="49"/>
  <c r="BB246" i="49"/>
  <c r="BC246" i="49"/>
  <c r="B247" i="49"/>
  <c r="H247" i="49"/>
  <c r="I247" i="49"/>
  <c r="J247" i="49"/>
  <c r="K247" i="49"/>
  <c r="L247" i="49"/>
  <c r="M247" i="49"/>
  <c r="N247" i="49"/>
  <c r="O247" i="49"/>
  <c r="P247" i="49"/>
  <c r="Q247" i="49"/>
  <c r="R247" i="49"/>
  <c r="T247" i="49"/>
  <c r="U247" i="49"/>
  <c r="AY247" i="49"/>
  <c r="AZ247" i="49"/>
  <c r="BA247" i="49"/>
  <c r="BB247" i="49"/>
  <c r="BC247" i="49"/>
  <c r="B248" i="49"/>
  <c r="H248" i="49"/>
  <c r="I248" i="49"/>
  <c r="J248" i="49"/>
  <c r="L248" i="49"/>
  <c r="M248" i="49"/>
  <c r="N248" i="49"/>
  <c r="O248" i="49"/>
  <c r="P248" i="49"/>
  <c r="Q248" i="49"/>
  <c r="R248" i="49"/>
  <c r="T248" i="49"/>
  <c r="U248" i="49"/>
  <c r="AY248" i="49"/>
  <c r="AZ248" i="49"/>
  <c r="BA248" i="49"/>
  <c r="BB248" i="49"/>
  <c r="BC248" i="49"/>
  <c r="H249" i="49"/>
  <c r="I249" i="49"/>
  <c r="J249" i="49"/>
  <c r="K249" i="49"/>
  <c r="L249" i="49"/>
  <c r="M249" i="49"/>
  <c r="N249" i="49"/>
  <c r="P249" i="49"/>
  <c r="Q249" i="49"/>
  <c r="R249" i="49"/>
  <c r="T249" i="49"/>
  <c r="U249" i="49"/>
  <c r="AY249" i="49"/>
  <c r="AZ249" i="49"/>
  <c r="BA249" i="49"/>
  <c r="BB249" i="49"/>
  <c r="BC249" i="49"/>
  <c r="L250" i="49"/>
  <c r="M250" i="49"/>
  <c r="P250" i="49"/>
  <c r="H259" i="49"/>
  <c r="I259" i="49"/>
  <c r="J259" i="49"/>
  <c r="K259" i="49"/>
  <c r="L259" i="49"/>
  <c r="M259" i="49"/>
  <c r="N259" i="49"/>
  <c r="O259" i="49"/>
  <c r="P259" i="49"/>
  <c r="Q259" i="49"/>
  <c r="R259" i="49"/>
  <c r="S259" i="49"/>
  <c r="T259" i="49"/>
  <c r="U259" i="49"/>
  <c r="V259" i="49"/>
  <c r="AD259" i="49"/>
  <c r="AE259" i="49"/>
  <c r="AF259" i="49"/>
  <c r="AG259" i="49"/>
  <c r="AH259" i="49"/>
  <c r="AI259" i="49"/>
  <c r="AJ259" i="49"/>
  <c r="AK259" i="49"/>
  <c r="AL259" i="49"/>
  <c r="AM259" i="49"/>
  <c r="AN259" i="49"/>
  <c r="AO259" i="49"/>
  <c r="AP259" i="49"/>
  <c r="AQ259" i="49"/>
  <c r="AR259" i="49"/>
  <c r="AS259" i="49"/>
  <c r="AT259" i="49"/>
  <c r="AU259" i="49"/>
  <c r="AV259" i="49"/>
  <c r="AW259" i="49"/>
  <c r="AX259" i="49"/>
  <c r="AY259" i="49"/>
  <c r="AZ259" i="49"/>
  <c r="BA259" i="49"/>
  <c r="BB259" i="49"/>
  <c r="BC259" i="49"/>
  <c r="L260" i="49"/>
  <c r="M260" i="49"/>
  <c r="N260" i="49"/>
  <c r="O260" i="49"/>
  <c r="P260" i="49"/>
  <c r="Q260" i="49"/>
  <c r="R260" i="49"/>
  <c r="S260" i="49"/>
  <c r="T260" i="49"/>
  <c r="U260" i="49"/>
  <c r="V260" i="49"/>
  <c r="AE260" i="49"/>
  <c r="AF260" i="49"/>
  <c r="AG260" i="49"/>
  <c r="AH260" i="49"/>
  <c r="AI260" i="49"/>
  <c r="AJ260" i="49"/>
  <c r="AK260" i="49"/>
  <c r="AL260" i="49"/>
  <c r="AM260" i="49"/>
  <c r="AN260" i="49"/>
  <c r="AO260" i="49"/>
  <c r="AP260" i="49"/>
  <c r="AQ260" i="49"/>
  <c r="AR260" i="49"/>
  <c r="AS260" i="49"/>
  <c r="AT260" i="49"/>
  <c r="AU260" i="49"/>
  <c r="AV260" i="49"/>
  <c r="AW260" i="49"/>
  <c r="AX260" i="49"/>
  <c r="AY260" i="49"/>
  <c r="AZ260" i="49"/>
  <c r="BA260" i="49"/>
  <c r="BB260" i="49"/>
  <c r="BC260" i="49"/>
  <c r="P261" i="49"/>
  <c r="Q261" i="49"/>
  <c r="R261" i="49"/>
  <c r="S261" i="49"/>
  <c r="T261" i="49"/>
  <c r="U261" i="49"/>
  <c r="V261" i="49"/>
  <c r="AF261" i="49"/>
  <c r="AG261" i="49"/>
  <c r="AH261" i="49"/>
  <c r="AI261" i="49"/>
  <c r="AJ261" i="49"/>
  <c r="AK261" i="49"/>
  <c r="AL261" i="49"/>
  <c r="AM261" i="49"/>
  <c r="AN261" i="49"/>
  <c r="AO261" i="49"/>
  <c r="AP261" i="49"/>
  <c r="AQ261" i="49"/>
  <c r="AR261" i="49"/>
  <c r="AS261" i="49"/>
  <c r="AT261" i="49"/>
  <c r="AU261" i="49"/>
  <c r="AV261" i="49"/>
  <c r="AW261" i="49"/>
  <c r="AX261" i="49"/>
  <c r="AY261" i="49"/>
  <c r="AZ261" i="49"/>
  <c r="BA261" i="49"/>
  <c r="BB261" i="49"/>
  <c r="BC261" i="49"/>
  <c r="AR263" i="49"/>
  <c r="AS263" i="49"/>
  <c r="AT263" i="49"/>
  <c r="AU263" i="49"/>
  <c r="AV263" i="49"/>
  <c r="AW263" i="49"/>
  <c r="AX263" i="49"/>
  <c r="AY263" i="49"/>
  <c r="AZ263" i="49"/>
  <c r="BA263" i="49"/>
  <c r="BB263" i="49"/>
  <c r="BC263" i="49"/>
  <c r="H266" i="49"/>
  <c r="I266" i="49"/>
  <c r="J266" i="49"/>
  <c r="K266" i="49"/>
  <c r="L266" i="49"/>
  <c r="M266" i="49"/>
  <c r="N266" i="49"/>
  <c r="O266" i="49"/>
  <c r="P266" i="49"/>
  <c r="Q266" i="49"/>
  <c r="R266" i="49"/>
  <c r="S266" i="49"/>
  <c r="T266" i="49"/>
  <c r="U266" i="49"/>
  <c r="V266" i="49"/>
  <c r="AD266" i="49"/>
  <c r="AE266" i="49"/>
  <c r="AF266" i="49"/>
  <c r="AG266" i="49"/>
  <c r="AH266" i="49"/>
  <c r="AI266" i="49"/>
  <c r="AJ266" i="49"/>
  <c r="AK266" i="49"/>
  <c r="AL266" i="49"/>
  <c r="AM266" i="49"/>
  <c r="AN266" i="49"/>
  <c r="AO266" i="49"/>
  <c r="AP266" i="49"/>
  <c r="AQ266" i="49"/>
  <c r="AR266" i="49"/>
  <c r="AS266" i="49"/>
  <c r="AT266" i="49"/>
  <c r="AU266" i="49"/>
  <c r="AV266" i="49"/>
  <c r="AW266" i="49"/>
  <c r="AX266" i="49"/>
  <c r="AY266" i="49"/>
  <c r="AZ266" i="49"/>
  <c r="BA266" i="49"/>
  <c r="BB266" i="49"/>
  <c r="BC266" i="49"/>
  <c r="L267" i="49"/>
  <c r="M267" i="49"/>
  <c r="N267" i="49"/>
  <c r="O267" i="49"/>
  <c r="P267" i="49"/>
  <c r="Q267" i="49"/>
  <c r="R267" i="49"/>
  <c r="S267" i="49"/>
  <c r="T267" i="49"/>
  <c r="U267" i="49"/>
  <c r="V267" i="49"/>
  <c r="AE267" i="49"/>
  <c r="AF267" i="49"/>
  <c r="AG267" i="49"/>
  <c r="AH267" i="49"/>
  <c r="AI267" i="49"/>
  <c r="AJ267" i="49"/>
  <c r="AK267" i="49"/>
  <c r="AL267" i="49"/>
  <c r="AM267" i="49"/>
  <c r="AN267" i="49"/>
  <c r="AO267" i="49"/>
  <c r="AP267" i="49"/>
  <c r="AQ267" i="49"/>
  <c r="AR267" i="49"/>
  <c r="AS267" i="49"/>
  <c r="AT267" i="49"/>
  <c r="AU267" i="49"/>
  <c r="AV267" i="49"/>
  <c r="AW267" i="49"/>
  <c r="AX267" i="49"/>
  <c r="AY267" i="49"/>
  <c r="AZ267" i="49"/>
  <c r="BA267" i="49"/>
  <c r="BB267" i="49"/>
  <c r="BC267" i="49"/>
  <c r="P268" i="49"/>
  <c r="Q268" i="49"/>
  <c r="R268" i="49"/>
  <c r="S268" i="49"/>
  <c r="T268" i="49"/>
  <c r="U268" i="49"/>
  <c r="V268" i="49"/>
  <c r="AF268" i="49"/>
  <c r="AG268" i="49"/>
  <c r="AH268" i="49"/>
  <c r="AI268" i="49"/>
  <c r="AJ268" i="49"/>
  <c r="AK268" i="49"/>
  <c r="AL268" i="49"/>
  <c r="AM268" i="49"/>
  <c r="AN268" i="49"/>
  <c r="AO268" i="49"/>
  <c r="AP268" i="49"/>
  <c r="AQ268" i="49"/>
  <c r="AR268" i="49"/>
  <c r="AS268" i="49"/>
  <c r="AT268" i="49"/>
  <c r="AU268" i="49"/>
  <c r="AV268" i="49"/>
  <c r="AW268" i="49"/>
  <c r="AX268" i="49"/>
  <c r="AY268" i="49"/>
  <c r="AZ268" i="49"/>
  <c r="BA268" i="49"/>
  <c r="BB268" i="49"/>
  <c r="BC268" i="49"/>
  <c r="D270" i="49"/>
  <c r="E270" i="49"/>
  <c r="F270" i="49"/>
  <c r="H270" i="49"/>
  <c r="H271" i="49" s="1"/>
  <c r="I270" i="49"/>
  <c r="L270" i="49"/>
  <c r="L271" i="49" s="1"/>
  <c r="M270" i="49"/>
  <c r="M271" i="49" s="1"/>
  <c r="P270" i="49"/>
  <c r="P271" i="49" s="1"/>
  <c r="Q270" i="49"/>
  <c r="Q273" i="49" s="1"/>
  <c r="R270" i="49"/>
  <c r="AR270" i="49"/>
  <c r="AS270" i="49"/>
  <c r="AS271" i="49" s="1"/>
  <c r="AT270" i="49"/>
  <c r="AT271" i="49" s="1"/>
  <c r="AU270" i="49"/>
  <c r="AV271" i="49" s="1"/>
  <c r="AV270" i="49"/>
  <c r="I271" i="49"/>
  <c r="Q271" i="49"/>
  <c r="AU271" i="49"/>
  <c r="L272" i="49"/>
  <c r="M272" i="49"/>
  <c r="AT272" i="49"/>
  <c r="AV273" i="49"/>
  <c r="E275" i="49"/>
  <c r="M277" i="49" s="1"/>
  <c r="F275" i="49"/>
  <c r="J276" i="49" s="1"/>
  <c r="G275" i="49"/>
  <c r="I275" i="49"/>
  <c r="J275" i="49"/>
  <c r="L275" i="49"/>
  <c r="M275" i="49"/>
  <c r="Q275" i="49"/>
  <c r="T275" i="49"/>
  <c r="AC275" i="49"/>
  <c r="AD275" i="49"/>
  <c r="AE275" i="49"/>
  <c r="AE276" i="49" s="1"/>
  <c r="AF275" i="49"/>
  <c r="AF276" i="49" s="1"/>
  <c r="AG275" i="49"/>
  <c r="AG278" i="49" s="1"/>
  <c r="AH275" i="49"/>
  <c r="AI275" i="49"/>
  <c r="AJ275" i="49"/>
  <c r="AK275" i="49"/>
  <c r="AK277" i="49" s="1"/>
  <c r="AL275" i="49"/>
  <c r="AM275" i="49"/>
  <c r="AM276" i="49" s="1"/>
  <c r="AN275" i="49"/>
  <c r="AN278" i="49" s="1"/>
  <c r="AO275" i="49"/>
  <c r="AO278" i="49" s="1"/>
  <c r="AP275" i="49"/>
  <c r="AP276" i="49" s="1"/>
  <c r="AQ275" i="49"/>
  <c r="AQ278" i="49" s="1"/>
  <c r="AR275" i="49"/>
  <c r="AR278" i="49" s="1"/>
  <c r="AS275" i="49"/>
  <c r="I276" i="49"/>
  <c r="M276" i="49"/>
  <c r="Q276" i="49"/>
  <c r="AD276" i="49"/>
  <c r="AG276" i="49"/>
  <c r="AI276" i="49"/>
  <c r="AJ276" i="49"/>
  <c r="AK276" i="49"/>
  <c r="AL276" i="49"/>
  <c r="Q277" i="49"/>
  <c r="AE277" i="49"/>
  <c r="AF277" i="49"/>
  <c r="AG277" i="49"/>
  <c r="AH277" i="49"/>
  <c r="AI277" i="49"/>
  <c r="AJ277" i="49"/>
  <c r="AO277" i="49"/>
  <c r="AQ277" i="49"/>
  <c r="AH278" i="49"/>
  <c r="AI278" i="49"/>
  <c r="AJ278" i="49"/>
  <c r="AK278" i="49"/>
  <c r="AL278" i="49"/>
  <c r="W281" i="49"/>
  <c r="BD281" i="49"/>
  <c r="BH282" i="49"/>
  <c r="BI282" i="49"/>
  <c r="BJ282" i="49"/>
  <c r="G283" i="49"/>
  <c r="I287" i="49"/>
  <c r="J287" i="49"/>
  <c r="K287" i="49"/>
  <c r="M287" i="49"/>
  <c r="N287" i="49"/>
  <c r="P287" i="49"/>
  <c r="Q287" i="49"/>
  <c r="U287" i="49"/>
  <c r="X287" i="49"/>
  <c r="AD287" i="49"/>
  <c r="AD288" i="49" s="1"/>
  <c r="AD290" i="49" s="1"/>
  <c r="AE287" i="49"/>
  <c r="AF287" i="49"/>
  <c r="AG287" i="49"/>
  <c r="AG288" i="49" s="1"/>
  <c r="AG290" i="49" s="1"/>
  <c r="AH287" i="49"/>
  <c r="AI287" i="49"/>
  <c r="AI288" i="49" s="1"/>
  <c r="AI290" i="49" s="1"/>
  <c r="AJ287" i="49"/>
  <c r="AK287" i="49"/>
  <c r="AL287" i="49"/>
  <c r="AL288" i="49" s="1"/>
  <c r="AL290" i="49" s="1"/>
  <c r="AM287" i="49"/>
  <c r="AN287" i="49"/>
  <c r="AN288" i="49" s="1"/>
  <c r="AO287" i="49"/>
  <c r="AP287" i="49"/>
  <c r="AQ287" i="49"/>
  <c r="AR287" i="49"/>
  <c r="AS287" i="49"/>
  <c r="AT287" i="49"/>
  <c r="AT288" i="49" s="1"/>
  <c r="AT290" i="49" s="1"/>
  <c r="AU287" i="49"/>
  <c r="AV287" i="49"/>
  <c r="AW287" i="49"/>
  <c r="AZ287" i="49"/>
  <c r="BA287" i="49"/>
  <c r="I289" i="49"/>
  <c r="I288" i="49"/>
  <c r="I290" i="49" s="1"/>
  <c r="I291" i="49" s="1"/>
  <c r="J289" i="49"/>
  <c r="J288" i="49"/>
  <c r="J290" i="49" s="1"/>
  <c r="J291" i="49" s="1"/>
  <c r="L289" i="49"/>
  <c r="M289" i="49"/>
  <c r="M288" i="49" s="1"/>
  <c r="M290" i="49" s="1"/>
  <c r="M291" i="49" s="1"/>
  <c r="Q289" i="49"/>
  <c r="Q288" i="49" s="1"/>
  <c r="Q290" i="49" s="1"/>
  <c r="Q291" i="49" s="1"/>
  <c r="T289" i="49"/>
  <c r="X288" i="49"/>
  <c r="AE288" i="49"/>
  <c r="AF288" i="49"/>
  <c r="AM288" i="49"/>
  <c r="AM290" i="49" s="1"/>
  <c r="AO288" i="49"/>
  <c r="AP288" i="49"/>
  <c r="AQ288" i="49"/>
  <c r="AS288" i="49"/>
  <c r="AY289" i="49"/>
  <c r="AZ289" i="49"/>
  <c r="AZ288" i="49" s="1"/>
  <c r="X290" i="49"/>
  <c r="X291" i="49" s="1"/>
  <c r="AE290" i="49"/>
  <c r="AF290" i="49"/>
  <c r="AN290" i="49"/>
  <c r="AO290" i="49"/>
  <c r="AP290" i="49"/>
  <c r="AQ290" i="49"/>
  <c r="AS290" i="49"/>
  <c r="AZ290" i="49"/>
  <c r="AZ291" i="49" s="1"/>
  <c r="AA294" i="49"/>
  <c r="BE294" i="49"/>
  <c r="H295" i="49"/>
  <c r="I295" i="49"/>
  <c r="J295" i="49"/>
  <c r="K295" i="49"/>
  <c r="L295" i="49"/>
  <c r="M295" i="49"/>
  <c r="N295" i="49"/>
  <c r="O295" i="49"/>
  <c r="P295" i="49"/>
  <c r="Q295" i="49"/>
  <c r="R295" i="49"/>
  <c r="S295" i="49"/>
  <c r="T295" i="49"/>
  <c r="U295" i="49"/>
  <c r="X295" i="49"/>
  <c r="Y295" i="49"/>
  <c r="AD295" i="49"/>
  <c r="AE295" i="49"/>
  <c r="AF295" i="49"/>
  <c r="AG295" i="49"/>
  <c r="AH295" i="49"/>
  <c r="AI295" i="49"/>
  <c r="AJ295" i="49"/>
  <c r="AK295" i="49"/>
  <c r="AL295" i="49"/>
  <c r="AM295" i="49"/>
  <c r="AN295" i="49"/>
  <c r="AO295" i="49"/>
  <c r="AP295" i="49"/>
  <c r="AQ295" i="49"/>
  <c r="AR295" i="49"/>
  <c r="AS295" i="49"/>
  <c r="AA296" i="49"/>
  <c r="BG301" i="49"/>
  <c r="BH301" i="49"/>
  <c r="BI301" i="49"/>
  <c r="BJ301" i="49"/>
  <c r="BG302" i="49"/>
  <c r="BH302" i="49"/>
  <c r="BI302" i="49"/>
  <c r="BJ302" i="49"/>
  <c r="D303" i="49"/>
  <c r="E303" i="49"/>
  <c r="F303" i="49"/>
  <c r="G303" i="49"/>
  <c r="H303" i="49"/>
  <c r="BH303" i="49" s="1"/>
  <c r="I303" i="49"/>
  <c r="I309" i="49" s="1"/>
  <c r="I316" i="49" s="1"/>
  <c r="I320" i="49" s="1"/>
  <c r="I322" i="49" s="1"/>
  <c r="J303" i="49"/>
  <c r="J309" i="49" s="1"/>
  <c r="J316" i="49" s="1"/>
  <c r="J320" i="49" s="1"/>
  <c r="J322" i="49" s="1"/>
  <c r="K303" i="49"/>
  <c r="K309" i="49" s="1"/>
  <c r="K316" i="49" s="1"/>
  <c r="K320" i="49" s="1"/>
  <c r="K322" i="49" s="1"/>
  <c r="L303" i="49"/>
  <c r="L309" i="49" s="1"/>
  <c r="M303" i="49"/>
  <c r="N303" i="49"/>
  <c r="O303" i="49"/>
  <c r="P303" i="49"/>
  <c r="Q303" i="49"/>
  <c r="R303" i="49"/>
  <c r="S303" i="49"/>
  <c r="S309" i="49" s="1"/>
  <c r="S316" i="49" s="1"/>
  <c r="S320" i="49" s="1"/>
  <c r="S322" i="49" s="1"/>
  <c r="T303" i="49"/>
  <c r="U303" i="49"/>
  <c r="V303" i="49"/>
  <c r="AC303" i="49"/>
  <c r="AD303" i="49"/>
  <c r="AD309" i="49" s="1"/>
  <c r="AD316" i="49" s="1"/>
  <c r="AD320" i="49" s="1"/>
  <c r="AE303" i="49"/>
  <c r="AF303" i="49"/>
  <c r="AF309" i="49" s="1"/>
  <c r="AF316" i="49" s="1"/>
  <c r="AF320" i="49" s="1"/>
  <c r="AG303" i="49"/>
  <c r="AH303" i="49"/>
  <c r="AH309" i="49" s="1"/>
  <c r="AH316" i="49" s="1"/>
  <c r="AH320" i="49" s="1"/>
  <c r="AI303" i="49"/>
  <c r="AI309" i="49" s="1"/>
  <c r="AI316" i="49" s="1"/>
  <c r="AI320" i="49" s="1"/>
  <c r="AJ303" i="49"/>
  <c r="AK303" i="49"/>
  <c r="AL303" i="49"/>
  <c r="AM303" i="49"/>
  <c r="AN303" i="49"/>
  <c r="AO303" i="49"/>
  <c r="AO309" i="49" s="1"/>
  <c r="AO316" i="49" s="1"/>
  <c r="AO320" i="49" s="1"/>
  <c r="AP303" i="49"/>
  <c r="AP309" i="49" s="1"/>
  <c r="AP316" i="49" s="1"/>
  <c r="AP320" i="49" s="1"/>
  <c r="AQ303" i="49"/>
  <c r="AR303" i="49"/>
  <c r="AS303" i="49"/>
  <c r="AT303" i="49"/>
  <c r="AT309" i="49" s="1"/>
  <c r="AT316" i="49" s="1"/>
  <c r="AT320" i="49" s="1"/>
  <c r="AT322" i="49" s="1"/>
  <c r="AU303" i="49"/>
  <c r="AV303" i="49"/>
  <c r="AV309" i="49" s="1"/>
  <c r="AV316" i="49" s="1"/>
  <c r="AV320" i="49" s="1"/>
  <c r="AV322" i="49" s="1"/>
  <c r="AW303" i="49"/>
  <c r="AW309" i="49" s="1"/>
  <c r="AW316" i="49" s="1"/>
  <c r="AW320" i="49" s="1"/>
  <c r="AW322" i="49" s="1"/>
  <c r="AX303" i="49"/>
  <c r="AX309" i="49" s="1"/>
  <c r="AX316" i="49" s="1"/>
  <c r="AX320" i="49" s="1"/>
  <c r="AX322" i="49" s="1"/>
  <c r="AY303" i="49"/>
  <c r="AY309" i="49" s="1"/>
  <c r="AY316" i="49" s="1"/>
  <c r="AY320" i="49" s="1"/>
  <c r="AY322" i="49" s="1"/>
  <c r="AZ303" i="49"/>
  <c r="BA303" i="49"/>
  <c r="BB303" i="49"/>
  <c r="BI303" i="49" s="1"/>
  <c r="BC303" i="49"/>
  <c r="BG303" i="49"/>
  <c r="BG306" i="49"/>
  <c r="BH306" i="49"/>
  <c r="BI306" i="49"/>
  <c r="BJ306" i="49"/>
  <c r="D307" i="49"/>
  <c r="BG307" i="49" s="1"/>
  <c r="E307" i="49"/>
  <c r="F307" i="49"/>
  <c r="F309" i="49" s="1"/>
  <c r="F316" i="49" s="1"/>
  <c r="F320" i="49" s="1"/>
  <c r="F322" i="49" s="1"/>
  <c r="G307" i="49"/>
  <c r="H307" i="49"/>
  <c r="I307" i="49"/>
  <c r="J307" i="49"/>
  <c r="K307" i="49"/>
  <c r="L307" i="49"/>
  <c r="M307" i="49"/>
  <c r="N307" i="49"/>
  <c r="O307" i="49"/>
  <c r="P307" i="49"/>
  <c r="Q307" i="49"/>
  <c r="R307" i="49"/>
  <c r="BJ307" i="49" s="1"/>
  <c r="S307" i="49"/>
  <c r="T307" i="49"/>
  <c r="T309" i="49" s="1"/>
  <c r="U307" i="49"/>
  <c r="V307" i="49"/>
  <c r="V309" i="49" s="1"/>
  <c r="V316" i="49" s="1"/>
  <c r="V320" i="49" s="1"/>
  <c r="V322" i="49" s="1"/>
  <c r="AC307" i="49"/>
  <c r="AD307" i="49"/>
  <c r="AE307" i="49"/>
  <c r="AF307" i="49"/>
  <c r="AG307" i="49"/>
  <c r="AH307" i="49"/>
  <c r="AI307" i="49"/>
  <c r="AJ307" i="49"/>
  <c r="AK307" i="49"/>
  <c r="AL307" i="49"/>
  <c r="AM307" i="49"/>
  <c r="AN307" i="49"/>
  <c r="AO307" i="49"/>
  <c r="AP307" i="49"/>
  <c r="AQ307" i="49"/>
  <c r="AR307" i="49"/>
  <c r="AR309" i="49" s="1"/>
  <c r="AR316" i="49" s="1"/>
  <c r="AR320" i="49" s="1"/>
  <c r="AR322" i="49" s="1"/>
  <c r="AS307" i="49"/>
  <c r="AS309" i="49" s="1"/>
  <c r="AS316" i="49" s="1"/>
  <c r="AS320" i="49" s="1"/>
  <c r="AS322" i="49" s="1"/>
  <c r="AT307" i="49"/>
  <c r="AU307" i="49"/>
  <c r="AV307" i="49"/>
  <c r="AW307" i="49"/>
  <c r="AX307" i="49"/>
  <c r="AY307" i="49"/>
  <c r="AZ307" i="49"/>
  <c r="AZ309" i="49" s="1"/>
  <c r="BA307" i="49"/>
  <c r="BH307" i="49" s="1"/>
  <c r="BB307" i="49"/>
  <c r="BC307" i="49"/>
  <c r="BI307" i="49"/>
  <c r="BG308" i="49"/>
  <c r="BH308" i="49"/>
  <c r="BI308" i="49"/>
  <c r="BJ308" i="49"/>
  <c r="G309" i="49"/>
  <c r="G316" i="49" s="1"/>
  <c r="G320" i="49" s="1"/>
  <c r="G322" i="49" s="1"/>
  <c r="M309" i="49"/>
  <c r="N309" i="49"/>
  <c r="O309" i="49"/>
  <c r="O316" i="49" s="1"/>
  <c r="P309" i="49"/>
  <c r="P316" i="49" s="1"/>
  <c r="Q309" i="49"/>
  <c r="Q316" i="49" s="1"/>
  <c r="Q320" i="49" s="1"/>
  <c r="Q322" i="49" s="1"/>
  <c r="AC309" i="49"/>
  <c r="AE309" i="49"/>
  <c r="AE316" i="49" s="1"/>
  <c r="AE320" i="49" s="1"/>
  <c r="AG309" i="49"/>
  <c r="AG316" i="49" s="1"/>
  <c r="AG320" i="49" s="1"/>
  <c r="AJ309" i="49"/>
  <c r="AK309" i="49"/>
  <c r="AL309" i="49"/>
  <c r="AL316" i="49" s="1"/>
  <c r="AM309" i="49"/>
  <c r="AN309" i="49"/>
  <c r="AN316" i="49" s="1"/>
  <c r="AN320" i="49" s="1"/>
  <c r="AU309" i="49"/>
  <c r="AU316" i="49" s="1"/>
  <c r="AU320" i="49" s="1"/>
  <c r="AU322" i="49" s="1"/>
  <c r="BA309" i="49"/>
  <c r="BB309" i="49"/>
  <c r="BB316" i="49" s="1"/>
  <c r="BC309" i="49"/>
  <c r="BC316" i="49" s="1"/>
  <c r="BG310" i="49"/>
  <c r="BH310" i="49"/>
  <c r="BI310" i="49"/>
  <c r="BJ310" i="49"/>
  <c r="BG311" i="49"/>
  <c r="BH311" i="49"/>
  <c r="BI311" i="49"/>
  <c r="BJ311" i="49"/>
  <c r="BG313" i="49"/>
  <c r="BH313" i="49"/>
  <c r="BI313" i="49"/>
  <c r="BJ313" i="49"/>
  <c r="D314" i="49"/>
  <c r="E314" i="49"/>
  <c r="F314" i="49"/>
  <c r="G314" i="49"/>
  <c r="H314" i="49"/>
  <c r="I314" i="49"/>
  <c r="J314" i="49"/>
  <c r="K314" i="49"/>
  <c r="L314" i="49"/>
  <c r="M314" i="49"/>
  <c r="BI314" i="49" s="1"/>
  <c r="N314" i="49"/>
  <c r="O314" i="49"/>
  <c r="P314" i="49"/>
  <c r="Q314" i="49"/>
  <c r="R314" i="49"/>
  <c r="S314" i="49"/>
  <c r="T314" i="49"/>
  <c r="U314" i="49"/>
  <c r="V314" i="49"/>
  <c r="AR314" i="49"/>
  <c r="AS314" i="49"/>
  <c r="AT314" i="49"/>
  <c r="AU314" i="49"/>
  <c r="AV314" i="49"/>
  <c r="AW314" i="49"/>
  <c r="AX314" i="49"/>
  <c r="AY314" i="49"/>
  <c r="AZ314" i="49"/>
  <c r="BA314" i="49"/>
  <c r="BB314" i="49"/>
  <c r="BC314" i="49"/>
  <c r="BH314" i="49"/>
  <c r="BJ314" i="49"/>
  <c r="BG315" i="49"/>
  <c r="BH315" i="49"/>
  <c r="BI315" i="49"/>
  <c r="BJ315" i="49"/>
  <c r="M316" i="49"/>
  <c r="M320" i="49" s="1"/>
  <c r="M322" i="49" s="1"/>
  <c r="N316" i="49"/>
  <c r="N320" i="49" s="1"/>
  <c r="N322" i="49" s="1"/>
  <c r="AC316" i="49"/>
  <c r="AC320" i="49" s="1"/>
  <c r="AJ316" i="49"/>
  <c r="AJ320" i="49" s="1"/>
  <c r="AK316" i="49"/>
  <c r="AK320" i="49" s="1"/>
  <c r="AM316" i="49"/>
  <c r="AM320" i="49" s="1"/>
  <c r="BA316" i="49"/>
  <c r="O320" i="49"/>
  <c r="O322" i="49" s="1"/>
  <c r="P320" i="49"/>
  <c r="P322" i="49" s="1"/>
  <c r="AL320" i="49"/>
  <c r="BB320" i="49"/>
  <c r="BB322" i="49" s="1"/>
  <c r="BC320" i="49"/>
  <c r="BC322" i="49" s="1"/>
  <c r="BG324" i="49"/>
  <c r="BH324" i="49"/>
  <c r="BI324" i="49"/>
  <c r="BJ324" i="49"/>
  <c r="BG325" i="49"/>
  <c r="BH325" i="49"/>
  <c r="BI325" i="49"/>
  <c r="BJ325" i="49"/>
  <c r="BG326" i="49"/>
  <c r="BH326" i="49"/>
  <c r="BI326" i="49"/>
  <c r="BJ326" i="49"/>
  <c r="D327" i="49"/>
  <c r="E327" i="49"/>
  <c r="F327" i="49"/>
  <c r="G327" i="49"/>
  <c r="H327" i="49"/>
  <c r="BH327" i="49" s="1"/>
  <c r="I327" i="49"/>
  <c r="J327" i="49"/>
  <c r="K327" i="49"/>
  <c r="L327" i="49"/>
  <c r="M327" i="49"/>
  <c r="N327" i="49"/>
  <c r="O327" i="49"/>
  <c r="P327" i="49"/>
  <c r="Q327" i="49"/>
  <c r="R327" i="49"/>
  <c r="S327" i="49"/>
  <c r="T327" i="49"/>
  <c r="U327" i="49"/>
  <c r="V327" i="49"/>
  <c r="AC327" i="49"/>
  <c r="AD327" i="49"/>
  <c r="AE327" i="49"/>
  <c r="AF327" i="49"/>
  <c r="AG327" i="49"/>
  <c r="AH327" i="49"/>
  <c r="AI327" i="49"/>
  <c r="AJ327" i="49"/>
  <c r="AK327" i="49"/>
  <c r="AL327" i="49"/>
  <c r="AM327" i="49"/>
  <c r="AN327" i="49"/>
  <c r="AO327" i="49"/>
  <c r="AP327" i="49"/>
  <c r="AQ327" i="49"/>
  <c r="AR327" i="49"/>
  <c r="AS327" i="49"/>
  <c r="AT327" i="49"/>
  <c r="AU327" i="49"/>
  <c r="AV327" i="49"/>
  <c r="AW327" i="49"/>
  <c r="AX327" i="49"/>
  <c r="AY327" i="49"/>
  <c r="AZ327" i="49"/>
  <c r="BA327" i="49"/>
  <c r="BB327" i="49"/>
  <c r="BI327" i="49" s="1"/>
  <c r="BC327" i="49"/>
  <c r="BJ327" i="49" s="1"/>
  <c r="BG327" i="49"/>
  <c r="BG328" i="49"/>
  <c r="BH328" i="49"/>
  <c r="BI328" i="49"/>
  <c r="BJ328" i="49"/>
  <c r="BG330" i="49"/>
  <c r="BH330" i="49"/>
  <c r="BI330" i="49"/>
  <c r="BJ330" i="49"/>
  <c r="BG341" i="49"/>
  <c r="BH341" i="49"/>
  <c r="BI341" i="49"/>
  <c r="BJ341" i="49"/>
  <c r="BG342" i="49"/>
  <c r="BH342" i="49"/>
  <c r="BI342" i="49"/>
  <c r="BJ342" i="49"/>
  <c r="BG343" i="49"/>
  <c r="BH343" i="49"/>
  <c r="BI343" i="49"/>
  <c r="BJ343" i="49"/>
  <c r="BG344" i="49"/>
  <c r="BH344" i="49"/>
  <c r="BI344" i="49"/>
  <c r="BJ344" i="49"/>
  <c r="BG345" i="49"/>
  <c r="BH345" i="49"/>
  <c r="BI345" i="49"/>
  <c r="BJ345" i="49"/>
  <c r="BG346" i="49"/>
  <c r="BH346" i="49"/>
  <c r="BI346" i="49"/>
  <c r="BJ346" i="49"/>
  <c r="BG349" i="49"/>
  <c r="BH349" i="49"/>
  <c r="BI349" i="49"/>
  <c r="BJ349" i="49"/>
  <c r="BG350" i="49"/>
  <c r="BH350" i="49"/>
  <c r="BI350" i="49"/>
  <c r="BJ350" i="49"/>
  <c r="BG352" i="49"/>
  <c r="BH352" i="49"/>
  <c r="BI352" i="49"/>
  <c r="BJ352" i="49"/>
  <c r="BG353" i="49"/>
  <c r="BH353" i="49"/>
  <c r="BI353" i="49"/>
  <c r="BJ353" i="49"/>
  <c r="BG354" i="49"/>
  <c r="BH354" i="49"/>
  <c r="BI354" i="49"/>
  <c r="BJ354" i="49"/>
  <c r="BG355" i="49"/>
  <c r="BH355" i="49"/>
  <c r="BI355" i="49"/>
  <c r="BJ355" i="49"/>
  <c r="BG357" i="49"/>
  <c r="BH357" i="49"/>
  <c r="BI357" i="49"/>
  <c r="BJ357" i="49"/>
  <c r="BG358" i="49"/>
  <c r="BH358" i="49"/>
  <c r="BI358" i="49"/>
  <c r="BJ358" i="49"/>
  <c r="BG359" i="49"/>
  <c r="BH359" i="49"/>
  <c r="BI359" i="49"/>
  <c r="BJ359" i="49"/>
  <c r="BG360" i="49"/>
  <c r="BH360" i="49"/>
  <c r="BI360" i="49"/>
  <c r="BJ360" i="49"/>
  <c r="BG361" i="49"/>
  <c r="BH361" i="49"/>
  <c r="BI361" i="49"/>
  <c r="BJ361" i="49"/>
  <c r="BG362" i="49"/>
  <c r="BH362" i="49"/>
  <c r="BI362" i="49"/>
  <c r="BG365" i="49"/>
  <c r="BH365" i="49"/>
  <c r="BI365" i="49"/>
  <c r="BJ365" i="49"/>
  <c r="BG366" i="49"/>
  <c r="BH366" i="49"/>
  <c r="BI366" i="49"/>
  <c r="BJ366" i="49"/>
  <c r="BG367" i="49"/>
  <c r="BH367" i="49"/>
  <c r="BI367" i="49"/>
  <c r="BJ367" i="49"/>
  <c r="BG368" i="49"/>
  <c r="BH368" i="49"/>
  <c r="BI368" i="49"/>
  <c r="BJ368" i="49"/>
  <c r="BG369" i="49"/>
  <c r="BH369" i="49"/>
  <c r="BI369" i="49"/>
  <c r="BJ369" i="49"/>
  <c r="BG370" i="49"/>
  <c r="BH370" i="49"/>
  <c r="BI370" i="49"/>
  <c r="BJ370" i="49"/>
  <c r="BG371" i="49"/>
  <c r="BH371" i="49"/>
  <c r="BI371" i="49"/>
  <c r="BJ371" i="49"/>
  <c r="BG372" i="49"/>
  <c r="BH372" i="49"/>
  <c r="BI372" i="49"/>
  <c r="BJ372" i="49"/>
  <c r="BG373" i="49"/>
  <c r="BH373" i="49"/>
  <c r="BI373" i="49"/>
  <c r="BJ373" i="49"/>
  <c r="BG374" i="49"/>
  <c r="BH374" i="49"/>
  <c r="BI374" i="49"/>
  <c r="BJ374" i="49"/>
  <c r="BG375" i="49"/>
  <c r="BH375" i="49"/>
  <c r="BI375" i="49"/>
  <c r="BJ375" i="49"/>
  <c r="BG376" i="49"/>
  <c r="BH376" i="49"/>
  <c r="BI376" i="49"/>
  <c r="BJ376" i="49"/>
  <c r="BG377" i="49"/>
  <c r="BH377" i="49"/>
  <c r="BI377" i="49"/>
  <c r="BJ377" i="49"/>
  <c r="BG379" i="49"/>
  <c r="BH379" i="49"/>
  <c r="BI379" i="49"/>
  <c r="BJ379" i="49"/>
  <c r="BH381" i="49"/>
  <c r="AC385" i="49"/>
  <c r="AD385" i="49"/>
  <c r="AE385" i="49"/>
  <c r="AF385" i="49"/>
  <c r="AG385" i="49"/>
  <c r="AH385" i="49"/>
  <c r="AI385" i="49"/>
  <c r="AJ385" i="49"/>
  <c r="AK385" i="49"/>
  <c r="AL385" i="49"/>
  <c r="AM385" i="49"/>
  <c r="AN385" i="49"/>
  <c r="AO385" i="49"/>
  <c r="AP385" i="49"/>
  <c r="AQ385" i="49"/>
  <c r="AS385" i="49"/>
  <c r="AW385" i="49"/>
  <c r="AY385" i="49"/>
  <c r="AZ385" i="49"/>
  <c r="BA385" i="49"/>
  <c r="BB385" i="49"/>
  <c r="BC385" i="49"/>
  <c r="D400" i="49"/>
  <c r="E400" i="49"/>
  <c r="F400" i="49"/>
  <c r="F408" i="49" s="1"/>
  <c r="G400" i="49"/>
  <c r="G408" i="49" s="1"/>
  <c r="H400" i="49"/>
  <c r="I400" i="49"/>
  <c r="I408" i="49" s="1"/>
  <c r="I440" i="49" s="1"/>
  <c r="J400" i="49"/>
  <c r="K400" i="49"/>
  <c r="L400" i="49"/>
  <c r="M400" i="49"/>
  <c r="M408" i="49" s="1"/>
  <c r="N400" i="49"/>
  <c r="O400" i="49"/>
  <c r="O408" i="49" s="1"/>
  <c r="P400" i="49"/>
  <c r="Q400" i="49"/>
  <c r="R400" i="49"/>
  <c r="S400" i="49"/>
  <c r="T400" i="49"/>
  <c r="U400" i="49"/>
  <c r="U408" i="49" s="1"/>
  <c r="V400" i="49"/>
  <c r="V408" i="49" s="1"/>
  <c r="AC400" i="49"/>
  <c r="AC408" i="49" s="1"/>
  <c r="AD400" i="49"/>
  <c r="AE400" i="49"/>
  <c r="AF400" i="49"/>
  <c r="AG400" i="49"/>
  <c r="AH400" i="49"/>
  <c r="AI400" i="49"/>
  <c r="AJ400" i="49"/>
  <c r="AJ408" i="49" s="1"/>
  <c r="AK400" i="49"/>
  <c r="AL400" i="49"/>
  <c r="AM400" i="49"/>
  <c r="AN400" i="49"/>
  <c r="AO400" i="49"/>
  <c r="AP400" i="49"/>
  <c r="AQ400" i="49"/>
  <c r="AR400" i="49"/>
  <c r="AS400" i="49"/>
  <c r="AS408" i="49" s="1"/>
  <c r="AT400" i="49"/>
  <c r="AU400" i="49"/>
  <c r="AV400" i="49"/>
  <c r="AW400" i="49"/>
  <c r="AX400" i="49"/>
  <c r="AY400" i="49"/>
  <c r="AZ400" i="49"/>
  <c r="AZ408" i="49" s="1"/>
  <c r="BA400" i="49"/>
  <c r="BA408" i="49" s="1"/>
  <c r="BB400" i="49"/>
  <c r="BB408" i="49" s="1"/>
  <c r="BC400" i="49"/>
  <c r="D406" i="49"/>
  <c r="E406" i="49"/>
  <c r="F406" i="49"/>
  <c r="G406" i="49"/>
  <c r="H406" i="49"/>
  <c r="I406" i="49"/>
  <c r="J406" i="49"/>
  <c r="K406" i="49"/>
  <c r="K408" i="49" s="1"/>
  <c r="L406" i="49"/>
  <c r="M406" i="49"/>
  <c r="N406" i="49"/>
  <c r="O406" i="49"/>
  <c r="P406" i="49"/>
  <c r="Q406" i="49"/>
  <c r="R406" i="49"/>
  <c r="S406" i="49"/>
  <c r="T406" i="49"/>
  <c r="U406" i="49"/>
  <c r="V406" i="49"/>
  <c r="AC406" i="49"/>
  <c r="AD406" i="49"/>
  <c r="AE406" i="49"/>
  <c r="AF406" i="49"/>
  <c r="AG406" i="49"/>
  <c r="AG408" i="49" s="1"/>
  <c r="AG440" i="49" s="1"/>
  <c r="AH406" i="49"/>
  <c r="AI406" i="49"/>
  <c r="AJ406" i="49"/>
  <c r="AK406" i="49"/>
  <c r="AL406" i="49"/>
  <c r="AM406" i="49"/>
  <c r="AN406" i="49"/>
  <c r="AO406" i="49"/>
  <c r="AO408" i="49" s="1"/>
  <c r="AP406" i="49"/>
  <c r="AQ406" i="49"/>
  <c r="AR406" i="49"/>
  <c r="AS406" i="49"/>
  <c r="AT406" i="49"/>
  <c r="AT408" i="49" s="1"/>
  <c r="AT440" i="49" s="1"/>
  <c r="AU406" i="49"/>
  <c r="AV406" i="49"/>
  <c r="AV408" i="49" s="1"/>
  <c r="AW406" i="49"/>
  <c r="AX406" i="49"/>
  <c r="AY406" i="49"/>
  <c r="AZ406" i="49"/>
  <c r="BA406" i="49"/>
  <c r="BB406" i="49"/>
  <c r="BC406" i="49"/>
  <c r="D408" i="49"/>
  <c r="E408" i="49"/>
  <c r="J408" i="49"/>
  <c r="L408" i="49"/>
  <c r="N408" i="49"/>
  <c r="Q408" i="49"/>
  <c r="R408" i="49"/>
  <c r="R440" i="49" s="1"/>
  <c r="S408" i="49"/>
  <c r="T408" i="49"/>
  <c r="AF408" i="49"/>
  <c r="AH408" i="49"/>
  <c r="AH440" i="49" s="1"/>
  <c r="AI408" i="49"/>
  <c r="AI440" i="49" s="1"/>
  <c r="AK408" i="49"/>
  <c r="AN408" i="49"/>
  <c r="AP408" i="49"/>
  <c r="AQ408" i="49"/>
  <c r="AR408" i="49"/>
  <c r="AW408" i="49"/>
  <c r="AX408" i="49"/>
  <c r="AX440" i="49" s="1"/>
  <c r="AY408" i="49"/>
  <c r="D418" i="49"/>
  <c r="E418" i="49"/>
  <c r="E425" i="49" s="1"/>
  <c r="F418" i="49"/>
  <c r="G418" i="49"/>
  <c r="H418" i="49"/>
  <c r="I418" i="49"/>
  <c r="J418" i="49"/>
  <c r="K418" i="49"/>
  <c r="L418" i="49"/>
  <c r="M418" i="49"/>
  <c r="M425" i="49" s="1"/>
  <c r="M439" i="49" s="1"/>
  <c r="M440" i="49" s="1"/>
  <c r="N418" i="49"/>
  <c r="N425" i="49" s="1"/>
  <c r="N439" i="49" s="1"/>
  <c r="O418" i="49"/>
  <c r="O425" i="49" s="1"/>
  <c r="O439" i="49" s="1"/>
  <c r="O440" i="49" s="1"/>
  <c r="P418" i="49"/>
  <c r="P425" i="49" s="1"/>
  <c r="Q418" i="49"/>
  <c r="R418" i="49"/>
  <c r="S418" i="49"/>
  <c r="T418" i="49"/>
  <c r="U418" i="49"/>
  <c r="U425" i="49" s="1"/>
  <c r="U439" i="49" s="1"/>
  <c r="V418" i="49"/>
  <c r="V425" i="49" s="1"/>
  <c r="AC418" i="49"/>
  <c r="AD418" i="49"/>
  <c r="AD425" i="49" s="1"/>
  <c r="AD439" i="49" s="1"/>
  <c r="AE418" i="49"/>
  <c r="AF418" i="49"/>
  <c r="AG418" i="49"/>
  <c r="AH418" i="49"/>
  <c r="AI418" i="49"/>
  <c r="AI425" i="49" s="1"/>
  <c r="AI439" i="49" s="1"/>
  <c r="AJ418" i="49"/>
  <c r="AK418" i="49"/>
  <c r="AK425" i="49" s="1"/>
  <c r="AK439" i="49" s="1"/>
  <c r="AK440" i="49" s="1"/>
  <c r="AL418" i="49"/>
  <c r="AL425" i="49" s="1"/>
  <c r="AL439" i="49" s="1"/>
  <c r="AM418" i="49"/>
  <c r="AN418" i="49"/>
  <c r="AO418" i="49"/>
  <c r="AP418" i="49"/>
  <c r="AQ418" i="49"/>
  <c r="AR418" i="49"/>
  <c r="AS418" i="49"/>
  <c r="AT418" i="49"/>
  <c r="AT425" i="49" s="1"/>
  <c r="AT439" i="49" s="1"/>
  <c r="AU418" i="49"/>
  <c r="AV418" i="49"/>
  <c r="AW418" i="49"/>
  <c r="AX418" i="49"/>
  <c r="AY418" i="49"/>
  <c r="AY425" i="49" s="1"/>
  <c r="AY439" i="49" s="1"/>
  <c r="AZ418" i="49"/>
  <c r="AZ425" i="49" s="1"/>
  <c r="AZ439" i="49" s="1"/>
  <c r="BA418" i="49"/>
  <c r="BA425" i="49" s="1"/>
  <c r="BA439" i="49" s="1"/>
  <c r="BA440" i="49" s="1"/>
  <c r="BB418" i="49"/>
  <c r="BB425" i="49" s="1"/>
  <c r="BB439" i="49" s="1"/>
  <c r="BC418" i="49"/>
  <c r="D423" i="49"/>
  <c r="E423" i="49"/>
  <c r="F423" i="49"/>
  <c r="G423" i="49"/>
  <c r="H423" i="49"/>
  <c r="I423" i="49"/>
  <c r="I425" i="49" s="1"/>
  <c r="I439" i="49" s="1"/>
  <c r="J423" i="49"/>
  <c r="J425" i="49" s="1"/>
  <c r="J439" i="49" s="1"/>
  <c r="J440" i="49" s="1"/>
  <c r="K423" i="49"/>
  <c r="L423" i="49"/>
  <c r="M423" i="49"/>
  <c r="N423" i="49"/>
  <c r="O423" i="49"/>
  <c r="P423" i="49"/>
  <c r="Q423" i="49"/>
  <c r="R423" i="49"/>
  <c r="R425" i="49" s="1"/>
  <c r="R439" i="49" s="1"/>
  <c r="S423" i="49"/>
  <c r="T423" i="49"/>
  <c r="T425" i="49" s="1"/>
  <c r="T439" i="49" s="1"/>
  <c r="T440" i="49" s="1"/>
  <c r="U423" i="49"/>
  <c r="V423" i="49"/>
  <c r="AC423" i="49"/>
  <c r="AC425" i="49" s="1"/>
  <c r="AC439" i="49" s="1"/>
  <c r="AD423" i="49"/>
  <c r="AE423" i="49"/>
  <c r="AE425" i="49" s="1"/>
  <c r="AF423" i="49"/>
  <c r="AG423" i="49"/>
  <c r="AH423" i="49"/>
  <c r="AI423" i="49"/>
  <c r="AJ423" i="49"/>
  <c r="AK423" i="49"/>
  <c r="AL423" i="49"/>
  <c r="AM423" i="49"/>
  <c r="AN423" i="49"/>
  <c r="AO423" i="49"/>
  <c r="AP423" i="49"/>
  <c r="AQ423" i="49"/>
  <c r="AR423" i="49"/>
  <c r="AS423" i="49"/>
  <c r="AT423" i="49"/>
  <c r="AU423" i="49"/>
  <c r="AU425" i="49" s="1"/>
  <c r="AV423" i="49"/>
  <c r="AW423" i="49"/>
  <c r="AX423" i="49"/>
  <c r="AY423" i="49"/>
  <c r="AZ423" i="49"/>
  <c r="BA423" i="49"/>
  <c r="BB423" i="49"/>
  <c r="BC423" i="49"/>
  <c r="D425" i="49"/>
  <c r="D439" i="49" s="1"/>
  <c r="D440" i="49" s="1"/>
  <c r="F425" i="49"/>
  <c r="K425" i="49"/>
  <c r="L425" i="49"/>
  <c r="L439" i="49" s="1"/>
  <c r="S425" i="49"/>
  <c r="AF425" i="49"/>
  <c r="AF439" i="49" s="1"/>
  <c r="AG425" i="49"/>
  <c r="AH425" i="49"/>
  <c r="AH439" i="49" s="1"/>
  <c r="AJ425" i="49"/>
  <c r="AO425" i="49"/>
  <c r="AP425" i="49"/>
  <c r="AP439" i="49" s="1"/>
  <c r="AP440" i="49" s="1"/>
  <c r="AQ425" i="49"/>
  <c r="AR425" i="49"/>
  <c r="AW425" i="49"/>
  <c r="AW439" i="49" s="1"/>
  <c r="AX425" i="49"/>
  <c r="BC425" i="49"/>
  <c r="BC439" i="49" s="1"/>
  <c r="D435" i="49"/>
  <c r="E435" i="49"/>
  <c r="F435" i="49"/>
  <c r="F437" i="49" s="1"/>
  <c r="F439" i="49" s="1"/>
  <c r="G435" i="49"/>
  <c r="G437" i="49" s="1"/>
  <c r="H435" i="49"/>
  <c r="I435" i="49"/>
  <c r="J435" i="49"/>
  <c r="K435" i="49"/>
  <c r="K437" i="49" s="1"/>
  <c r="L435" i="49"/>
  <c r="M435" i="49"/>
  <c r="N435" i="49"/>
  <c r="N437" i="49" s="1"/>
  <c r="O435" i="49"/>
  <c r="P435" i="49"/>
  <c r="Q435" i="49"/>
  <c r="Q437" i="49" s="1"/>
  <c r="R435" i="49"/>
  <c r="S435" i="49"/>
  <c r="S437" i="49" s="1"/>
  <c r="T435" i="49"/>
  <c r="U435" i="49"/>
  <c r="V435" i="49"/>
  <c r="V437" i="49" s="1"/>
  <c r="V439" i="49" s="1"/>
  <c r="AC435" i="49"/>
  <c r="AC437" i="49" s="1"/>
  <c r="AD435" i="49"/>
  <c r="AD437" i="49" s="1"/>
  <c r="AE435" i="49"/>
  <c r="AE437" i="49" s="1"/>
  <c r="AF435" i="49"/>
  <c r="AG435" i="49"/>
  <c r="AH435" i="49"/>
  <c r="AI435" i="49"/>
  <c r="AJ435" i="49"/>
  <c r="AK435" i="49"/>
  <c r="AL435" i="49"/>
  <c r="AL437" i="49" s="1"/>
  <c r="AM435" i="49"/>
  <c r="AM437" i="49" s="1"/>
  <c r="AN435" i="49"/>
  <c r="AN437" i="49" s="1"/>
  <c r="AO435" i="49"/>
  <c r="AO437" i="49" s="1"/>
  <c r="AP435" i="49"/>
  <c r="AQ435" i="49"/>
  <c r="AR435" i="49"/>
  <c r="AR437" i="49" s="1"/>
  <c r="AS435" i="49"/>
  <c r="AS437" i="49" s="1"/>
  <c r="AT435" i="49"/>
  <c r="AT437" i="49" s="1"/>
  <c r="AU435" i="49"/>
  <c r="AU437" i="49" s="1"/>
  <c r="AV435" i="49"/>
  <c r="AW435" i="49"/>
  <c r="AW437" i="49" s="1"/>
  <c r="AX435" i="49"/>
  <c r="AY435" i="49"/>
  <c r="AZ435" i="49"/>
  <c r="AZ437" i="49" s="1"/>
  <c r="BA435" i="49"/>
  <c r="BB435" i="49"/>
  <c r="BB437" i="49" s="1"/>
  <c r="BC435" i="49"/>
  <c r="BC437" i="49" s="1"/>
  <c r="D437" i="49"/>
  <c r="E437" i="49"/>
  <c r="H437" i="49"/>
  <c r="I437" i="49"/>
  <c r="J437" i="49"/>
  <c r="L437" i="49"/>
  <c r="M437" i="49"/>
  <c r="O437" i="49"/>
  <c r="P437" i="49"/>
  <c r="P439" i="49" s="1"/>
  <c r="R437" i="49"/>
  <c r="T437" i="49"/>
  <c r="U437" i="49"/>
  <c r="AF437" i="49"/>
  <c r="AG437" i="49"/>
  <c r="AH437" i="49"/>
  <c r="AI437" i="49"/>
  <c r="AJ437" i="49"/>
  <c r="AJ439" i="49" s="1"/>
  <c r="AJ440" i="49" s="1"/>
  <c r="AK437" i="49"/>
  <c r="AP437" i="49"/>
  <c r="AQ437" i="49"/>
  <c r="AV437" i="49"/>
  <c r="AX437" i="49"/>
  <c r="AY437" i="49"/>
  <c r="BA437" i="49"/>
  <c r="E439" i="49"/>
  <c r="AG439" i="49"/>
  <c r="AU439" i="49"/>
  <c r="AX439" i="49"/>
  <c r="L440" i="49"/>
  <c r="AY440" i="49"/>
  <c r="BG449" i="49"/>
  <c r="BH449" i="49"/>
  <c r="BI449" i="49"/>
  <c r="BJ449" i="49"/>
  <c r="BG450" i="49"/>
  <c r="BH450" i="49"/>
  <c r="BI450" i="49"/>
  <c r="BJ450" i="49"/>
  <c r="BG451" i="49"/>
  <c r="BH451" i="49"/>
  <c r="BI451" i="49"/>
  <c r="BJ451" i="49"/>
  <c r="BG452" i="49"/>
  <c r="BH452" i="49"/>
  <c r="BI452" i="49"/>
  <c r="BJ452" i="49"/>
  <c r="BG453" i="49"/>
  <c r="BH453" i="49"/>
  <c r="BI453" i="49"/>
  <c r="BJ453" i="49"/>
  <c r="D542" i="49"/>
  <c r="E542" i="49"/>
  <c r="F542" i="49"/>
  <c r="G542" i="49"/>
  <c r="H542" i="49"/>
  <c r="I477" i="49"/>
  <c r="I459" i="49" s="1"/>
  <c r="I542" i="49"/>
  <c r="I456" i="49"/>
  <c r="J477" i="49"/>
  <c r="J542" i="49"/>
  <c r="J456" i="49"/>
  <c r="K542" i="49"/>
  <c r="L477" i="49"/>
  <c r="L542" i="49"/>
  <c r="M542" i="49"/>
  <c r="N542" i="49"/>
  <c r="O542" i="49"/>
  <c r="P542" i="49"/>
  <c r="Q542" i="49"/>
  <c r="Q457" i="49" s="1"/>
  <c r="AC477" i="49"/>
  <c r="AC541" i="49"/>
  <c r="AD540" i="49" s="1"/>
  <c r="AD477" i="49"/>
  <c r="AD541" i="49"/>
  <c r="AD542" i="49" s="1"/>
  <c r="AD459" i="49" s="1"/>
  <c r="AE477" i="49"/>
  <c r="AG477" i="49"/>
  <c r="AH477" i="49"/>
  <c r="AJ477" i="49"/>
  <c r="AK477" i="49"/>
  <c r="AL477" i="49"/>
  <c r="AM477" i="49"/>
  <c r="AO477" i="49"/>
  <c r="AP477" i="49"/>
  <c r="AP460" i="49" s="1"/>
  <c r="AQ477" i="49"/>
  <c r="AR477" i="49"/>
  <c r="AS477" i="49"/>
  <c r="AT477" i="49"/>
  <c r="AT460" i="49" s="1"/>
  <c r="AU477" i="49"/>
  <c r="AZ477" i="49"/>
  <c r="E476" i="49"/>
  <c r="E458" i="49" s="1"/>
  <c r="F476" i="49"/>
  <c r="F458" i="49" s="1"/>
  <c r="G476" i="49"/>
  <c r="G457" i="49"/>
  <c r="I476" i="49"/>
  <c r="I457" i="49"/>
  <c r="I462" i="49" s="1"/>
  <c r="I463" i="49" s="1"/>
  <c r="J476" i="49"/>
  <c r="J457" i="49"/>
  <c r="J462" i="49" s="1"/>
  <c r="J463" i="49" s="1"/>
  <c r="L476" i="49"/>
  <c r="L457" i="49" s="1"/>
  <c r="M476" i="49"/>
  <c r="M458" i="49" s="1"/>
  <c r="M457" i="49"/>
  <c r="Q476" i="49"/>
  <c r="T476" i="49"/>
  <c r="AC476" i="49"/>
  <c r="AC458" i="49" s="1"/>
  <c r="AD476" i="49"/>
  <c r="AD458" i="49" s="1"/>
  <c r="AE476" i="49"/>
  <c r="AF476" i="49"/>
  <c r="AG476" i="49"/>
  <c r="AH476" i="49"/>
  <c r="AH458" i="49" s="1"/>
  <c r="AI476" i="49"/>
  <c r="AI458" i="49" s="1"/>
  <c r="AJ476" i="49"/>
  <c r="AK476" i="49"/>
  <c r="AL476" i="49"/>
  <c r="AM476" i="49"/>
  <c r="AN476" i="49"/>
  <c r="AO476" i="49"/>
  <c r="AP476" i="49"/>
  <c r="AP458" i="49" s="1"/>
  <c r="AQ476" i="49"/>
  <c r="AR476" i="49"/>
  <c r="AS476" i="49"/>
  <c r="AT476" i="49"/>
  <c r="AU476" i="49"/>
  <c r="AU472" i="49" s="1"/>
  <c r="AV476" i="49"/>
  <c r="AY476" i="49"/>
  <c r="AY458" i="49" s="1"/>
  <c r="AZ476" i="49"/>
  <c r="G458" i="49"/>
  <c r="I458" i="49"/>
  <c r="J458" i="49"/>
  <c r="L458" i="49"/>
  <c r="Q458" i="49"/>
  <c r="T458" i="49"/>
  <c r="AE458" i="49"/>
  <c r="AF458" i="49"/>
  <c r="AK458" i="49"/>
  <c r="AM458" i="49"/>
  <c r="AN458" i="49"/>
  <c r="AO458" i="49"/>
  <c r="AS458" i="49"/>
  <c r="AT458" i="49"/>
  <c r="AU458" i="49"/>
  <c r="J459" i="49"/>
  <c r="I460" i="49"/>
  <c r="J460" i="49"/>
  <c r="AC460" i="49"/>
  <c r="AD460" i="49"/>
  <c r="AE460" i="49"/>
  <c r="AG460" i="49"/>
  <c r="AH460" i="49"/>
  <c r="AK460" i="49"/>
  <c r="AL460" i="49"/>
  <c r="AM460" i="49"/>
  <c r="AO460" i="49"/>
  <c r="AQ460" i="49"/>
  <c r="AR460" i="49"/>
  <c r="AZ460" i="49"/>
  <c r="BI466" i="49"/>
  <c r="BJ466" i="49"/>
  <c r="BH468" i="49"/>
  <c r="BJ468" i="49"/>
  <c r="BH470" i="49"/>
  <c r="BJ470" i="49"/>
  <c r="M472" i="49"/>
  <c r="AQ472" i="49"/>
  <c r="F473" i="49"/>
  <c r="G473" i="49"/>
  <c r="H473" i="49"/>
  <c r="I473" i="49"/>
  <c r="J473" i="49"/>
  <c r="K473" i="49"/>
  <c r="L473" i="49"/>
  <c r="M473" i="49"/>
  <c r="N473" i="49"/>
  <c r="O473" i="49"/>
  <c r="P473" i="49"/>
  <c r="Q473" i="49"/>
  <c r="R473" i="49"/>
  <c r="S473" i="49"/>
  <c r="T473" i="49"/>
  <c r="U473" i="49"/>
  <c r="V473" i="49"/>
  <c r="AC473" i="49"/>
  <c r="AD473" i="49"/>
  <c r="AE473" i="49"/>
  <c r="AF473" i="49"/>
  <c r="AG473" i="49"/>
  <c r="AH473" i="49"/>
  <c r="AI473" i="49"/>
  <c r="AJ473" i="49"/>
  <c r="AK473" i="49"/>
  <c r="AL473" i="49"/>
  <c r="AM473" i="49"/>
  <c r="AN473" i="49"/>
  <c r="AO473" i="49"/>
  <c r="AP473" i="49"/>
  <c r="AQ473" i="49"/>
  <c r="AR473" i="49"/>
  <c r="AS473" i="49"/>
  <c r="AT473" i="49"/>
  <c r="AU473" i="49"/>
  <c r="AV473" i="49"/>
  <c r="AW473" i="49"/>
  <c r="AX473" i="49"/>
  <c r="AY473" i="49"/>
  <c r="AZ473" i="49"/>
  <c r="BA473" i="49"/>
  <c r="BB473" i="49"/>
  <c r="BC473" i="49"/>
  <c r="BG480" i="49"/>
  <c r="BH480" i="49"/>
  <c r="BI480" i="49"/>
  <c r="BJ480" i="49"/>
  <c r="E481" i="49"/>
  <c r="F481" i="49"/>
  <c r="G481" i="49"/>
  <c r="I481" i="49"/>
  <c r="J481" i="49"/>
  <c r="L481" i="49"/>
  <c r="M481" i="49"/>
  <c r="Q481" i="49"/>
  <c r="T481" i="49"/>
  <c r="AC481" i="49"/>
  <c r="AD481" i="49"/>
  <c r="AE481" i="49"/>
  <c r="AF481" i="49"/>
  <c r="AG481" i="49"/>
  <c r="AH481" i="49"/>
  <c r="AI481" i="49"/>
  <c r="AJ481" i="49"/>
  <c r="AK481" i="49"/>
  <c r="AL481" i="49"/>
  <c r="AM481" i="49"/>
  <c r="AN481" i="49"/>
  <c r="AO481" i="49"/>
  <c r="AP481" i="49"/>
  <c r="AQ481" i="49"/>
  <c r="AR481" i="49"/>
  <c r="AS481" i="49"/>
  <c r="AT481" i="49"/>
  <c r="AU481" i="49"/>
  <c r="AV481" i="49"/>
  <c r="AY481" i="49"/>
  <c r="AZ481" i="49"/>
  <c r="BG484" i="49"/>
  <c r="BH484" i="49"/>
  <c r="BI484" i="49"/>
  <c r="BJ484" i="49"/>
  <c r="E485" i="49"/>
  <c r="F485" i="49"/>
  <c r="G485" i="49"/>
  <c r="I485" i="49"/>
  <c r="J485" i="49"/>
  <c r="L485" i="49"/>
  <c r="M485" i="49"/>
  <c r="Q485" i="49"/>
  <c r="T485" i="49"/>
  <c r="AC485" i="49"/>
  <c r="AD485" i="49"/>
  <c r="E8" i="95" s="1"/>
  <c r="AE485" i="49"/>
  <c r="F8" i="95" s="1"/>
  <c r="AF485" i="49"/>
  <c r="G8" i="95" s="1"/>
  <c r="AG485" i="49"/>
  <c r="H8" i="95" s="1"/>
  <c r="AH485" i="49"/>
  <c r="I8" i="95" s="1"/>
  <c r="AI485" i="49"/>
  <c r="J8" i="95" s="1"/>
  <c r="AJ485" i="49"/>
  <c r="K8" i="95" s="1"/>
  <c r="AK485" i="49"/>
  <c r="L8" i="95" s="1"/>
  <c r="AL485" i="49"/>
  <c r="M8" i="95" s="1"/>
  <c r="AM485" i="49"/>
  <c r="N8" i="95" s="1"/>
  <c r="AN485" i="49"/>
  <c r="O8" i="95" s="1"/>
  <c r="AO485" i="49"/>
  <c r="P8" i="95" s="1"/>
  <c r="AP485" i="49"/>
  <c r="Q8" i="95" s="1"/>
  <c r="AQ485" i="49"/>
  <c r="R8" i="95" s="1"/>
  <c r="AR485" i="49"/>
  <c r="S8" i="95" s="1"/>
  <c r="AS485" i="49"/>
  <c r="T8" i="95" s="1"/>
  <c r="AT485" i="49"/>
  <c r="U8" i="95" s="1"/>
  <c r="AU485" i="49"/>
  <c r="V8" i="95" s="1"/>
  <c r="AV485" i="49"/>
  <c r="W8" i="95" s="1"/>
  <c r="AY485" i="49"/>
  <c r="Z8" i="95" s="1"/>
  <c r="AZ485" i="49"/>
  <c r="AA8" i="95" s="1"/>
  <c r="AC486" i="49"/>
  <c r="AD486" i="49" s="1"/>
  <c r="AE486" i="49" s="1"/>
  <c r="AF486" i="49" s="1"/>
  <c r="AG486" i="49" s="1"/>
  <c r="AH486" i="49" s="1"/>
  <c r="AI486" i="49" s="1"/>
  <c r="AJ486" i="49" s="1"/>
  <c r="AK486" i="49" s="1"/>
  <c r="AL486" i="49" s="1"/>
  <c r="AM486" i="49" s="1"/>
  <c r="AN486" i="49" s="1"/>
  <c r="AO486" i="49" s="1"/>
  <c r="AP486" i="49" s="1"/>
  <c r="AQ486" i="49" s="1"/>
  <c r="AR486" i="49" s="1"/>
  <c r="AS486" i="49" s="1"/>
  <c r="AT486" i="49" s="1"/>
  <c r="AU486" i="49" s="1"/>
  <c r="AV486" i="49" s="1"/>
  <c r="AW486" i="49" s="1"/>
  <c r="AX486" i="49" s="1"/>
  <c r="AY486" i="49" s="1"/>
  <c r="D487" i="49"/>
  <c r="E487" i="49"/>
  <c r="F487" i="49"/>
  <c r="G487" i="49"/>
  <c r="H487" i="49"/>
  <c r="I487" i="49"/>
  <c r="J487" i="49"/>
  <c r="K487" i="49"/>
  <c r="L487" i="49"/>
  <c r="M487" i="49"/>
  <c r="N487" i="49"/>
  <c r="O487" i="49"/>
  <c r="P487" i="49"/>
  <c r="Q487" i="49"/>
  <c r="R487" i="49"/>
  <c r="S487" i="49"/>
  <c r="T487" i="49"/>
  <c r="U487" i="49"/>
  <c r="AX491" i="49"/>
  <c r="AY491" i="49"/>
  <c r="AZ491" i="49"/>
  <c r="BA491" i="49"/>
  <c r="BB491" i="49"/>
  <c r="BC491" i="49"/>
  <c r="BH495" i="49"/>
  <c r="BI495" i="49"/>
  <c r="E496" i="49"/>
  <c r="F496" i="49"/>
  <c r="I496" i="49"/>
  <c r="J496" i="49"/>
  <c r="L496" i="49"/>
  <c r="M496" i="49"/>
  <c r="Q496" i="49"/>
  <c r="T496" i="49"/>
  <c r="AC496" i="49"/>
  <c r="AD496" i="49"/>
  <c r="AE496" i="49"/>
  <c r="AF496" i="49"/>
  <c r="AG496" i="49"/>
  <c r="AH496" i="49"/>
  <c r="AI496" i="49"/>
  <c r="AJ496" i="49"/>
  <c r="AK496" i="49"/>
  <c r="AL496" i="49"/>
  <c r="AM496" i="49"/>
  <c r="AN496" i="49"/>
  <c r="AO496" i="49"/>
  <c r="AP496" i="49"/>
  <c r="AQ496" i="49"/>
  <c r="AR496" i="49"/>
  <c r="AS496" i="49"/>
  <c r="AT496" i="49"/>
  <c r="AU496" i="49"/>
  <c r="AV496" i="49"/>
  <c r="AY496" i="49"/>
  <c r="AZ496" i="49"/>
  <c r="AE503" i="49"/>
  <c r="AJ503" i="49"/>
  <c r="AL503" i="49"/>
  <c r="AQ503" i="49"/>
  <c r="AS503" i="49"/>
  <c r="AZ503" i="49"/>
  <c r="AJ505" i="49"/>
  <c r="AL505" i="49"/>
  <c r="AG506" i="49"/>
  <c r="AO506" i="49"/>
  <c r="D510" i="49"/>
  <c r="E510" i="49"/>
  <c r="F510" i="49"/>
  <c r="G510" i="49"/>
  <c r="H510" i="49"/>
  <c r="I510" i="49"/>
  <c r="J510" i="49"/>
  <c r="K510" i="49"/>
  <c r="L510" i="49"/>
  <c r="M510" i="49"/>
  <c r="N510" i="49"/>
  <c r="O510" i="49"/>
  <c r="P510" i="49"/>
  <c r="Q510" i="49"/>
  <c r="R510" i="49"/>
  <c r="S510" i="49"/>
  <c r="S513" i="49" s="1"/>
  <c r="T510" i="49"/>
  <c r="T513" i="49" s="1"/>
  <c r="U510" i="49"/>
  <c r="V510" i="49"/>
  <c r="V513" i="49" s="1"/>
  <c r="V514" i="49" s="1"/>
  <c r="AC510" i="49"/>
  <c r="AD510" i="49"/>
  <c r="AE510" i="49"/>
  <c r="AE513" i="49" s="1"/>
  <c r="AF510" i="49"/>
  <c r="AG510" i="49"/>
  <c r="AG513" i="49" s="1"/>
  <c r="AH510" i="49"/>
  <c r="AH513" i="49" s="1"/>
  <c r="AI510" i="49"/>
  <c r="AJ510" i="49"/>
  <c r="AK510" i="49"/>
  <c r="AL510" i="49"/>
  <c r="AM510" i="49"/>
  <c r="AN510" i="49"/>
  <c r="AO510" i="49"/>
  <c r="AO513" i="49" s="1"/>
  <c r="AP510" i="49"/>
  <c r="AP513" i="49" s="1"/>
  <c r="AQ510" i="49"/>
  <c r="AR510" i="49"/>
  <c r="AS510" i="49"/>
  <c r="AT510" i="49"/>
  <c r="AU510" i="49"/>
  <c r="AV510" i="49"/>
  <c r="AW510" i="49"/>
  <c r="AW513" i="49" s="1"/>
  <c r="AX510" i="49"/>
  <c r="AX513" i="49" s="1"/>
  <c r="AY510" i="49"/>
  <c r="AZ510" i="49"/>
  <c r="AZ513" i="49" s="1"/>
  <c r="BA510" i="49"/>
  <c r="BB510" i="49"/>
  <c r="BC510" i="49"/>
  <c r="D511" i="49"/>
  <c r="E511" i="49"/>
  <c r="F511" i="49"/>
  <c r="G511" i="49"/>
  <c r="H511" i="49"/>
  <c r="I511" i="49"/>
  <c r="J511" i="49"/>
  <c r="K511" i="49"/>
  <c r="L511" i="49"/>
  <c r="M511" i="49"/>
  <c r="N511" i="49"/>
  <c r="O511" i="49"/>
  <c r="P511" i="49"/>
  <c r="Q511" i="49"/>
  <c r="Q513" i="49" s="1"/>
  <c r="R511" i="49"/>
  <c r="S511" i="49"/>
  <c r="T511" i="49"/>
  <c r="U511" i="49"/>
  <c r="V511" i="49"/>
  <c r="AC511" i="49"/>
  <c r="AD511" i="49"/>
  <c r="AE511" i="49"/>
  <c r="AF511" i="49"/>
  <c r="AG511" i="49"/>
  <c r="AH511" i="49"/>
  <c r="AI511" i="49"/>
  <c r="AJ511" i="49"/>
  <c r="AK511" i="49"/>
  <c r="AK513" i="49" s="1"/>
  <c r="AL511" i="49"/>
  <c r="AM511" i="49"/>
  <c r="AN511" i="49"/>
  <c r="AO511" i="49"/>
  <c r="AP511" i="49"/>
  <c r="AQ511" i="49"/>
  <c r="AQ513" i="49" s="1"/>
  <c r="AQ514" i="49" s="1"/>
  <c r="AR511" i="49"/>
  <c r="AS511" i="49"/>
  <c r="AT511" i="49"/>
  <c r="AU511" i="49"/>
  <c r="AV511" i="49"/>
  <c r="AW511" i="49"/>
  <c r="AX511" i="49"/>
  <c r="AY511" i="49"/>
  <c r="AY513" i="49" s="1"/>
  <c r="AZ511" i="49"/>
  <c r="BA511" i="49"/>
  <c r="BB511" i="49"/>
  <c r="BC511" i="49"/>
  <c r="D512" i="49"/>
  <c r="E512" i="49"/>
  <c r="F512" i="49"/>
  <c r="G512" i="49"/>
  <c r="H512" i="49"/>
  <c r="I512" i="49"/>
  <c r="J512" i="49"/>
  <c r="K512" i="49"/>
  <c r="L512" i="49"/>
  <c r="M512" i="49"/>
  <c r="N512" i="49"/>
  <c r="O512" i="49"/>
  <c r="P512" i="49"/>
  <c r="Q512" i="49"/>
  <c r="R512" i="49"/>
  <c r="S512" i="49"/>
  <c r="T512" i="49"/>
  <c r="U512" i="49"/>
  <c r="V512" i="49"/>
  <c r="AC512" i="49"/>
  <c r="AD512" i="49"/>
  <c r="AE512" i="49"/>
  <c r="AF512" i="49"/>
  <c r="AG512" i="49"/>
  <c r="AH512" i="49"/>
  <c r="AI512" i="49"/>
  <c r="AJ512" i="49"/>
  <c r="AK512" i="49"/>
  <c r="AL512" i="49"/>
  <c r="AM512" i="49"/>
  <c r="AN512" i="49"/>
  <c r="AO512" i="49"/>
  <c r="AP512" i="49"/>
  <c r="AQ512" i="49"/>
  <c r="AR512" i="49"/>
  <c r="AS512" i="49"/>
  <c r="AT512" i="49"/>
  <c r="AU512" i="49"/>
  <c r="AV512" i="49"/>
  <c r="AW512" i="49"/>
  <c r="AX512" i="49"/>
  <c r="AY512" i="49"/>
  <c r="AZ512" i="49"/>
  <c r="BA512" i="49"/>
  <c r="BB512" i="49"/>
  <c r="BC512" i="49"/>
  <c r="D513" i="49"/>
  <c r="F513" i="49"/>
  <c r="G513" i="49"/>
  <c r="G521" i="49" s="1"/>
  <c r="G523" i="49" s="1"/>
  <c r="H513" i="49"/>
  <c r="I513" i="49"/>
  <c r="J513" i="49"/>
  <c r="K513" i="49"/>
  <c r="K514" i="49" s="1"/>
  <c r="L513" i="49"/>
  <c r="L514" i="49" s="1"/>
  <c r="N513" i="49"/>
  <c r="O513" i="49"/>
  <c r="P513" i="49"/>
  <c r="P514" i="49" s="1"/>
  <c r="R513" i="49"/>
  <c r="AC513" i="49"/>
  <c r="AD514" i="49" s="1"/>
  <c r="AD513" i="49"/>
  <c r="AI513" i="49"/>
  <c r="AJ513" i="49"/>
  <c r="AL513" i="49"/>
  <c r="AL521" i="49" s="1"/>
  <c r="AM513" i="49"/>
  <c r="AR513" i="49"/>
  <c r="AS513" i="49"/>
  <c r="AS514" i="49" s="1"/>
  <c r="AT513" i="49"/>
  <c r="AT521" i="49" s="1"/>
  <c r="AU513" i="49"/>
  <c r="AU514" i="49" s="1"/>
  <c r="BA513" i="49"/>
  <c r="BA521" i="49" s="1"/>
  <c r="BB513" i="49"/>
  <c r="BB514" i="49" s="1"/>
  <c r="BC513" i="49"/>
  <c r="J514" i="49"/>
  <c r="N514" i="49"/>
  <c r="O514" i="49"/>
  <c r="AM514" i="49"/>
  <c r="AT514" i="49"/>
  <c r="BC514" i="49"/>
  <c r="D516" i="49"/>
  <c r="E516" i="49"/>
  <c r="F516" i="49"/>
  <c r="G516" i="49"/>
  <c r="H516" i="49"/>
  <c r="I516" i="49"/>
  <c r="I518" i="49" s="1"/>
  <c r="J516" i="49"/>
  <c r="J518" i="49" s="1"/>
  <c r="K516" i="49"/>
  <c r="K518" i="49" s="1"/>
  <c r="L516" i="49"/>
  <c r="M516" i="49"/>
  <c r="N516" i="49"/>
  <c r="O516" i="49"/>
  <c r="P516" i="49"/>
  <c r="Q516" i="49"/>
  <c r="R516" i="49"/>
  <c r="R518" i="49" s="1"/>
  <c r="S516" i="49"/>
  <c r="S518" i="49" s="1"/>
  <c r="S519" i="49" s="1"/>
  <c r="T516" i="49"/>
  <c r="T518" i="49" s="1"/>
  <c r="T519" i="49" s="1"/>
  <c r="U516" i="49"/>
  <c r="V516" i="49"/>
  <c r="AC516" i="49"/>
  <c r="AD516" i="49"/>
  <c r="AD518" i="49" s="1"/>
  <c r="AD519" i="49" s="1"/>
  <c r="AE516" i="49"/>
  <c r="AE518" i="49" s="1"/>
  <c r="AE519" i="49" s="1"/>
  <c r="AF516" i="49"/>
  <c r="AF518" i="49" s="1"/>
  <c r="AF519" i="49" s="1"/>
  <c r="AG516" i="49"/>
  <c r="AH516" i="49"/>
  <c r="AI516" i="49"/>
  <c r="AJ516" i="49"/>
  <c r="AK516" i="49"/>
  <c r="AL516" i="49"/>
  <c r="AM516" i="49"/>
  <c r="AM518" i="49" s="1"/>
  <c r="AM519" i="49" s="1"/>
  <c r="AN516" i="49"/>
  <c r="AN518" i="49" s="1"/>
  <c r="AN519" i="49" s="1"/>
  <c r="AO516" i="49"/>
  <c r="AP516" i="49"/>
  <c r="AP518" i="49" s="1"/>
  <c r="AQ516" i="49"/>
  <c r="AR516" i="49"/>
  <c r="AS516" i="49"/>
  <c r="AT516" i="49"/>
  <c r="AU516" i="49"/>
  <c r="AU518" i="49" s="1"/>
  <c r="AU519" i="49" s="1"/>
  <c r="AV516" i="49"/>
  <c r="AV518" i="49" s="1"/>
  <c r="AV519" i="49" s="1"/>
  <c r="AW516" i="49"/>
  <c r="AX516" i="49"/>
  <c r="AX518" i="49" s="1"/>
  <c r="AY516" i="49"/>
  <c r="AZ516" i="49"/>
  <c r="BA516" i="49"/>
  <c r="BB516" i="49"/>
  <c r="BC516" i="49"/>
  <c r="BC518" i="49" s="1"/>
  <c r="D517" i="49"/>
  <c r="E517" i="49"/>
  <c r="F517" i="49"/>
  <c r="G517" i="49"/>
  <c r="H517" i="49"/>
  <c r="I517" i="49"/>
  <c r="J517" i="49"/>
  <c r="K517" i="49"/>
  <c r="L517" i="49"/>
  <c r="M517" i="49"/>
  <c r="N517" i="49"/>
  <c r="O517" i="49"/>
  <c r="P517" i="49"/>
  <c r="Q517" i="49"/>
  <c r="R517" i="49"/>
  <c r="S517" i="49"/>
  <c r="T517" i="49"/>
  <c r="U517" i="49"/>
  <c r="U518" i="49" s="1"/>
  <c r="U519" i="49" s="1"/>
  <c r="V517" i="49"/>
  <c r="AC517" i="49"/>
  <c r="AD517" i="49"/>
  <c r="AE517" i="49"/>
  <c r="AF517" i="49"/>
  <c r="AG517" i="49"/>
  <c r="AH517" i="49"/>
  <c r="AI517" i="49"/>
  <c r="AI518" i="49" s="1"/>
  <c r="AJ517" i="49"/>
  <c r="AK517" i="49"/>
  <c r="AL517" i="49"/>
  <c r="AM517" i="49"/>
  <c r="AN517" i="49"/>
  <c r="AO517" i="49"/>
  <c r="AP517" i="49"/>
  <c r="AQ517" i="49"/>
  <c r="AR517" i="49"/>
  <c r="AS517" i="49"/>
  <c r="AT517" i="49"/>
  <c r="AU517" i="49"/>
  <c r="AV517" i="49"/>
  <c r="AW517" i="49"/>
  <c r="AX517" i="49"/>
  <c r="AY517" i="49"/>
  <c r="AY518" i="49" s="1"/>
  <c r="AZ517" i="49"/>
  <c r="BA517" i="49"/>
  <c r="BB517" i="49"/>
  <c r="BC517" i="49"/>
  <c r="D518" i="49"/>
  <c r="E518" i="49"/>
  <c r="G518" i="49"/>
  <c r="H518" i="49"/>
  <c r="L518" i="49"/>
  <c r="L521" i="49" s="1"/>
  <c r="M518" i="49"/>
  <c r="O518" i="49"/>
  <c r="P518" i="49"/>
  <c r="Q518" i="49"/>
  <c r="Q519" i="49" s="1"/>
  <c r="AC518" i="49"/>
  <c r="AH518" i="49"/>
  <c r="AJ518" i="49"/>
  <c r="AK518" i="49"/>
  <c r="AL518" i="49"/>
  <c r="AQ518" i="49"/>
  <c r="AR518" i="49"/>
  <c r="AS518" i="49"/>
  <c r="AS519" i="49" s="1"/>
  <c r="AT518" i="49"/>
  <c r="AT519" i="49" s="1"/>
  <c r="AZ518" i="49"/>
  <c r="AZ519" i="49" s="1"/>
  <c r="BA518" i="49"/>
  <c r="BB518" i="49"/>
  <c r="H519" i="49"/>
  <c r="AL519" i="49"/>
  <c r="AR519" i="49"/>
  <c r="BB519" i="49"/>
  <c r="D521" i="49"/>
  <c r="O521" i="49"/>
  <c r="AQ521" i="49"/>
  <c r="BB521" i="49"/>
  <c r="BB522" i="49"/>
  <c r="D526" i="49"/>
  <c r="E526" i="49"/>
  <c r="F526" i="49"/>
  <c r="F528" i="49" s="1"/>
  <c r="G526" i="49"/>
  <c r="H526" i="49"/>
  <c r="H528" i="49" s="1"/>
  <c r="I526" i="49"/>
  <c r="I528" i="49" s="1"/>
  <c r="J526" i="49"/>
  <c r="K526" i="49"/>
  <c r="L526" i="49"/>
  <c r="M526" i="49"/>
  <c r="N526" i="49"/>
  <c r="O526" i="49"/>
  <c r="P526" i="49"/>
  <c r="P528" i="49" s="1"/>
  <c r="Q526" i="49"/>
  <c r="R526" i="49"/>
  <c r="S526" i="49"/>
  <c r="T526" i="49"/>
  <c r="U526" i="49"/>
  <c r="U528" i="49" s="1"/>
  <c r="U529" i="49" s="1"/>
  <c r="V526" i="49"/>
  <c r="V528" i="49" s="1"/>
  <c r="AC526" i="49"/>
  <c r="AD526" i="49"/>
  <c r="AE526" i="49"/>
  <c r="AF526" i="49"/>
  <c r="AF528" i="49" s="1"/>
  <c r="AF529" i="49" s="1"/>
  <c r="AG526" i="49"/>
  <c r="AH526" i="49"/>
  <c r="AH528" i="49" s="1"/>
  <c r="AI526" i="49"/>
  <c r="AJ526" i="49"/>
  <c r="AK526" i="49"/>
  <c r="AL526" i="49"/>
  <c r="AM526" i="49"/>
  <c r="AN526" i="49"/>
  <c r="AN528" i="49" s="1"/>
  <c r="AO526" i="49"/>
  <c r="AP526" i="49"/>
  <c r="AP528" i="49" s="1"/>
  <c r="AQ526" i="49"/>
  <c r="AQ528" i="49" s="1"/>
  <c r="AR526" i="49"/>
  <c r="AS526" i="49"/>
  <c r="AT526" i="49"/>
  <c r="AU526" i="49"/>
  <c r="AV526" i="49"/>
  <c r="AV528" i="49" s="1"/>
  <c r="AW526" i="49"/>
  <c r="AX526" i="49"/>
  <c r="AX528" i="49" s="1"/>
  <c r="AY526" i="49"/>
  <c r="AZ526" i="49"/>
  <c r="BA526" i="49"/>
  <c r="BB526" i="49"/>
  <c r="BC526" i="49"/>
  <c r="D527" i="49"/>
  <c r="D528" i="49" s="1"/>
  <c r="E527" i="49"/>
  <c r="F527" i="49"/>
  <c r="G527" i="49"/>
  <c r="H527" i="49"/>
  <c r="I527" i="49"/>
  <c r="I530" i="49" s="1"/>
  <c r="J527" i="49"/>
  <c r="K527" i="49"/>
  <c r="K528" i="49" s="1"/>
  <c r="K529" i="49" s="1"/>
  <c r="L527" i="49"/>
  <c r="L528" i="49" s="1"/>
  <c r="M527" i="49"/>
  <c r="M528" i="49" s="1"/>
  <c r="M529" i="49" s="1"/>
  <c r="N527" i="49"/>
  <c r="O527" i="49"/>
  <c r="P527" i="49"/>
  <c r="Q527" i="49"/>
  <c r="R527" i="49"/>
  <c r="S527" i="49"/>
  <c r="S528" i="49" s="1"/>
  <c r="S529" i="49" s="1"/>
  <c r="T527" i="49"/>
  <c r="T530" i="49" s="1"/>
  <c r="U527" i="49"/>
  <c r="V527" i="49"/>
  <c r="AC527" i="49"/>
  <c r="AD527" i="49"/>
  <c r="AE527" i="49"/>
  <c r="AF527" i="49"/>
  <c r="AG527" i="49"/>
  <c r="AG530" i="49" s="1"/>
  <c r="AH527" i="49"/>
  <c r="AH530" i="49" s="1"/>
  <c r="AI527" i="49"/>
  <c r="AI530" i="49" s="1"/>
  <c r="AJ527" i="49"/>
  <c r="AK527" i="49"/>
  <c r="AL527" i="49"/>
  <c r="AM527" i="49"/>
  <c r="AN527" i="49"/>
  <c r="AO527" i="49"/>
  <c r="AO530" i="49" s="1"/>
  <c r="AP527" i="49"/>
  <c r="AQ527" i="49"/>
  <c r="AQ530" i="49" s="1"/>
  <c r="AR527" i="49"/>
  <c r="AS527" i="49"/>
  <c r="AS530" i="49" s="1"/>
  <c r="AT527" i="49"/>
  <c r="AU527" i="49"/>
  <c r="AV527" i="49"/>
  <c r="AW527" i="49"/>
  <c r="AX527" i="49"/>
  <c r="AY527" i="49"/>
  <c r="AZ527" i="49"/>
  <c r="BA527" i="49"/>
  <c r="BB527" i="49"/>
  <c r="BC527" i="49"/>
  <c r="E528" i="49"/>
  <c r="G528" i="49"/>
  <c r="N528" i="49"/>
  <c r="O528" i="49"/>
  <c r="Q528" i="49"/>
  <c r="R528" i="49"/>
  <c r="R529" i="49" s="1"/>
  <c r="AC528" i="49"/>
  <c r="AD528" i="49"/>
  <c r="AE528" i="49"/>
  <c r="AE529" i="49" s="1"/>
  <c r="AJ528" i="49"/>
  <c r="AK529" i="49" s="1"/>
  <c r="AK528" i="49"/>
  <c r="AL528" i="49"/>
  <c r="AL529" i="49" s="1"/>
  <c r="AM528" i="49"/>
  <c r="AM529" i="49" s="1"/>
  <c r="AR528" i="49"/>
  <c r="AR529" i="49" s="1"/>
  <c r="AS528" i="49"/>
  <c r="AS529" i="49" s="1"/>
  <c r="AT528" i="49"/>
  <c r="AU528" i="49"/>
  <c r="AU529" i="49" s="1"/>
  <c r="AZ528" i="49"/>
  <c r="BB528" i="49"/>
  <c r="BC528" i="49"/>
  <c r="BC529" i="49" s="1"/>
  <c r="H529" i="49"/>
  <c r="I529" i="49"/>
  <c r="O529" i="49"/>
  <c r="AD529" i="49"/>
  <c r="AN529" i="49"/>
  <c r="AV529" i="49"/>
  <c r="E530" i="49"/>
  <c r="F530" i="49"/>
  <c r="G530" i="49"/>
  <c r="M530" i="49"/>
  <c r="Q530" i="49"/>
  <c r="AC530" i="49"/>
  <c r="AD530" i="49"/>
  <c r="AE530" i="49"/>
  <c r="AF530" i="49"/>
  <c r="AJ530" i="49"/>
  <c r="AK530" i="49"/>
  <c r="AL530" i="49"/>
  <c r="AM530" i="49"/>
  <c r="AN530" i="49"/>
  <c r="AP530" i="49"/>
  <c r="AR530" i="49"/>
  <c r="AT530" i="49"/>
  <c r="AU530" i="49"/>
  <c r="AV530" i="49"/>
  <c r="AY530" i="49"/>
  <c r="AZ530" i="49"/>
  <c r="D532" i="49"/>
  <c r="L532" i="49"/>
  <c r="O532" i="49"/>
  <c r="AL532" i="49"/>
  <c r="AT532" i="49"/>
  <c r="BB532" i="49"/>
  <c r="AT546" i="49"/>
  <c r="AU546" i="49"/>
  <c r="AV546" i="49"/>
  <c r="AY546" i="49"/>
  <c r="AZ546" i="49"/>
  <c r="AZ549" i="49"/>
  <c r="AJ588" i="49"/>
  <c r="AC2" i="111"/>
  <c r="J12" i="111"/>
  <c r="E149" i="111"/>
  <c r="F152" i="111"/>
  <c r="E153" i="111" s="1"/>
  <c r="E15" i="111" s="1"/>
  <c r="D149" i="111"/>
  <c r="E152" i="111"/>
  <c r="F15" i="111"/>
  <c r="G15" i="111"/>
  <c r="H15" i="111"/>
  <c r="I15" i="111"/>
  <c r="J15" i="111"/>
  <c r="K15" i="111"/>
  <c r="L15" i="111"/>
  <c r="L17" i="111" s="1"/>
  <c r="M15" i="111"/>
  <c r="N15" i="111"/>
  <c r="N17" i="111" s="1"/>
  <c r="O15" i="111"/>
  <c r="P15" i="111"/>
  <c r="Q15" i="111"/>
  <c r="Q17" i="111" s="1"/>
  <c r="F16" i="111"/>
  <c r="F17" i="111" s="1"/>
  <c r="F18" i="111" s="1"/>
  <c r="G16" i="111"/>
  <c r="H16" i="111"/>
  <c r="I16" i="111"/>
  <c r="I17" i="111" s="1"/>
  <c r="J16" i="111"/>
  <c r="J17" i="111" s="1"/>
  <c r="K16" i="111"/>
  <c r="L16" i="111"/>
  <c r="M16" i="111"/>
  <c r="N16" i="111"/>
  <c r="O16" i="111"/>
  <c r="P16" i="111"/>
  <c r="Q16" i="111"/>
  <c r="G17" i="111"/>
  <c r="H17" i="111"/>
  <c r="M17" i="111"/>
  <c r="O17" i="111"/>
  <c r="P17" i="111"/>
  <c r="E150" i="111"/>
  <c r="D150" i="111"/>
  <c r="E19" i="111" s="1"/>
  <c r="F149" i="111"/>
  <c r="F150" i="111" s="1"/>
  <c r="F19" i="111"/>
  <c r="F61" i="111" s="1"/>
  <c r="F23" i="111" s="1"/>
  <c r="G149" i="111"/>
  <c r="G150" i="111"/>
  <c r="G19" i="111"/>
  <c r="G18" i="111" s="1"/>
  <c r="H149" i="111"/>
  <c r="H150" i="111" s="1"/>
  <c r="H19" i="111" s="1"/>
  <c r="I149" i="111"/>
  <c r="I150" i="111" s="1"/>
  <c r="J149" i="111"/>
  <c r="J150" i="111" s="1"/>
  <c r="K149" i="111"/>
  <c r="K150" i="111"/>
  <c r="K19" i="111" s="1"/>
  <c r="L149" i="111"/>
  <c r="L150" i="111" s="1"/>
  <c r="L19" i="111" s="1"/>
  <c r="M149" i="111"/>
  <c r="M150" i="111"/>
  <c r="N149" i="111"/>
  <c r="N150" i="111" s="1"/>
  <c r="N19" i="111"/>
  <c r="N18" i="111" s="1"/>
  <c r="O149" i="111"/>
  <c r="O150" i="111" s="1"/>
  <c r="P149" i="111"/>
  <c r="P150" i="111" s="1"/>
  <c r="Q149" i="111"/>
  <c r="Q150" i="111"/>
  <c r="Q19" i="111" s="1"/>
  <c r="Q18" i="111" s="1"/>
  <c r="G61" i="111"/>
  <c r="H61" i="111" s="1"/>
  <c r="G62" i="111"/>
  <c r="G24" i="111" s="1"/>
  <c r="N69" i="111"/>
  <c r="N31" i="111" s="1"/>
  <c r="O69" i="111"/>
  <c r="P69" i="111"/>
  <c r="E50" i="111"/>
  <c r="F50" i="111"/>
  <c r="G50" i="111"/>
  <c r="H50" i="111"/>
  <c r="I50" i="111"/>
  <c r="J50" i="111"/>
  <c r="K50" i="111"/>
  <c r="L50" i="111"/>
  <c r="M50" i="111"/>
  <c r="N50" i="111"/>
  <c r="O50" i="111"/>
  <c r="P50" i="111"/>
  <c r="Q50" i="111"/>
  <c r="E56" i="111"/>
  <c r="Q156" i="111"/>
  <c r="Q155" i="111" s="1"/>
  <c r="R155" i="111" s="1"/>
  <c r="R152" i="111"/>
  <c r="R154" i="111"/>
  <c r="Q152" i="111"/>
  <c r="S154" i="111"/>
  <c r="T154" i="111"/>
  <c r="U154" i="111"/>
  <c r="V154" i="111"/>
  <c r="V173" i="111" s="1"/>
  <c r="W154" i="111"/>
  <c r="X154" i="111"/>
  <c r="X173" i="111" s="1"/>
  <c r="Y154" i="111"/>
  <c r="Z154" i="111"/>
  <c r="AA154" i="111"/>
  <c r="AB154" i="111"/>
  <c r="AB173" i="111" s="1"/>
  <c r="AC154" i="111"/>
  <c r="G152" i="111"/>
  <c r="H152" i="111"/>
  <c r="I152" i="111"/>
  <c r="J152" i="111"/>
  <c r="K152" i="111"/>
  <c r="L152" i="111"/>
  <c r="M152" i="111"/>
  <c r="N152" i="111"/>
  <c r="N155" i="111" s="1"/>
  <c r="O152" i="111"/>
  <c r="P152" i="111"/>
  <c r="E156" i="111"/>
  <c r="F156" i="111"/>
  <c r="F155" i="111"/>
  <c r="G156" i="111"/>
  <c r="G155" i="111"/>
  <c r="I156" i="111"/>
  <c r="I155" i="111" s="1"/>
  <c r="J156" i="111"/>
  <c r="J155" i="111" s="1"/>
  <c r="K156" i="111"/>
  <c r="K155" i="111"/>
  <c r="M156" i="111"/>
  <c r="M155" i="111"/>
  <c r="N156" i="111"/>
  <c r="O156" i="111"/>
  <c r="O155" i="111"/>
  <c r="P156" i="111"/>
  <c r="P155" i="111"/>
  <c r="Q164" i="111"/>
  <c r="R161" i="111"/>
  <c r="P164" i="111"/>
  <c r="P163" i="111" s="1"/>
  <c r="E161" i="111"/>
  <c r="E164" i="111"/>
  <c r="F161" i="111" s="1"/>
  <c r="F164" i="111"/>
  <c r="G161" i="111" s="1"/>
  <c r="G163" i="111" s="1"/>
  <c r="G164" i="111"/>
  <c r="H161" i="111" s="1"/>
  <c r="H164" i="111"/>
  <c r="I161" i="111"/>
  <c r="I163" i="111" s="1"/>
  <c r="I164" i="111"/>
  <c r="J161" i="111"/>
  <c r="J164" i="111"/>
  <c r="K161" i="111"/>
  <c r="K163" i="111" s="1"/>
  <c r="K164" i="111"/>
  <c r="L161" i="111" s="1"/>
  <c r="L164" i="111"/>
  <c r="M161" i="111"/>
  <c r="M164" i="111"/>
  <c r="N161" i="111" s="1"/>
  <c r="N164" i="111"/>
  <c r="O161" i="111" s="1"/>
  <c r="O164" i="111"/>
  <c r="P161" i="111" s="1"/>
  <c r="H163" i="111"/>
  <c r="J163" i="111"/>
  <c r="D167" i="111"/>
  <c r="E167" i="111"/>
  <c r="F167" i="111"/>
  <c r="G167" i="111"/>
  <c r="H167" i="111"/>
  <c r="I167" i="111"/>
  <c r="J167" i="111"/>
  <c r="K167" i="111"/>
  <c r="K169" i="111" s="1"/>
  <c r="K187" i="111" s="1"/>
  <c r="L167" i="111"/>
  <c r="L169" i="111" s="1"/>
  <c r="M167" i="111"/>
  <c r="N167" i="111"/>
  <c r="P167" i="111"/>
  <c r="Q167" i="111"/>
  <c r="D168" i="111"/>
  <c r="E168" i="111"/>
  <c r="F168" i="111"/>
  <c r="G168" i="111"/>
  <c r="G169" i="111" s="1"/>
  <c r="H168" i="111"/>
  <c r="H169" i="111" s="1"/>
  <c r="I168" i="111"/>
  <c r="I169" i="111" s="1"/>
  <c r="J168" i="111"/>
  <c r="K168" i="111"/>
  <c r="L168" i="111"/>
  <c r="M168" i="111"/>
  <c r="N168" i="111"/>
  <c r="N169" i="111" s="1"/>
  <c r="O168" i="111"/>
  <c r="P168" i="111"/>
  <c r="P169" i="111" s="1"/>
  <c r="Q168" i="111"/>
  <c r="D169" i="111"/>
  <c r="E171" i="111" s="1"/>
  <c r="E169" i="111"/>
  <c r="E187" i="111" s="1"/>
  <c r="F169" i="111"/>
  <c r="F187" i="111" s="1"/>
  <c r="J169" i="111"/>
  <c r="J187" i="111" s="1"/>
  <c r="M169" i="111"/>
  <c r="N171" i="111" s="1"/>
  <c r="Q169" i="111"/>
  <c r="R171" i="111" s="1"/>
  <c r="F171" i="111"/>
  <c r="K171" i="111"/>
  <c r="E172" i="111"/>
  <c r="F172" i="111"/>
  <c r="G172" i="111"/>
  <c r="H172" i="111"/>
  <c r="I172" i="111"/>
  <c r="J172" i="111"/>
  <c r="K172" i="111"/>
  <c r="L172" i="111"/>
  <c r="M172" i="111"/>
  <c r="N172" i="111"/>
  <c r="O172" i="111"/>
  <c r="P172" i="111"/>
  <c r="Q172" i="111"/>
  <c r="F173" i="111"/>
  <c r="G173" i="111"/>
  <c r="H173" i="111"/>
  <c r="I173" i="111"/>
  <c r="J173" i="111"/>
  <c r="K173" i="111"/>
  <c r="L173" i="111"/>
  <c r="M173" i="111"/>
  <c r="N173" i="111"/>
  <c r="O173" i="111"/>
  <c r="P173" i="111"/>
  <c r="Q173" i="111"/>
  <c r="R173" i="111"/>
  <c r="S173" i="111"/>
  <c r="T173" i="111"/>
  <c r="U173" i="111"/>
  <c r="W173" i="111"/>
  <c r="Y173" i="111"/>
  <c r="Z173" i="111"/>
  <c r="AA173" i="111"/>
  <c r="AC173" i="111"/>
  <c r="E174" i="111"/>
  <c r="F174" i="111"/>
  <c r="G174" i="111"/>
  <c r="H174" i="111"/>
  <c r="I174" i="111"/>
  <c r="J174" i="111"/>
  <c r="K174" i="111"/>
  <c r="L174" i="111"/>
  <c r="M174" i="111"/>
  <c r="N174" i="111"/>
  <c r="O174" i="111"/>
  <c r="P174" i="111"/>
  <c r="Q174" i="111"/>
  <c r="J176" i="111"/>
  <c r="K176" i="111"/>
  <c r="K175" i="111"/>
  <c r="Q176" i="111"/>
  <c r="E185" i="111"/>
  <c r="F185" i="111"/>
  <c r="G185" i="111"/>
  <c r="H185" i="111"/>
  <c r="I185" i="111"/>
  <c r="J185" i="111"/>
  <c r="K185" i="111"/>
  <c r="L185" i="111"/>
  <c r="M185" i="111"/>
  <c r="N185" i="111"/>
  <c r="O185" i="111"/>
  <c r="P185" i="111"/>
  <c r="Q185" i="111"/>
  <c r="E186" i="111"/>
  <c r="F186" i="111"/>
  <c r="G186" i="111"/>
  <c r="H186" i="111"/>
  <c r="I186" i="111"/>
  <c r="J186" i="111"/>
  <c r="K186" i="111"/>
  <c r="L186" i="111"/>
  <c r="M186" i="111"/>
  <c r="N186" i="111"/>
  <c r="O186" i="111"/>
  <c r="P186" i="111"/>
  <c r="Q186" i="111"/>
  <c r="Q187" i="111"/>
  <c r="U2" i="110"/>
  <c r="B3" i="110"/>
  <c r="D9" i="110"/>
  <c r="E9" i="110"/>
  <c r="F9" i="110"/>
  <c r="G9" i="110"/>
  <c r="G12" i="110" s="1"/>
  <c r="H9" i="110"/>
  <c r="H12" i="110" s="1"/>
  <c r="I9" i="110"/>
  <c r="D10" i="110"/>
  <c r="E10" i="110"/>
  <c r="F10" i="110"/>
  <c r="F12" i="110" s="1"/>
  <c r="F13" i="110" s="1"/>
  <c r="G10" i="110"/>
  <c r="H10" i="110"/>
  <c r="I10" i="110"/>
  <c r="J10" i="110"/>
  <c r="D11" i="110"/>
  <c r="D12" i="110" s="1"/>
  <c r="E13" i="110" s="1"/>
  <c r="E11" i="110"/>
  <c r="F11" i="110"/>
  <c r="G11" i="110"/>
  <c r="H11" i="110"/>
  <c r="I11" i="110"/>
  <c r="E12" i="110"/>
  <c r="D14" i="110"/>
  <c r="E14" i="110"/>
  <c r="F14" i="110"/>
  <c r="G14" i="110"/>
  <c r="H14" i="110"/>
  <c r="I14" i="110"/>
  <c r="L15" i="110"/>
  <c r="M15" i="110"/>
  <c r="N15" i="110"/>
  <c r="O15" i="110"/>
  <c r="P15" i="110"/>
  <c r="Q15" i="110"/>
  <c r="R15" i="110"/>
  <c r="S15" i="110"/>
  <c r="T15" i="110"/>
  <c r="U15" i="110"/>
  <c r="V14" i="64"/>
  <c r="V17" i="64"/>
  <c r="AT14" i="64"/>
  <c r="E77" i="94"/>
  <c r="E103" i="94"/>
  <c r="E107" i="94"/>
  <c r="F77" i="94"/>
  <c r="F103" i="94"/>
  <c r="F107" i="94"/>
  <c r="J16" i="110"/>
  <c r="K16" i="110"/>
  <c r="L16" i="110"/>
  <c r="AI5" i="94" l="1"/>
  <c r="F108" i="94"/>
  <c r="F104" i="94"/>
  <c r="E111" i="94"/>
  <c r="F101" i="94"/>
  <c r="F79" i="94"/>
  <c r="E108" i="94"/>
  <c r="D111" i="94"/>
  <c r="E104" i="94"/>
  <c r="E79" i="94"/>
  <c r="E101" i="94"/>
  <c r="E102" i="94" s="1"/>
  <c r="AT15" i="64"/>
  <c r="AT18" i="64" s="1"/>
  <c r="AT17" i="64"/>
  <c r="AT294" i="49"/>
  <c r="U118" i="94"/>
  <c r="U119" i="94" s="1"/>
  <c r="V18" i="64"/>
  <c r="V15" i="64"/>
  <c r="V294" i="49"/>
  <c r="Q171" i="111"/>
  <c r="Q175" i="111" s="1"/>
  <c r="P176" i="111"/>
  <c r="P187" i="111"/>
  <c r="H13" i="110"/>
  <c r="O171" i="111"/>
  <c r="N176" i="111"/>
  <c r="N175" i="111" s="1"/>
  <c r="N187" i="111"/>
  <c r="G13" i="110"/>
  <c r="H187" i="111"/>
  <c r="H176" i="111"/>
  <c r="I171" i="111"/>
  <c r="J171" i="111"/>
  <c r="I187" i="111"/>
  <c r="I176" i="111"/>
  <c r="I175" i="111" s="1"/>
  <c r="G187" i="111"/>
  <c r="G176" i="111"/>
  <c r="G175" i="111" s="1"/>
  <c r="H171" i="111"/>
  <c r="J175" i="111"/>
  <c r="M171" i="111"/>
  <c r="L176" i="111"/>
  <c r="L175" i="111" s="1"/>
  <c r="L187" i="111"/>
  <c r="L171" i="111"/>
  <c r="N163" i="111"/>
  <c r="Q161" i="111"/>
  <c r="Q163" i="111" s="1"/>
  <c r="R163" i="111" s="1"/>
  <c r="N96" i="111"/>
  <c r="AX529" i="49"/>
  <c r="M163" i="111"/>
  <c r="L67" i="111"/>
  <c r="L18" i="111"/>
  <c r="I12" i="110"/>
  <c r="K66" i="111"/>
  <c r="G171" i="111"/>
  <c r="I19" i="111"/>
  <c r="J19" i="111"/>
  <c r="H63" i="111"/>
  <c r="H18" i="111"/>
  <c r="F163" i="111"/>
  <c r="G89" i="111"/>
  <c r="G116" i="111" s="1"/>
  <c r="H24" i="111" s="1"/>
  <c r="F176" i="111"/>
  <c r="F175" i="111" s="1"/>
  <c r="M187" i="111"/>
  <c r="E176" i="111"/>
  <c r="E163" i="111"/>
  <c r="Q72" i="111"/>
  <c r="Q69" i="111"/>
  <c r="M176" i="111"/>
  <c r="M175" i="111" s="1"/>
  <c r="F88" i="111"/>
  <c r="F115" i="111" s="1"/>
  <c r="G23" i="111" s="1"/>
  <c r="G88" i="111"/>
  <c r="G115" i="111" s="1"/>
  <c r="H23" i="111" s="1"/>
  <c r="O19" i="111"/>
  <c r="P19" i="111"/>
  <c r="E60" i="111"/>
  <c r="O163" i="111"/>
  <c r="L163" i="111"/>
  <c r="N123" i="111"/>
  <c r="O31" i="111" s="1"/>
  <c r="L156" i="111"/>
  <c r="L155" i="111" s="1"/>
  <c r="G532" i="49"/>
  <c r="BB529" i="49"/>
  <c r="AQ529" i="49"/>
  <c r="V529" i="49"/>
  <c r="AM521" i="49"/>
  <c r="Q521" i="49"/>
  <c r="M19" i="111"/>
  <c r="N529" i="49"/>
  <c r="AL523" i="49"/>
  <c r="AL522" i="49"/>
  <c r="AZ514" i="49"/>
  <c r="AZ521" i="49"/>
  <c r="AZ440" i="49"/>
  <c r="AO528" i="49"/>
  <c r="T528" i="49"/>
  <c r="T529" i="49" s="1"/>
  <c r="L523" i="49"/>
  <c r="AP519" i="49"/>
  <c r="AK521" i="49"/>
  <c r="AK514" i="49"/>
  <c r="AL514" i="49"/>
  <c r="H62" i="111"/>
  <c r="E154" i="111"/>
  <c r="AT529" i="49"/>
  <c r="AI521" i="49"/>
  <c r="AX521" i="49"/>
  <c r="AX514" i="49"/>
  <c r="AH521" i="49"/>
  <c r="AH514" i="49"/>
  <c r="K17" i="111"/>
  <c r="K18" i="111" s="1"/>
  <c r="AD521" i="49"/>
  <c r="AY521" i="49"/>
  <c r="AY514" i="49"/>
  <c r="AW521" i="49"/>
  <c r="AW514" i="49"/>
  <c r="AG521" i="49"/>
  <c r="BC521" i="49"/>
  <c r="BC519" i="49"/>
  <c r="R521" i="49"/>
  <c r="AE521" i="49"/>
  <c r="AE514" i="49"/>
  <c r="O167" i="111"/>
  <c r="O169" i="111" s="1"/>
  <c r="H156" i="111"/>
  <c r="H155" i="111" s="1"/>
  <c r="AQ519" i="49"/>
  <c r="AE439" i="49"/>
  <c r="AH529" i="49"/>
  <c r="V440" i="49"/>
  <c r="AW528" i="49"/>
  <c r="AW529" i="49" s="1"/>
  <c r="P529" i="49"/>
  <c r="L529" i="49"/>
  <c r="AG528" i="49"/>
  <c r="AG529" i="49" s="1"/>
  <c r="AQ522" i="49"/>
  <c r="AQ523" i="49"/>
  <c r="AQ532" i="49"/>
  <c r="AX519" i="49"/>
  <c r="U440" i="49"/>
  <c r="Q529" i="49"/>
  <c r="AY519" i="49"/>
  <c r="AI519" i="49"/>
  <c r="AJ519" i="49"/>
  <c r="K521" i="49"/>
  <c r="K519" i="49"/>
  <c r="O519" i="49"/>
  <c r="BA522" i="49"/>
  <c r="AP521" i="49"/>
  <c r="AP514" i="49"/>
  <c r="T521" i="49"/>
  <c r="T514" i="49"/>
  <c r="N440" i="49"/>
  <c r="J528" i="49"/>
  <c r="J529" i="49" s="1"/>
  <c r="J530" i="49"/>
  <c r="J521" i="49"/>
  <c r="AO521" i="49"/>
  <c r="AO514" i="49"/>
  <c r="S521" i="49"/>
  <c r="S514" i="49"/>
  <c r="AC456" i="49"/>
  <c r="I61" i="111"/>
  <c r="I519" i="49"/>
  <c r="M519" i="49"/>
  <c r="AT523" i="49"/>
  <c r="AT522" i="49"/>
  <c r="D486" i="49"/>
  <c r="E486" i="49" s="1"/>
  <c r="F486" i="49" s="1"/>
  <c r="G486" i="49" s="1"/>
  <c r="H486" i="49" s="1"/>
  <c r="I486" i="49" s="1"/>
  <c r="J486" i="49" s="1"/>
  <c r="K486" i="49" s="1"/>
  <c r="L486" i="49" s="1"/>
  <c r="M486" i="49" s="1"/>
  <c r="N486" i="49" s="1"/>
  <c r="O486" i="49" s="1"/>
  <c r="P486" i="49" s="1"/>
  <c r="Q486" i="49" s="1"/>
  <c r="R486" i="49" s="1"/>
  <c r="S486" i="49" s="1"/>
  <c r="T486" i="49" s="1"/>
  <c r="U486" i="49" s="1"/>
  <c r="V486" i="49" s="1"/>
  <c r="AZ486" i="49"/>
  <c r="BA486" i="49" s="1"/>
  <c r="BB486" i="49" s="1"/>
  <c r="BC486" i="49" s="1"/>
  <c r="BB440" i="49"/>
  <c r="AU521" i="49"/>
  <c r="AC521" i="49"/>
  <c r="AC472" i="49"/>
  <c r="AJ460" i="49"/>
  <c r="AD457" i="49"/>
  <c r="AN425" i="49"/>
  <c r="AN439" i="49" s="1"/>
  <c r="I521" i="49"/>
  <c r="AM425" i="49"/>
  <c r="AM439" i="49" s="1"/>
  <c r="Q425" i="49"/>
  <c r="Q439" i="49" s="1"/>
  <c r="L316" i="49"/>
  <c r="L320" i="49" s="1"/>
  <c r="L322" i="49" s="1"/>
  <c r="BI309" i="49"/>
  <c r="AS521" i="49"/>
  <c r="P519" i="49"/>
  <c r="V518" i="49"/>
  <c r="F518" i="49"/>
  <c r="F521" i="49" s="1"/>
  <c r="R514" i="49"/>
  <c r="H514" i="49"/>
  <c r="AU408" i="49"/>
  <c r="AU440" i="49" s="1"/>
  <c r="AE408" i="49"/>
  <c r="AO518" i="49"/>
  <c r="AO519" i="49" s="1"/>
  <c r="AE540" i="49"/>
  <c r="AE541" i="49" s="1"/>
  <c r="AW440" i="49"/>
  <c r="AD408" i="49"/>
  <c r="AD440" i="49" s="1"/>
  <c r="H408" i="49"/>
  <c r="H440" i="49" s="1"/>
  <c r="BI316" i="49"/>
  <c r="Q234" i="49"/>
  <c r="AL458" i="49"/>
  <c r="Q440" i="49"/>
  <c r="AC440" i="49"/>
  <c r="AR514" i="49"/>
  <c r="AR521" i="49"/>
  <c r="U513" i="49"/>
  <c r="E513" i="49"/>
  <c r="F440" i="49"/>
  <c r="M234" i="49"/>
  <c r="N168" i="49"/>
  <c r="L530" i="49"/>
  <c r="BA528" i="49"/>
  <c r="BA529" i="49" s="1"/>
  <c r="L519" i="49"/>
  <c r="AI514" i="49"/>
  <c r="AN513" i="49"/>
  <c r="AU460" i="49"/>
  <c r="AD456" i="49"/>
  <c r="T316" i="49"/>
  <c r="T320" i="49" s="1"/>
  <c r="T322" i="49" s="1"/>
  <c r="BA514" i="49"/>
  <c r="AC459" i="49"/>
  <c r="P521" i="49"/>
  <c r="AS460" i="49"/>
  <c r="AG458" i="49"/>
  <c r="AJ458" i="49"/>
  <c r="AC542" i="49"/>
  <c r="AC457" i="49" s="1"/>
  <c r="AV425" i="49"/>
  <c r="AV439" i="49" s="1"/>
  <c r="AV440" i="49" s="1"/>
  <c r="F457" i="49"/>
  <c r="S439" i="49"/>
  <c r="S440" i="49" s="1"/>
  <c r="AN440" i="49"/>
  <c r="AY528" i="49"/>
  <c r="AY529" i="49" s="1"/>
  <c r="AI528" i="49"/>
  <c r="AI529" i="49" s="1"/>
  <c r="AK519" i="49"/>
  <c r="N518" i="49"/>
  <c r="N519" i="49" s="1"/>
  <c r="AH472" i="49"/>
  <c r="H425" i="49"/>
  <c r="H439" i="49" s="1"/>
  <c r="E440" i="49"/>
  <c r="BC408" i="49"/>
  <c r="BC440" i="49" s="1"/>
  <c r="AM408" i="49"/>
  <c r="BA320" i="49"/>
  <c r="BA322" i="49" s="1"/>
  <c r="BG314" i="49"/>
  <c r="AW518" i="49"/>
  <c r="AW519" i="49" s="1"/>
  <c r="AG518" i="49"/>
  <c r="AG519" i="49" s="1"/>
  <c r="AV458" i="49"/>
  <c r="AR458" i="49"/>
  <c r="E457" i="49"/>
  <c r="AS425" i="49"/>
  <c r="AS439" i="49" s="1"/>
  <c r="AS440" i="49" s="1"/>
  <c r="G425" i="49"/>
  <c r="G439" i="49" s="1"/>
  <c r="G440" i="49" s="1"/>
  <c r="AL408" i="49"/>
  <c r="AL440" i="49" s="1"/>
  <c r="P408" i="49"/>
  <c r="P440" i="49" s="1"/>
  <c r="BA519" i="49"/>
  <c r="AJ514" i="49"/>
  <c r="AJ521" i="49"/>
  <c r="AR439" i="49"/>
  <c r="AR440" i="49" s="1"/>
  <c r="AZ316" i="49"/>
  <c r="BG309" i="49"/>
  <c r="M513" i="49"/>
  <c r="Q514" i="49" s="1"/>
  <c r="L456" i="49"/>
  <c r="L462" i="49" s="1"/>
  <c r="L460" i="49"/>
  <c r="AQ439" i="49"/>
  <c r="AQ440" i="49" s="1"/>
  <c r="AV513" i="49"/>
  <c r="AF513" i="49"/>
  <c r="AZ458" i="49"/>
  <c r="K439" i="49"/>
  <c r="K440" i="49" s="1"/>
  <c r="AF440" i="49"/>
  <c r="H521" i="49"/>
  <c r="L522" i="49" s="1"/>
  <c r="L459" i="49"/>
  <c r="AQ458" i="49"/>
  <c r="AO439" i="49"/>
  <c r="AO440" i="49" s="1"/>
  <c r="AF278" i="49"/>
  <c r="AL277" i="49"/>
  <c r="N240" i="49"/>
  <c r="T227" i="49"/>
  <c r="BB225" i="49"/>
  <c r="O196" i="49"/>
  <c r="BC161" i="49"/>
  <c r="M192" i="49"/>
  <c r="AZ224" i="49"/>
  <c r="G176" i="49"/>
  <c r="AZ186" i="49"/>
  <c r="BA202" i="49" s="1"/>
  <c r="K137" i="49"/>
  <c r="K120" i="49"/>
  <c r="K135" i="49"/>
  <c r="K136" i="49"/>
  <c r="K138" i="49"/>
  <c r="BJ303" i="49"/>
  <c r="AQ309" i="49"/>
  <c r="AQ316" i="49" s="1"/>
  <c r="AQ320" i="49" s="1"/>
  <c r="U309" i="49"/>
  <c r="U316" i="49" s="1"/>
  <c r="U320" i="49" s="1"/>
  <c r="U322" i="49" s="1"/>
  <c r="E309" i="49"/>
  <c r="E316" i="49" s="1"/>
  <c r="E320" i="49" s="1"/>
  <c r="E322" i="49" s="1"/>
  <c r="AS277" i="49"/>
  <c r="T277" i="49"/>
  <c r="S163" i="49"/>
  <c r="O217" i="49"/>
  <c r="O201" i="49"/>
  <c r="O249" i="49"/>
  <c r="L161" i="49"/>
  <c r="K189" i="49"/>
  <c r="W71" i="94"/>
  <c r="W80" i="94"/>
  <c r="G63" i="94"/>
  <c r="G65" i="94" s="1"/>
  <c r="AF99" i="49"/>
  <c r="AO94" i="49"/>
  <c r="P60" i="94" s="1"/>
  <c r="AR277" i="49"/>
  <c r="AU272" i="49"/>
  <c r="AV272" i="49"/>
  <c r="BB223" i="49"/>
  <c r="S216" i="49"/>
  <c r="R163" i="49"/>
  <c r="AY163" i="49"/>
  <c r="I157" i="49"/>
  <c r="I163" i="49"/>
  <c r="J192" i="49"/>
  <c r="J186" i="49"/>
  <c r="J208" i="49"/>
  <c r="AY141" i="49"/>
  <c r="AD64" i="94"/>
  <c r="BC99" i="49"/>
  <c r="I64" i="94"/>
  <c r="AH99" i="49"/>
  <c r="V71" i="94"/>
  <c r="V80" i="94"/>
  <c r="F63" i="94"/>
  <c r="F65" i="94" s="1"/>
  <c r="AE99" i="49"/>
  <c r="H309" i="49"/>
  <c r="AS276" i="49"/>
  <c r="I226" i="49"/>
  <c r="I228" i="49"/>
  <c r="I230" i="49"/>
  <c r="I232" i="49"/>
  <c r="I156" i="49"/>
  <c r="I250" i="49"/>
  <c r="I202" i="49"/>
  <c r="I221" i="49"/>
  <c r="G186" i="49"/>
  <c r="G222" i="49" s="1"/>
  <c r="BA163" i="49"/>
  <c r="AS278" i="49"/>
  <c r="AP277" i="49"/>
  <c r="AR276" i="49"/>
  <c r="AU273" i="49"/>
  <c r="O198" i="49"/>
  <c r="I224" i="49"/>
  <c r="I192" i="49"/>
  <c r="U141" i="49"/>
  <c r="T63" i="94"/>
  <c r="T65" i="94" s="1"/>
  <c r="AS99" i="49"/>
  <c r="AS100" i="49" s="1"/>
  <c r="D71" i="94"/>
  <c r="D80" i="94"/>
  <c r="AK94" i="49"/>
  <c r="L60" i="94" s="1"/>
  <c r="AQ276" i="49"/>
  <c r="AX186" i="49"/>
  <c r="S192" i="49"/>
  <c r="S208" i="49"/>
  <c r="H156" i="49"/>
  <c r="H202" i="49"/>
  <c r="AA64" i="94"/>
  <c r="AA65" i="94" s="1"/>
  <c r="AZ99" i="49"/>
  <c r="AG63" i="94"/>
  <c r="AK56" i="94"/>
  <c r="AM56" i="94"/>
  <c r="AL56" i="94"/>
  <c r="AN56" i="94"/>
  <c r="D309" i="49"/>
  <c r="D316" i="49" s="1"/>
  <c r="D320" i="49" s="1"/>
  <c r="D322" i="49" s="1"/>
  <c r="Q278" i="49"/>
  <c r="AN277" i="49"/>
  <c r="AO276" i="49"/>
  <c r="H163" i="49"/>
  <c r="F167" i="49"/>
  <c r="E166" i="49"/>
  <c r="AL57" i="94"/>
  <c r="AN57" i="94"/>
  <c r="AK57" i="94"/>
  <c r="AM57" i="94"/>
  <c r="N94" i="49"/>
  <c r="AP278" i="49"/>
  <c r="AM277" i="49"/>
  <c r="AN276" i="49"/>
  <c r="H250" i="49"/>
  <c r="T233" i="49"/>
  <c r="H228" i="49"/>
  <c r="Q224" i="49"/>
  <c r="K217" i="49"/>
  <c r="P214" i="49"/>
  <c r="Q208" i="49"/>
  <c r="P205" i="49"/>
  <c r="S201" i="49"/>
  <c r="I168" i="49"/>
  <c r="E222" i="49"/>
  <c r="E223" i="49"/>
  <c r="K122" i="49"/>
  <c r="W123" i="49"/>
  <c r="W122" i="49" s="1"/>
  <c r="AW135" i="49"/>
  <c r="AW137" i="49"/>
  <c r="AW158" i="49"/>
  <c r="AX163" i="49" s="1"/>
  <c r="AW140" i="49"/>
  <c r="AW138" i="49"/>
  <c r="AW136" i="49"/>
  <c r="D136" i="49"/>
  <c r="D141" i="49" s="1"/>
  <c r="D139" i="49"/>
  <c r="D140" i="49"/>
  <c r="D138" i="49"/>
  <c r="AK58" i="94"/>
  <c r="AM58" i="94"/>
  <c r="AN58" i="94"/>
  <c r="AL58" i="94"/>
  <c r="I471" i="49"/>
  <c r="R273" i="49"/>
  <c r="Q272" i="49"/>
  <c r="T270" i="49"/>
  <c r="BA231" i="49"/>
  <c r="BA234" i="49" s="1"/>
  <c r="I227" i="49"/>
  <c r="O214" i="49"/>
  <c r="O205" i="49"/>
  <c r="S197" i="49"/>
  <c r="AZ192" i="49"/>
  <c r="R157" i="49"/>
  <c r="R168" i="49"/>
  <c r="G216" i="49"/>
  <c r="H216" i="49"/>
  <c r="K248" i="49"/>
  <c r="K139" i="49"/>
  <c r="S140" i="49"/>
  <c r="S136" i="49"/>
  <c r="S135" i="49"/>
  <c r="S137" i="49"/>
  <c r="AG99" i="49"/>
  <c r="AL59" i="94"/>
  <c r="AM59" i="94"/>
  <c r="AN59" i="94"/>
  <c r="AK59" i="94"/>
  <c r="R309" i="49"/>
  <c r="R316" i="49" s="1"/>
  <c r="R320" i="49" s="1"/>
  <c r="R322" i="49" s="1"/>
  <c r="P272" i="49"/>
  <c r="AY192" i="49"/>
  <c r="Q157" i="49"/>
  <c r="S186" i="49"/>
  <c r="O241" i="49"/>
  <c r="P209" i="49"/>
  <c r="K212" i="49"/>
  <c r="K196" i="49"/>
  <c r="M138" i="49"/>
  <c r="O141" i="49"/>
  <c r="BA94" i="49"/>
  <c r="AB60" i="94" s="1"/>
  <c r="P273" i="49"/>
  <c r="T222" i="49"/>
  <c r="T234" i="49" s="1"/>
  <c r="T202" i="49"/>
  <c r="T250" i="49"/>
  <c r="T218" i="49"/>
  <c r="T156" i="49"/>
  <c r="BC192" i="49"/>
  <c r="BB224" i="49"/>
  <c r="O176" i="49"/>
  <c r="BC240" i="49"/>
  <c r="BB192" i="49"/>
  <c r="G214" i="49"/>
  <c r="Q64" i="94"/>
  <c r="AP99" i="49"/>
  <c r="O163" i="49"/>
  <c r="T208" i="49"/>
  <c r="O223" i="49"/>
  <c r="O191" i="49"/>
  <c r="BJ309" i="49"/>
  <c r="N163" i="49"/>
  <c r="T64" i="94"/>
  <c r="AC58" i="94"/>
  <c r="BB94" i="49"/>
  <c r="AC60" i="94" s="1"/>
  <c r="AH276" i="49"/>
  <c r="Q166" i="49"/>
  <c r="Q161" i="49"/>
  <c r="O186" i="49"/>
  <c r="K192" i="49"/>
  <c r="K240" i="49"/>
  <c r="K208" i="49"/>
  <c r="G141" i="49"/>
  <c r="N136" i="49"/>
  <c r="N138" i="49"/>
  <c r="N132" i="49"/>
  <c r="N139" i="49"/>
  <c r="R120" i="49"/>
  <c r="O132" i="49"/>
  <c r="N135" i="49"/>
  <c r="N137" i="49"/>
  <c r="S540" i="49"/>
  <c r="S541" i="49" s="1"/>
  <c r="R542" i="49"/>
  <c r="BB226" i="49"/>
  <c r="BB228" i="49"/>
  <c r="BB230" i="49"/>
  <c r="BB232" i="49"/>
  <c r="BB250" i="49"/>
  <c r="BB202" i="49"/>
  <c r="BC250" i="49"/>
  <c r="Q218" i="49"/>
  <c r="Q225" i="49"/>
  <c r="Q227" i="49"/>
  <c r="Q229" i="49"/>
  <c r="Q231" i="49"/>
  <c r="Q233" i="49"/>
  <c r="Q202" i="49"/>
  <c r="Q250" i="49"/>
  <c r="R192" i="49"/>
  <c r="N224" i="49"/>
  <c r="N186" i="49"/>
  <c r="M135" i="49"/>
  <c r="M140" i="49"/>
  <c r="M158" i="49"/>
  <c r="Q163" i="49" s="1"/>
  <c r="M120" i="49"/>
  <c r="M132" i="49"/>
  <c r="M139" i="49"/>
  <c r="Q120" i="49"/>
  <c r="M137" i="49"/>
  <c r="BH99" i="49"/>
  <c r="AM278" i="49"/>
  <c r="H222" i="49"/>
  <c r="H221" i="49"/>
  <c r="G205" i="49"/>
  <c r="O193" i="49"/>
  <c r="U163" i="49"/>
  <c r="K168" i="49"/>
  <c r="BA156" i="49"/>
  <c r="BA157" i="49" s="1"/>
  <c r="P157" i="49"/>
  <c r="M156" i="49"/>
  <c r="M223" i="49"/>
  <c r="M218" i="49"/>
  <c r="K239" i="49"/>
  <c r="H209" i="49"/>
  <c r="T37" i="94"/>
  <c r="AS77" i="49"/>
  <c r="O244" i="49"/>
  <c r="E224" i="49"/>
  <c r="E234" i="49" s="1"/>
  <c r="L223" i="49"/>
  <c r="H212" i="49"/>
  <c r="S196" i="49"/>
  <c r="L140" i="49"/>
  <c r="BC138" i="49"/>
  <c r="BB136" i="49"/>
  <c r="AY120" i="49"/>
  <c r="X65" i="94"/>
  <c r="H65" i="94"/>
  <c r="AU381" i="49"/>
  <c r="AX468" i="49"/>
  <c r="AX471" i="49" s="1"/>
  <c r="AM468" i="49"/>
  <c r="AN29" i="94"/>
  <c r="AK29" i="94"/>
  <c r="AL29" i="94"/>
  <c r="AM29" i="94"/>
  <c r="O35" i="94"/>
  <c r="AN76" i="49"/>
  <c r="U76" i="49"/>
  <c r="AV381" i="49"/>
  <c r="AO467" i="49"/>
  <c r="AL467" i="49"/>
  <c r="AK467" i="49"/>
  <c r="AK471" i="49" s="1"/>
  <c r="AG469" i="49"/>
  <c r="AE469" i="49"/>
  <c r="AD467" i="49"/>
  <c r="P471" i="49"/>
  <c r="Y35" i="94"/>
  <c r="BA192" i="49"/>
  <c r="AD94" i="49"/>
  <c r="E60" i="94" s="1"/>
  <c r="AG468" i="49"/>
  <c r="V471" i="49"/>
  <c r="T467" i="49"/>
  <c r="I469" i="49"/>
  <c r="F471" i="49"/>
  <c r="I37" i="94"/>
  <c r="AH77" i="49"/>
  <c r="J56" i="94"/>
  <c r="AI94" i="49"/>
  <c r="J60" i="94" s="1"/>
  <c r="BA469" i="49"/>
  <c r="BH469" i="49" s="1"/>
  <c r="AV468" i="49"/>
  <c r="AI471" i="49"/>
  <c r="AD466" i="49"/>
  <c r="AD471" i="49" s="1"/>
  <c r="AD37" i="94"/>
  <c r="E64" i="94"/>
  <c r="AD99" i="49"/>
  <c r="S71" i="94"/>
  <c r="S80" i="94"/>
  <c r="AL94" i="49"/>
  <c r="M60" i="94" s="1"/>
  <c r="AT468" i="49"/>
  <c r="AK470" i="49"/>
  <c r="AJ470" i="49"/>
  <c r="AE467" i="49"/>
  <c r="K471" i="49"/>
  <c r="AQ76" i="49"/>
  <c r="AC37" i="94"/>
  <c r="R37" i="94"/>
  <c r="AQ77" i="49"/>
  <c r="G37" i="94"/>
  <c r="AF77" i="49"/>
  <c r="BB157" i="49"/>
  <c r="BC162" i="49" s="1"/>
  <c r="R80" i="94"/>
  <c r="R71" i="94"/>
  <c r="AS94" i="49"/>
  <c r="H56" i="94"/>
  <c r="AG94" i="49"/>
  <c r="H60" i="94" s="1"/>
  <c r="L471" i="49"/>
  <c r="L222" i="49"/>
  <c r="O213" i="49"/>
  <c r="E140" i="49"/>
  <c r="L137" i="49"/>
  <c r="BC135" i="49"/>
  <c r="BC141" i="49" s="1"/>
  <c r="AN99" i="49"/>
  <c r="Q65" i="94"/>
  <c r="F99" i="49"/>
  <c r="R381" i="49"/>
  <c r="BH87" i="49"/>
  <c r="P87" i="49"/>
  <c r="P381" i="49"/>
  <c r="BB467" i="49"/>
  <c r="BA467" i="49"/>
  <c r="BH467" i="49" s="1"/>
  <c r="AW470" i="49"/>
  <c r="AV466" i="49"/>
  <c r="AM469" i="49"/>
  <c r="AL469" i="49"/>
  <c r="AG471" i="49"/>
  <c r="U469" i="49"/>
  <c r="R471" i="49"/>
  <c r="P467" i="49"/>
  <c r="BJ467" i="49" s="1"/>
  <c r="AB37" i="94"/>
  <c r="J41" i="94"/>
  <c r="D76" i="49"/>
  <c r="AY233" i="49"/>
  <c r="F233" i="49"/>
  <c r="AY231" i="49"/>
  <c r="F231" i="49"/>
  <c r="AY229" i="49"/>
  <c r="AY234" i="49" s="1"/>
  <c r="F229" i="49"/>
  <c r="AY227" i="49"/>
  <c r="F227" i="49"/>
  <c r="F234" i="49" s="1"/>
  <c r="K222" i="49"/>
  <c r="K186" i="49"/>
  <c r="L139" i="49"/>
  <c r="BC137" i="49"/>
  <c r="J137" i="49"/>
  <c r="J141" i="49" s="1"/>
  <c r="BB135" i="49"/>
  <c r="BB141" i="49" s="1"/>
  <c r="L132" i="49"/>
  <c r="AM99" i="49"/>
  <c r="P63" i="94"/>
  <c r="P65" i="94" s="1"/>
  <c r="AO99" i="49"/>
  <c r="V381" i="49"/>
  <c r="BA466" i="49"/>
  <c r="AT466" i="49"/>
  <c r="AT471" i="49" s="1"/>
  <c r="AR466" i="49"/>
  <c r="AR471" i="49" s="1"/>
  <c r="AL468" i="49"/>
  <c r="AJ468" i="49"/>
  <c r="AJ471" i="49" s="1"/>
  <c r="AM77" i="49"/>
  <c r="E37" i="94"/>
  <c r="AD77" i="49"/>
  <c r="I35" i="94"/>
  <c r="AH76" i="49"/>
  <c r="AL63" i="94"/>
  <c r="AK63" i="94"/>
  <c r="AM63" i="94"/>
  <c r="AN63" i="94"/>
  <c r="O65" i="94"/>
  <c r="AF470" i="49"/>
  <c r="G471" i="49"/>
  <c r="AA37" i="94"/>
  <c r="AZ77" i="49"/>
  <c r="AZ71" i="49"/>
  <c r="AZ73" i="49" s="1"/>
  <c r="AQ71" i="49"/>
  <c r="F168" i="49"/>
  <c r="AK99" i="49"/>
  <c r="AD65" i="94"/>
  <c r="N65" i="94"/>
  <c r="BB470" i="49"/>
  <c r="BI470" i="49" s="1"/>
  <c r="AY471" i="49"/>
  <c r="AP471" i="49"/>
  <c r="H471" i="49"/>
  <c r="AI76" i="49"/>
  <c r="S35" i="94"/>
  <c r="S41" i="94" s="1"/>
  <c r="AR76" i="49"/>
  <c r="H35" i="94"/>
  <c r="AG76" i="49"/>
  <c r="AC65" i="94"/>
  <c r="M65" i="94"/>
  <c r="AR381" i="49"/>
  <c r="AN471" i="49"/>
  <c r="AL466" i="49"/>
  <c r="AL471" i="49" s="1"/>
  <c r="Q469" i="49"/>
  <c r="Q471" i="49" s="1"/>
  <c r="N471" i="49"/>
  <c r="L467" i="49"/>
  <c r="E468" i="49"/>
  <c r="G35" i="94"/>
  <c r="AF76" i="49"/>
  <c r="AB71" i="94"/>
  <c r="AB80" i="94"/>
  <c r="L71" i="94"/>
  <c r="L80" i="94"/>
  <c r="T87" i="49"/>
  <c r="T381" i="49"/>
  <c r="BC469" i="49"/>
  <c r="BB469" i="49"/>
  <c r="BI469" i="49" s="1"/>
  <c r="Y37" i="94"/>
  <c r="AX77" i="49"/>
  <c r="M37" i="94"/>
  <c r="AL77" i="49"/>
  <c r="AL73" i="49"/>
  <c r="S247" i="49"/>
  <c r="T215" i="49"/>
  <c r="L205" i="49"/>
  <c r="U168" i="49"/>
  <c r="E137" i="49"/>
  <c r="E135" i="49"/>
  <c r="E141" i="49" s="1"/>
  <c r="BB120" i="49"/>
  <c r="I120" i="49"/>
  <c r="I20" i="127"/>
  <c r="I21" i="127" s="1"/>
  <c r="V120" i="49"/>
  <c r="R138" i="49"/>
  <c r="R141" i="49" s="1"/>
  <c r="K65" i="94"/>
  <c r="U64" i="94"/>
  <c r="AT99" i="49"/>
  <c r="D381" i="49"/>
  <c r="BB468" i="49"/>
  <c r="BI468" i="49" s="1"/>
  <c r="AW467" i="49"/>
  <c r="AW471" i="49" s="1"/>
  <c r="AO470" i="49"/>
  <c r="AO471" i="49" s="1"/>
  <c r="AM470" i="49"/>
  <c r="S471" i="49"/>
  <c r="AF471" i="49"/>
  <c r="T471" i="49"/>
  <c r="AB35" i="94"/>
  <c r="Q35" i="94"/>
  <c r="AP76" i="49"/>
  <c r="K245" i="49"/>
  <c r="T240" i="49"/>
  <c r="L158" i="49"/>
  <c r="F166" i="49"/>
  <c r="L138" i="49"/>
  <c r="P132" i="49"/>
  <c r="P140" i="49"/>
  <c r="P141" i="49" s="1"/>
  <c r="AX99" i="49"/>
  <c r="Y65" i="94"/>
  <c r="I65" i="94"/>
  <c r="BJ87" i="49"/>
  <c r="AX87" i="49"/>
  <c r="AX381" i="49"/>
  <c r="L381" i="49"/>
  <c r="L87" i="49"/>
  <c r="BI87" i="49" s="1"/>
  <c r="AZ467" i="49"/>
  <c r="AZ471" i="49" s="1"/>
  <c r="AS471" i="49"/>
  <c r="J471" i="49"/>
  <c r="E467" i="49"/>
  <c r="E471" i="49" s="1"/>
  <c r="G495" i="49"/>
  <c r="V37" i="94"/>
  <c r="AU77" i="49"/>
  <c r="AA35" i="94"/>
  <c r="AA41" i="94" s="1"/>
  <c r="AZ76" i="49"/>
  <c r="AT381" i="49"/>
  <c r="K37" i="94"/>
  <c r="AJ77" i="49"/>
  <c r="U41" i="94"/>
  <c r="J31" i="49"/>
  <c r="AK23" i="94"/>
  <c r="AL23" i="94"/>
  <c r="AM23" i="94"/>
  <c r="AN23" i="94"/>
  <c r="E18" i="49"/>
  <c r="E20" i="49" s="1"/>
  <c r="E46" i="49"/>
  <c r="E47" i="49"/>
  <c r="E29" i="49"/>
  <c r="E48" i="49"/>
  <c r="M22" i="49"/>
  <c r="AK22" i="94"/>
  <c r="AL22" i="94"/>
  <c r="AM22" i="94"/>
  <c r="AN22" i="94"/>
  <c r="AE44" i="94"/>
  <c r="AO281" i="49"/>
  <c r="AF282" i="49"/>
  <c r="AF284" i="49" s="1"/>
  <c r="AF19" i="49" s="1"/>
  <c r="G12" i="94" s="1"/>
  <c r="AG281" i="49"/>
  <c r="AG282" i="49" s="1"/>
  <c r="AG284" i="49" s="1"/>
  <c r="AG19" i="49" s="1"/>
  <c r="H12" i="94" s="1"/>
  <c r="Z65" i="94"/>
  <c r="J65" i="94"/>
  <c r="S495" i="49"/>
  <c r="AN77" i="49"/>
  <c r="S37" i="94"/>
  <c r="AR77" i="49"/>
  <c r="AS58" i="49"/>
  <c r="AB22" i="94"/>
  <c r="AB44" i="94" s="1"/>
  <c r="BA79" i="49"/>
  <c r="L22" i="94"/>
  <c r="L44" i="94" s="1"/>
  <c r="AK79" i="49"/>
  <c r="AK77" i="49"/>
  <c r="AQ60" i="49"/>
  <c r="AQ62" i="49" s="1"/>
  <c r="AQ64" i="49" s="1"/>
  <c r="AS42" i="49"/>
  <c r="F42" i="94"/>
  <c r="M25" i="94"/>
  <c r="M45" i="94" s="1"/>
  <c r="AL60" i="49"/>
  <c r="AL62" i="49" s="1"/>
  <c r="AL64" i="49" s="1"/>
  <c r="AL80" i="49"/>
  <c r="AD52" i="72"/>
  <c r="AA17" i="94"/>
  <c r="AZ52" i="49"/>
  <c r="AZ505" i="49" s="1"/>
  <c r="U65" i="94"/>
  <c r="E65" i="94"/>
  <c r="AG77" i="49"/>
  <c r="AJ58" i="49"/>
  <c r="Y31" i="72"/>
  <c r="V13" i="94"/>
  <c r="AU31" i="49"/>
  <c r="AU50" i="49"/>
  <c r="AU30" i="49"/>
  <c r="AY77" i="49"/>
  <c r="O42" i="94"/>
  <c r="AC48" i="49"/>
  <c r="AC50" i="49"/>
  <c r="U52" i="72"/>
  <c r="R17" i="94"/>
  <c r="AQ52" i="49"/>
  <c r="AQ505" i="49" s="1"/>
  <c r="BE63" i="49"/>
  <c r="AF29" i="94" s="1"/>
  <c r="AG29" i="94" s="1"/>
  <c r="I31" i="49"/>
  <c r="AQ42" i="49"/>
  <c r="AQ48" i="49"/>
  <c r="BD61" i="49"/>
  <c r="AE27" i="94" s="1"/>
  <c r="AP48" i="49"/>
  <c r="AE17" i="72"/>
  <c r="AB12" i="94"/>
  <c r="F18" i="49"/>
  <c r="F20" i="49" s="1"/>
  <c r="K35" i="94"/>
  <c r="AJ76" i="49"/>
  <c r="AS71" i="49"/>
  <c r="AS73" i="49" s="1"/>
  <c r="AY76" i="49"/>
  <c r="AE76" i="49"/>
  <c r="U42" i="94"/>
  <c r="AZ58" i="49"/>
  <c r="I11" i="68"/>
  <c r="Q17" i="49"/>
  <c r="I12" i="68" s="1"/>
  <c r="I29" i="68" s="1"/>
  <c r="Q22" i="49"/>
  <c r="Q45" i="49"/>
  <c r="Q53" i="49"/>
  <c r="Q506" i="49" s="1"/>
  <c r="Q47" i="49"/>
  <c r="Q29" i="49"/>
  <c r="Q23" i="49"/>
  <c r="AS79" i="49"/>
  <c r="AC79" i="49"/>
  <c r="X47" i="49"/>
  <c r="BC41" i="49"/>
  <c r="AD41" i="49"/>
  <c r="BD35" i="49"/>
  <c r="AO41" i="49"/>
  <c r="AN41" i="49"/>
  <c r="BC40" i="49"/>
  <c r="BB40" i="49"/>
  <c r="AM40" i="49"/>
  <c r="AL40" i="49"/>
  <c r="U40" i="49"/>
  <c r="V39" i="49"/>
  <c r="F45" i="49"/>
  <c r="AF29" i="49"/>
  <c r="BC16" i="49"/>
  <c r="BC77" i="49" s="1"/>
  <c r="M15" i="72"/>
  <c r="J10" i="94"/>
  <c r="J42" i="94" s="1"/>
  <c r="AL23" i="49"/>
  <c r="AS25" i="49"/>
  <c r="AI22" i="49"/>
  <c r="AI45" i="49"/>
  <c r="AI24" i="49"/>
  <c r="AI29" i="49"/>
  <c r="AJ30" i="49" s="1"/>
  <c r="I52" i="72"/>
  <c r="F17" i="94"/>
  <c r="AF42" i="49"/>
  <c r="I31" i="72"/>
  <c r="F13" i="94"/>
  <c r="AE31" i="49"/>
  <c r="R16" i="49"/>
  <c r="Z22" i="49" s="1"/>
  <c r="AE52" i="49"/>
  <c r="AE505" i="49" s="1"/>
  <c r="U47" i="49"/>
  <c r="BA45" i="49"/>
  <c r="Z41" i="49"/>
  <c r="BA36" i="49"/>
  <c r="V36" i="49"/>
  <c r="BC39" i="49"/>
  <c r="BC36" i="49"/>
  <c r="AM39" i="49"/>
  <c r="AM36" i="49"/>
  <c r="AB17" i="72"/>
  <c r="Y12" i="94"/>
  <c r="AC15" i="72"/>
  <c r="Z10" i="94"/>
  <c r="Z42" i="94" s="1"/>
  <c r="AY23" i="49"/>
  <c r="AY45" i="49"/>
  <c r="AY17" i="49"/>
  <c r="AY29" i="49"/>
  <c r="E19" i="110" s="1"/>
  <c r="U16" i="49"/>
  <c r="U77" i="49" s="1"/>
  <c r="S16" i="49"/>
  <c r="AC45" i="49"/>
  <c r="U36" i="49"/>
  <c r="AY36" i="49"/>
  <c r="AZ40" i="49"/>
  <c r="AI36" i="49"/>
  <c r="AJ42" i="49" s="1"/>
  <c r="AJ40" i="49"/>
  <c r="AA17" i="72"/>
  <c r="X12" i="94"/>
  <c r="Z15" i="72"/>
  <c r="W10" i="94"/>
  <c r="W41" i="94" s="1"/>
  <c r="AV22" i="49"/>
  <c r="AV24" i="49"/>
  <c r="AV23" i="49"/>
  <c r="AV25" i="49"/>
  <c r="J15" i="72"/>
  <c r="G10" i="94"/>
  <c r="G11" i="94" s="1"/>
  <c r="AF22" i="49"/>
  <c r="AF23" i="49"/>
  <c r="AP25" i="49"/>
  <c r="AG17" i="49"/>
  <c r="AX42" i="49"/>
  <c r="AX48" i="49"/>
  <c r="AN281" i="49"/>
  <c r="AN282" i="49" s="1"/>
  <c r="AN284" i="49" s="1"/>
  <c r="AN19" i="49" s="1"/>
  <c r="O12" i="94" s="1"/>
  <c r="AB13" i="72"/>
  <c r="AX16" i="49"/>
  <c r="AX76" i="49" s="1"/>
  <c r="AJ48" i="49"/>
  <c r="U41" i="49"/>
  <c r="AD39" i="49"/>
  <c r="R36" i="49"/>
  <c r="AW36" i="49"/>
  <c r="AW46" i="49"/>
  <c r="AG36" i="49"/>
  <c r="AG46" i="49"/>
  <c r="AD31" i="72"/>
  <c r="AA13" i="94"/>
  <c r="X31" i="72"/>
  <c r="U13" i="94"/>
  <c r="AT30" i="49"/>
  <c r="H31" i="72"/>
  <c r="E13" i="94"/>
  <c r="AD30" i="49"/>
  <c r="W52" i="72"/>
  <c r="T17" i="94"/>
  <c r="Q36" i="49"/>
  <c r="W31" i="72"/>
  <c r="T13" i="94"/>
  <c r="AS30" i="49"/>
  <c r="G31" i="72"/>
  <c r="D13" i="94"/>
  <c r="E11" i="68"/>
  <c r="M17" i="49"/>
  <c r="E12" i="68" s="1"/>
  <c r="E29" i="68" s="1"/>
  <c r="M29" i="49"/>
  <c r="AS52" i="49"/>
  <c r="AS505" i="49" s="1"/>
  <c r="AM47" i="49"/>
  <c r="O47" i="49"/>
  <c r="S41" i="49"/>
  <c r="O36" i="49"/>
  <c r="AY39" i="49"/>
  <c r="AX39" i="49"/>
  <c r="AI39" i="49"/>
  <c r="AH39" i="49"/>
  <c r="O39" i="49"/>
  <c r="S39" i="49"/>
  <c r="AV289" i="49"/>
  <c r="AQ283" i="49"/>
  <c r="Z47" i="49"/>
  <c r="Z289" i="49"/>
  <c r="Z29" i="49"/>
  <c r="Z28" i="49"/>
  <c r="Z33" i="49"/>
  <c r="Z18" i="49"/>
  <c r="Z20" i="49" s="1"/>
  <c r="BD13" i="49"/>
  <c r="AH12" i="72" s="1"/>
  <c r="AE69" i="49"/>
  <c r="AE71" i="49" s="1"/>
  <c r="AE73" i="49" s="1"/>
  <c r="AR41" i="49"/>
  <c r="AK40" i="49"/>
  <c r="BB39" i="49"/>
  <c r="M36" i="49"/>
  <c r="AV47" i="49"/>
  <c r="AV41" i="49"/>
  <c r="AW41" i="49"/>
  <c r="AF47" i="49"/>
  <c r="AF41" i="49"/>
  <c r="AG41" i="49"/>
  <c r="AT40" i="49"/>
  <c r="AU40" i="49"/>
  <c r="AD40" i="49"/>
  <c r="AE40" i="49"/>
  <c r="N36" i="49"/>
  <c r="N39" i="49"/>
  <c r="AT31" i="49"/>
  <c r="AV29" i="49"/>
  <c r="T296" i="49"/>
  <c r="AG17" i="72"/>
  <c r="AD12" i="94"/>
  <c r="AF17" i="49"/>
  <c r="U15" i="72"/>
  <c r="R10" i="94"/>
  <c r="AT23" i="49"/>
  <c r="AS22" i="49"/>
  <c r="AQ17" i="49"/>
  <c r="AQ24" i="49"/>
  <c r="AQ45" i="49"/>
  <c r="Y23" i="49"/>
  <c r="Y22" i="49"/>
  <c r="Y47" i="49"/>
  <c r="K16" i="49"/>
  <c r="T39" i="49"/>
  <c r="AO36" i="49"/>
  <c r="AO50" i="49" s="1"/>
  <c r="J36" i="49"/>
  <c r="J50" i="49" s="1"/>
  <c r="L46" i="49"/>
  <c r="P40" i="49"/>
  <c r="AV45" i="49"/>
  <c r="AV39" i="49"/>
  <c r="AF45" i="49"/>
  <c r="AF39" i="49"/>
  <c r="AS31" i="49"/>
  <c r="AE30" i="49"/>
  <c r="T31" i="72"/>
  <c r="Q13" i="94"/>
  <c r="AP50" i="49"/>
  <c r="AP31" i="49"/>
  <c r="AP30" i="49"/>
  <c r="AF17" i="72"/>
  <c r="AC12" i="94"/>
  <c r="AE281" i="49"/>
  <c r="AE282" i="49" s="1"/>
  <c r="AE284" i="49" s="1"/>
  <c r="AE19" i="49" s="1"/>
  <c r="F12" i="94" s="1"/>
  <c r="AD282" i="49"/>
  <c r="AD284" i="49" s="1"/>
  <c r="AD19" i="49" s="1"/>
  <c r="E12" i="94" s="1"/>
  <c r="X23" i="49"/>
  <c r="X29" i="49"/>
  <c r="X28" i="49"/>
  <c r="X33" i="49"/>
  <c r="X34" i="49"/>
  <c r="AW39" i="49"/>
  <c r="AR36" i="49"/>
  <c r="AR46" i="49"/>
  <c r="K40" i="49"/>
  <c r="K36" i="49"/>
  <c r="AU42" i="49"/>
  <c r="AE42" i="49"/>
  <c r="AE48" i="49"/>
  <c r="L36" i="49"/>
  <c r="P42" i="49" s="1"/>
  <c r="V31" i="72"/>
  <c r="S13" i="94"/>
  <c r="AR31" i="49"/>
  <c r="F29" i="49"/>
  <c r="S31" i="72"/>
  <c r="P13" i="94"/>
  <c r="X17" i="49"/>
  <c r="P52" i="72"/>
  <c r="M17" i="94"/>
  <c r="P39" i="49"/>
  <c r="AK36" i="49"/>
  <c r="AS41" i="49"/>
  <c r="AQ40" i="49"/>
  <c r="Z46" i="49"/>
  <c r="AT36" i="49"/>
  <c r="AD36" i="49"/>
  <c r="U31" i="72"/>
  <c r="R13" i="94"/>
  <c r="AT283" i="49"/>
  <c r="R15" i="72"/>
  <c r="O10" i="94"/>
  <c r="AN24" i="49"/>
  <c r="AN22" i="49"/>
  <c r="AN29" i="49"/>
  <c r="AN17" i="49"/>
  <c r="AO17" i="49"/>
  <c r="AP22" i="49"/>
  <c r="L11" i="68"/>
  <c r="T29" i="49"/>
  <c r="Q31" i="72"/>
  <c r="N13" i="94"/>
  <c r="AM31" i="49"/>
  <c r="AO282" i="49"/>
  <c r="AO284" i="49" s="1"/>
  <c r="AP281" i="49"/>
  <c r="AP282" i="49" s="1"/>
  <c r="AP284" i="49" s="1"/>
  <c r="AP19" i="49" s="1"/>
  <c r="Q12" i="94" s="1"/>
  <c r="G18" i="49"/>
  <c r="G20" i="49" s="1"/>
  <c r="G29" i="49"/>
  <c r="G46" i="49"/>
  <c r="N52" i="72"/>
  <c r="K17" i="94"/>
  <c r="AH42" i="49"/>
  <c r="AH48" i="49"/>
  <c r="AQ41" i="49"/>
  <c r="AQ47" i="49"/>
  <c r="Y33" i="49"/>
  <c r="I36" i="49"/>
  <c r="N31" i="72"/>
  <c r="K13" i="94"/>
  <c r="P31" i="72"/>
  <c r="M13" i="94"/>
  <c r="AL30" i="49"/>
  <c r="AD17" i="72"/>
  <c r="AA12" i="94"/>
  <c r="L31" i="72"/>
  <c r="I13" i="94"/>
  <c r="O31" i="72"/>
  <c r="L13" i="94"/>
  <c r="AK31" i="49"/>
  <c r="AK30" i="49"/>
  <c r="J18" i="49"/>
  <c r="J20" i="49" s="1"/>
  <c r="J17" i="49"/>
  <c r="AH50" i="49"/>
  <c r="H42" i="49"/>
  <c r="BA40" i="49"/>
  <c r="AP39" i="49"/>
  <c r="AQ39" i="49"/>
  <c r="G45" i="49"/>
  <c r="AH31" i="49"/>
  <c r="K31" i="72"/>
  <c r="H13" i="94"/>
  <c r="AG50" i="49"/>
  <c r="AC17" i="72"/>
  <c r="Z12" i="94"/>
  <c r="N16" i="49"/>
  <c r="N45" i="49" s="1"/>
  <c r="I17" i="49"/>
  <c r="D16" i="49"/>
  <c r="D530" i="49" s="1"/>
  <c r="AR25" i="49"/>
  <c r="AR22" i="49"/>
  <c r="AL283" i="49"/>
  <c r="S15" i="72"/>
  <c r="P10" i="94"/>
  <c r="P11" i="94" s="1"/>
  <c r="K119" i="94"/>
  <c r="Q15" i="72"/>
  <c r="N10" i="94"/>
  <c r="N11" i="94" s="1"/>
  <c r="AM25" i="49"/>
  <c r="P16" i="49"/>
  <c r="AF10" i="72"/>
  <c r="BB16" i="49"/>
  <c r="BB523" i="49" s="1"/>
  <c r="O16" i="49"/>
  <c r="O523" i="49" s="1"/>
  <c r="AD15" i="72"/>
  <c r="AA10" i="94"/>
  <c r="N15" i="72"/>
  <c r="K10" i="94"/>
  <c r="K11" i="94" s="1"/>
  <c r="AJ289" i="49"/>
  <c r="AK17" i="49"/>
  <c r="AE11" i="72"/>
  <c r="BA16" i="49"/>
  <c r="BA523" i="49" s="1"/>
  <c r="AZ45" i="49"/>
  <c r="AJ45" i="49"/>
  <c r="AM23" i="49"/>
  <c r="AJ22" i="49"/>
  <c r="L15" i="72"/>
  <c r="I10" i="94"/>
  <c r="I11" i="94" s="1"/>
  <c r="AZ24" i="49"/>
  <c r="AH24" i="49"/>
  <c r="AK23" i="49"/>
  <c r="AH289" i="49"/>
  <c r="AW16" i="49"/>
  <c r="AW530" i="49" s="1"/>
  <c r="K15" i="72"/>
  <c r="H10" i="94"/>
  <c r="S119" i="94"/>
  <c r="AG121" i="94"/>
  <c r="Q121" i="94"/>
  <c r="Y15" i="72"/>
  <c r="V10" i="94"/>
  <c r="V11" i="94" s="1"/>
  <c r="AU25" i="49"/>
  <c r="I15" i="72"/>
  <c r="F10" i="94"/>
  <c r="F41" i="94" s="1"/>
  <c r="AH23" i="49"/>
  <c r="AE22" i="49"/>
  <c r="J296" i="49"/>
  <c r="W107" i="49"/>
  <c r="AU24" i="49"/>
  <c r="AU289" i="49"/>
  <c r="D19" i="68"/>
  <c r="D28" i="68"/>
  <c r="D37" i="68"/>
  <c r="W109" i="49"/>
  <c r="V14" i="49"/>
  <c r="H16" i="49"/>
  <c r="AU22" i="49"/>
  <c r="AJ17" i="49"/>
  <c r="V15" i="72"/>
  <c r="S10" i="94"/>
  <c r="S11" i="94" s="1"/>
  <c r="AS17" i="49"/>
  <c r="AR289" i="49"/>
  <c r="R121" i="94"/>
  <c r="AR24" i="49"/>
  <c r="U296" i="49"/>
  <c r="AH17" i="49"/>
  <c r="T15" i="72"/>
  <c r="Q10" i="94"/>
  <c r="Q11" i="94" s="1"/>
  <c r="O15" i="72"/>
  <c r="L10" i="94"/>
  <c r="L11" i="94" s="1"/>
  <c r="D82" i="94"/>
  <c r="AN78" i="94"/>
  <c r="X15" i="72"/>
  <c r="U10" i="94"/>
  <c r="H15" i="72"/>
  <c r="E10" i="94"/>
  <c r="E11" i="94" s="1"/>
  <c r="AN81" i="94"/>
  <c r="AM78" i="94"/>
  <c r="AK289" i="49"/>
  <c r="W15" i="72"/>
  <c r="T10" i="94"/>
  <c r="T11" i="94" s="1"/>
  <c r="G15" i="72"/>
  <c r="D10" i="94"/>
  <c r="D11" i="94" s="1"/>
  <c r="D12" i="94" s="1"/>
  <c r="AM81" i="94"/>
  <c r="AL78" i="94"/>
  <c r="AK78" i="94"/>
  <c r="AI78" i="94"/>
  <c r="AL17" i="49"/>
  <c r="P15" i="72"/>
  <c r="M10" i="94"/>
  <c r="G1" i="94"/>
  <c r="AU6" i="64"/>
  <c r="AU7" i="64" s="1"/>
  <c r="W6" i="64"/>
  <c r="W7" i="64" s="1"/>
  <c r="F19" i="110"/>
  <c r="F18" i="110"/>
  <c r="F21" i="110"/>
  <c r="I22" i="110"/>
  <c r="G77" i="94"/>
  <c r="G103" i="94"/>
  <c r="G107" i="94"/>
  <c r="AU14" i="64"/>
  <c r="W14" i="64"/>
  <c r="J23" i="110"/>
  <c r="K23" i="110"/>
  <c r="L23" i="110"/>
  <c r="W15" i="64" l="1"/>
  <c r="W294" i="49"/>
  <c r="BD14" i="64"/>
  <c r="AU15" i="64"/>
  <c r="AU18" i="64" s="1"/>
  <c r="AU17" i="64"/>
  <c r="AU294" i="49"/>
  <c r="AU283" i="49" s="1"/>
  <c r="V118" i="94"/>
  <c r="V119" i="94" s="1"/>
  <c r="G108" i="94"/>
  <c r="D112" i="94"/>
  <c r="F111" i="94"/>
  <c r="G104" i="94"/>
  <c r="G79" i="94"/>
  <c r="G101" i="94"/>
  <c r="G102" i="94" s="1"/>
  <c r="F20" i="110"/>
  <c r="E85" i="49"/>
  <c r="E473" i="49"/>
  <c r="E472" i="49"/>
  <c r="H88" i="111"/>
  <c r="H115" i="111" s="1"/>
  <c r="I23" i="111" s="1"/>
  <c r="I88" i="111"/>
  <c r="AJ85" i="49"/>
  <c r="AJ472" i="49"/>
  <c r="AA71" i="94"/>
  <c r="AA80" i="94"/>
  <c r="AZ85" i="49"/>
  <c r="AZ472" i="49"/>
  <c r="F22" i="110"/>
  <c r="E21" i="110"/>
  <c r="E18" i="110"/>
  <c r="J52" i="49"/>
  <c r="J505" i="49" s="1"/>
  <c r="J58" i="49"/>
  <c r="J69" i="49"/>
  <c r="J71" i="49" s="1"/>
  <c r="J503" i="49"/>
  <c r="S52" i="72"/>
  <c r="P17" i="94"/>
  <c r="AO52" i="49"/>
  <c r="AO505" i="49" s="1"/>
  <c r="AO58" i="49"/>
  <c r="AO69" i="49"/>
  <c r="AO71" i="49" s="1"/>
  <c r="AO73" i="49" s="1"/>
  <c r="AO503" i="49"/>
  <c r="H89" i="111"/>
  <c r="AO85" i="49"/>
  <c r="AO472" i="49"/>
  <c r="AX85" i="49"/>
  <c r="AX472" i="49"/>
  <c r="Q85" i="49"/>
  <c r="Q472" i="49"/>
  <c r="AK85" i="49"/>
  <c r="AK472" i="49"/>
  <c r="L34" i="72"/>
  <c r="L16" i="72"/>
  <c r="L99" i="72" s="1"/>
  <c r="H11" i="68"/>
  <c r="P23" i="49"/>
  <c r="P29" i="49"/>
  <c r="P46" i="49"/>
  <c r="X22" i="49"/>
  <c r="P18" i="49"/>
  <c r="P20" i="49" s="1"/>
  <c r="P17" i="49"/>
  <c r="H12" i="68" s="1"/>
  <c r="H29" i="68" s="1"/>
  <c r="P45" i="49"/>
  <c r="P22" i="49"/>
  <c r="P477" i="49"/>
  <c r="T287" i="49"/>
  <c r="T288" i="49" s="1"/>
  <c r="T290" i="49" s="1"/>
  <c r="T291" i="49" s="1"/>
  <c r="P289" i="49"/>
  <c r="P288" i="49" s="1"/>
  <c r="P290" i="49" s="1"/>
  <c r="P291" i="49" s="1"/>
  <c r="P275" i="49"/>
  <c r="P476" i="49"/>
  <c r="P496" i="49"/>
  <c r="P481" i="49"/>
  <c r="P485" i="49"/>
  <c r="P530" i="49"/>
  <c r="H17" i="49"/>
  <c r="H46" i="49"/>
  <c r="L17" i="49"/>
  <c r="D12" i="68" s="1"/>
  <c r="D29" i="68" s="1"/>
  <c r="H18" i="49"/>
  <c r="H20" i="49" s="1"/>
  <c r="H29" i="49"/>
  <c r="H45" i="49"/>
  <c r="H76" i="49"/>
  <c r="H275" i="49"/>
  <c r="H476" i="49"/>
  <c r="H289" i="49"/>
  <c r="L287" i="49"/>
  <c r="L288" i="49" s="1"/>
  <c r="L290" i="49" s="1"/>
  <c r="L291" i="49" s="1"/>
  <c r="H481" i="49"/>
  <c r="H485" i="49"/>
  <c r="H496" i="49"/>
  <c r="H530" i="49"/>
  <c r="F15" i="94"/>
  <c r="F16" i="94" s="1"/>
  <c r="F14" i="94"/>
  <c r="N77" i="49"/>
  <c r="Y33" i="72"/>
  <c r="Y32" i="72"/>
  <c r="N46" i="49"/>
  <c r="BC47" i="49"/>
  <c r="Y71" i="94"/>
  <c r="Y80" i="94"/>
  <c r="T85" i="49"/>
  <c r="T472" i="49"/>
  <c r="AZ75" i="49"/>
  <c r="AV94" i="49"/>
  <c r="AV385" i="49"/>
  <c r="AU94" i="49"/>
  <c r="AU385" i="49"/>
  <c r="G225" i="49"/>
  <c r="G231" i="49"/>
  <c r="G71" i="94"/>
  <c r="G80" i="94"/>
  <c r="S522" i="49"/>
  <c r="S523" i="49"/>
  <c r="S532" i="49"/>
  <c r="BA532" i="49"/>
  <c r="R530" i="49"/>
  <c r="R69" i="111"/>
  <c r="I63" i="111"/>
  <c r="H25" i="111"/>
  <c r="H14" i="94"/>
  <c r="M19" i="94"/>
  <c r="M24" i="94"/>
  <c r="M26" i="94" s="1"/>
  <c r="M28" i="94" s="1"/>
  <c r="M34" i="94"/>
  <c r="M36" i="94" s="1"/>
  <c r="M38" i="94" s="1"/>
  <c r="K18" i="49"/>
  <c r="K20" i="49" s="1"/>
  <c r="K45" i="49"/>
  <c r="L18" i="49"/>
  <c r="L20" i="49" s="1"/>
  <c r="K17" i="49"/>
  <c r="K46" i="49"/>
  <c r="K47" i="49"/>
  <c r="K29" i="49"/>
  <c r="K76" i="49"/>
  <c r="K77" i="49"/>
  <c r="O287" i="49"/>
  <c r="K275" i="49"/>
  <c r="K276" i="49" s="1"/>
  <c r="K476" i="49"/>
  <c r="K289" i="49"/>
  <c r="K288" i="49" s="1"/>
  <c r="K290" i="49" s="1"/>
  <c r="K291" i="49" s="1"/>
  <c r="K496" i="49"/>
  <c r="K481" i="49"/>
  <c r="K485" i="49"/>
  <c r="K477" i="49"/>
  <c r="AR281" i="49"/>
  <c r="AQ282" i="49"/>
  <c r="AQ284" i="49" s="1"/>
  <c r="W16" i="72"/>
  <c r="W34" i="72"/>
  <c r="O16" i="72"/>
  <c r="O34" i="72"/>
  <c r="I14" i="94"/>
  <c r="E19" i="68"/>
  <c r="E28" i="68"/>
  <c r="E37" i="68"/>
  <c r="AM42" i="49"/>
  <c r="AN42" i="49"/>
  <c r="AM48" i="49"/>
  <c r="I32" i="72"/>
  <c r="I33" i="72"/>
  <c r="AJ59" i="49"/>
  <c r="AJ60" i="49" s="1"/>
  <c r="AJ62" i="49" s="1"/>
  <c r="AJ64" i="49" s="1"/>
  <c r="AF85" i="49"/>
  <c r="AF472" i="49"/>
  <c r="G41" i="94"/>
  <c r="N76" i="49"/>
  <c r="Q42" i="94"/>
  <c r="T60" i="94"/>
  <c r="AS96" i="49"/>
  <c r="H71" i="94"/>
  <c r="H80" i="94"/>
  <c r="T540" i="49"/>
  <c r="T541" i="49" s="1"/>
  <c r="S542" i="49"/>
  <c r="O156" i="49"/>
  <c r="O227" i="49"/>
  <c r="O226" i="49"/>
  <c r="O232" i="49"/>
  <c r="O270" i="49"/>
  <c r="O202" i="49"/>
  <c r="O222" i="49"/>
  <c r="O218" i="49"/>
  <c r="P218" i="49"/>
  <c r="O250" i="49"/>
  <c r="D523" i="49"/>
  <c r="AE523" i="49"/>
  <c r="AE522" i="49"/>
  <c r="AE532" i="49"/>
  <c r="AK523" i="49"/>
  <c r="AK532" i="49"/>
  <c r="AK522" i="49"/>
  <c r="P18" i="111"/>
  <c r="P71" i="111"/>
  <c r="O96" i="111"/>
  <c r="O123" i="111" s="1"/>
  <c r="P31" i="111" s="1"/>
  <c r="N54" i="72"/>
  <c r="R31" i="72"/>
  <c r="O13" i="94"/>
  <c r="AN31" i="49"/>
  <c r="AN30" i="49"/>
  <c r="AN50" i="49"/>
  <c r="AO51" i="49" s="1"/>
  <c r="AO504" i="49" s="1"/>
  <c r="AN477" i="49"/>
  <c r="Z31" i="72"/>
  <c r="W13" i="94"/>
  <c r="AV31" i="49"/>
  <c r="AV50" i="49"/>
  <c r="AV30" i="49"/>
  <c r="AV477" i="49"/>
  <c r="AV288" i="49"/>
  <c r="AV290" i="49" s="1"/>
  <c r="AP42" i="49"/>
  <c r="E42" i="94"/>
  <c r="AK283" i="49"/>
  <c r="AK288" i="49"/>
  <c r="AK290" i="49" s="1"/>
  <c r="AE15" i="72"/>
  <c r="AB10" i="94"/>
  <c r="AB11" i="94" s="1"/>
  <c r="BA17" i="49"/>
  <c r="BA22" i="49"/>
  <c r="BA25" i="49"/>
  <c r="BA24" i="49"/>
  <c r="BH16" i="49"/>
  <c r="BA26" i="49"/>
  <c r="BA29" i="49"/>
  <c r="BA47" i="49"/>
  <c r="BA23" i="49"/>
  <c r="BA476" i="49"/>
  <c r="BA289" i="49"/>
  <c r="BA288" i="49" s="1"/>
  <c r="BA290" i="49" s="1"/>
  <c r="BA291" i="49" s="1"/>
  <c r="BB287" i="49"/>
  <c r="BA481" i="49"/>
  <c r="BA546" i="49"/>
  <c r="BA496" i="49"/>
  <c r="BA485" i="49"/>
  <c r="AB8" i="95" s="1"/>
  <c r="L32" i="72"/>
  <c r="L33" i="72"/>
  <c r="AR48" i="49"/>
  <c r="AR42" i="49"/>
  <c r="AR50" i="49"/>
  <c r="T52" i="72"/>
  <c r="T55" i="72" s="1"/>
  <c r="Q17" i="94"/>
  <c r="AP51" i="49"/>
  <c r="AP504" i="49" s="1"/>
  <c r="AP52" i="49"/>
  <c r="AP505" i="49" s="1"/>
  <c r="AP58" i="49"/>
  <c r="AP53" i="49"/>
  <c r="AP506" i="49" s="1"/>
  <c r="AP69" i="49"/>
  <c r="AP71" i="49" s="1"/>
  <c r="AP73" i="49" s="1"/>
  <c r="AP503" i="49"/>
  <c r="O45" i="49"/>
  <c r="D14" i="94"/>
  <c r="AA14" i="94"/>
  <c r="AA15" i="94"/>
  <c r="AA16" i="94" s="1"/>
  <c r="BA46" i="49"/>
  <c r="AK27" i="94"/>
  <c r="AL27" i="94"/>
  <c r="AM27" i="94"/>
  <c r="AN27" i="94"/>
  <c r="AE46" i="94"/>
  <c r="AQ51" i="49"/>
  <c r="AQ504" i="49" s="1"/>
  <c r="E41" i="94"/>
  <c r="R77" i="49"/>
  <c r="D42" i="94"/>
  <c r="BA77" i="49"/>
  <c r="R94" i="49"/>
  <c r="X71" i="94"/>
  <c r="X80" i="94"/>
  <c r="O221" i="49"/>
  <c r="O208" i="49"/>
  <c r="O224" i="49"/>
  <c r="O240" i="49"/>
  <c r="P208" i="49"/>
  <c r="O192" i="49"/>
  <c r="G233" i="49"/>
  <c r="AF521" i="49"/>
  <c r="AF514" i="49"/>
  <c r="K530" i="49"/>
  <c r="AD462" i="49"/>
  <c r="AD463" i="49" s="1"/>
  <c r="AO522" i="49"/>
  <c r="AO523" i="49"/>
  <c r="AO532" i="49"/>
  <c r="R522" i="49"/>
  <c r="R532" i="49"/>
  <c r="R523" i="49"/>
  <c r="Q532" i="49"/>
  <c r="Q523" i="49"/>
  <c r="O18" i="111"/>
  <c r="O70" i="111"/>
  <c r="Q34" i="111"/>
  <c r="R72" i="111"/>
  <c r="J18" i="111"/>
  <c r="J65" i="111"/>
  <c r="H175" i="111"/>
  <c r="G50" i="49"/>
  <c r="G31" i="49"/>
  <c r="G477" i="49"/>
  <c r="H47" i="49"/>
  <c r="Q14" i="94"/>
  <c r="Q15" i="94"/>
  <c r="Q16" i="94" s="1"/>
  <c r="G33" i="72"/>
  <c r="AD33" i="72"/>
  <c r="AY42" i="49"/>
  <c r="AY48" i="49"/>
  <c r="AZ42" i="49"/>
  <c r="BC48" i="49"/>
  <c r="BC42" i="49"/>
  <c r="Q30" i="49"/>
  <c r="Q31" i="49"/>
  <c r="Q50" i="49"/>
  <c r="Q477" i="49"/>
  <c r="AS75" i="49"/>
  <c r="AQ53" i="49"/>
  <c r="AQ506" i="49" s="1"/>
  <c r="P41" i="94"/>
  <c r="S85" i="49"/>
  <c r="N42" i="94"/>
  <c r="O41" i="94"/>
  <c r="J221" i="49"/>
  <c r="J156" i="49"/>
  <c r="J250" i="49"/>
  <c r="J218" i="49"/>
  <c r="J202" i="49"/>
  <c r="J233" i="49"/>
  <c r="J222" i="49"/>
  <c r="J223" i="49"/>
  <c r="J224" i="49"/>
  <c r="J225" i="49"/>
  <c r="J226" i="49"/>
  <c r="J227" i="49"/>
  <c r="J228" i="49"/>
  <c r="J229" i="49"/>
  <c r="J230" i="49"/>
  <c r="J231" i="49"/>
  <c r="J270" i="49"/>
  <c r="J232" i="49"/>
  <c r="O77" i="49"/>
  <c r="AV521" i="49"/>
  <c r="AV514" i="49"/>
  <c r="J519" i="49"/>
  <c r="BA530" i="49"/>
  <c r="AM523" i="49"/>
  <c r="AM522" i="49"/>
  <c r="AM532" i="49"/>
  <c r="I18" i="111"/>
  <c r="I64" i="111"/>
  <c r="AT275" i="49"/>
  <c r="AT295" i="49"/>
  <c r="AK42" i="49"/>
  <c r="AL42" i="49"/>
  <c r="AK50" i="49"/>
  <c r="AK48" i="49"/>
  <c r="W14" i="49"/>
  <c r="BD109" i="49"/>
  <c r="W118" i="49"/>
  <c r="Q16" i="72"/>
  <c r="Q34" i="72"/>
  <c r="O33" i="72"/>
  <c r="O32" i="72"/>
  <c r="K34" i="94"/>
  <c r="K36" i="94" s="1"/>
  <c r="K38" i="94" s="1"/>
  <c r="K24" i="94"/>
  <c r="K19" i="94"/>
  <c r="M42" i="49"/>
  <c r="M48" i="49"/>
  <c r="X33" i="72"/>
  <c r="X32" i="72"/>
  <c r="K32" i="72"/>
  <c r="K33" i="72"/>
  <c r="P54" i="72"/>
  <c r="AI42" i="49"/>
  <c r="AI48" i="49"/>
  <c r="T16" i="72"/>
  <c r="T34" i="72"/>
  <c r="H11" i="94"/>
  <c r="S55" i="72"/>
  <c r="S34" i="72"/>
  <c r="S16" i="72"/>
  <c r="X6" i="64"/>
  <c r="X7" i="64" s="1"/>
  <c r="Y6" i="64" s="1"/>
  <c r="Y7" i="64" s="1"/>
  <c r="Z6" i="64" s="1"/>
  <c r="Z7" i="64" s="1"/>
  <c r="AA6" i="64" s="1"/>
  <c r="AA7" i="64" s="1"/>
  <c r="AU288" i="49"/>
  <c r="AU290" i="49" s="1"/>
  <c r="K16" i="72"/>
  <c r="K99" i="72" s="1"/>
  <c r="K34" i="72"/>
  <c r="K55" i="72"/>
  <c r="AM281" i="49"/>
  <c r="AM282" i="49" s="1"/>
  <c r="AM284" i="49" s="1"/>
  <c r="AM19" i="49" s="1"/>
  <c r="N12" i="94" s="1"/>
  <c r="O11" i="94"/>
  <c r="AO30" i="49"/>
  <c r="H48" i="49"/>
  <c r="T32" i="72"/>
  <c r="T33" i="72"/>
  <c r="AE81" i="49"/>
  <c r="AE75" i="49"/>
  <c r="U48" i="49"/>
  <c r="U42" i="49"/>
  <c r="F24" i="94"/>
  <c r="F26" i="94" s="1"/>
  <c r="F28" i="94" s="1"/>
  <c r="F34" i="94"/>
  <c r="F36" i="94" s="1"/>
  <c r="F38" i="94" s="1"/>
  <c r="F19" i="94"/>
  <c r="P42" i="94"/>
  <c r="AL44" i="94"/>
  <c r="AM44" i="94"/>
  <c r="AN44" i="94"/>
  <c r="AK44" i="94"/>
  <c r="V42" i="94"/>
  <c r="AA42" i="94"/>
  <c r="K218" i="49"/>
  <c r="K156" i="49"/>
  <c r="K232" i="49"/>
  <c r="K221" i="49"/>
  <c r="K202" i="49"/>
  <c r="K233" i="49"/>
  <c r="K223" i="49"/>
  <c r="K224" i="49"/>
  <c r="L218" i="49"/>
  <c r="K225" i="49"/>
  <c r="K226" i="49"/>
  <c r="K227" i="49"/>
  <c r="K250" i="49"/>
  <c r="K228" i="49"/>
  <c r="K229" i="49"/>
  <c r="K230" i="49"/>
  <c r="K270" i="49"/>
  <c r="K271" i="49" s="1"/>
  <c r="Q80" i="94"/>
  <c r="Q71" i="94"/>
  <c r="R72" i="94" s="1"/>
  <c r="S141" i="49"/>
  <c r="BH309" i="49"/>
  <c r="H316" i="49"/>
  <c r="K231" i="49"/>
  <c r="AM440" i="49"/>
  <c r="AN521" i="49"/>
  <c r="AN514" i="49"/>
  <c r="BJ316" i="49"/>
  <c r="J532" i="49"/>
  <c r="J523" i="49"/>
  <c r="J522" i="49"/>
  <c r="K523" i="49"/>
  <c r="K522" i="49"/>
  <c r="O522" i="49"/>
  <c r="K532" i="49"/>
  <c r="N521" i="49"/>
  <c r="E175" i="111"/>
  <c r="AO42" i="49"/>
  <c r="AO48" i="49"/>
  <c r="AV6" i="64"/>
  <c r="AV7" i="64" s="1"/>
  <c r="AA15" i="72"/>
  <c r="X10" i="94"/>
  <c r="AW22" i="49"/>
  <c r="AW25" i="49"/>
  <c r="AW24" i="49"/>
  <c r="AW29" i="49"/>
  <c r="AY22" i="49"/>
  <c r="AW23" i="49"/>
  <c r="AW45" i="49"/>
  <c r="AW17" i="49"/>
  <c r="AW26" i="49"/>
  <c r="AW47" i="49"/>
  <c r="AW77" i="49"/>
  <c r="AX287" i="49"/>
  <c r="AW476" i="49"/>
  <c r="AW472" i="49" s="1"/>
  <c r="AW289" i="49"/>
  <c r="AW288" i="49" s="1"/>
  <c r="AW290" i="49" s="1"/>
  <c r="AW291" i="49" s="1"/>
  <c r="AW481" i="49"/>
  <c r="AW485" i="49"/>
  <c r="X8" i="95" s="1"/>
  <c r="AW496" i="49"/>
  <c r="AW546" i="49"/>
  <c r="AJ283" i="49"/>
  <c r="AJ288" i="49"/>
  <c r="AJ290" i="49" s="1"/>
  <c r="R16" i="72"/>
  <c r="R34" i="72"/>
  <c r="P14" i="94"/>
  <c r="P15" i="94"/>
  <c r="P16" i="94" s="1"/>
  <c r="N42" i="49"/>
  <c r="N48" i="49"/>
  <c r="T15" i="94"/>
  <c r="T16" i="94" s="1"/>
  <c r="T14" i="94"/>
  <c r="AG48" i="49"/>
  <c r="AG42" i="49"/>
  <c r="P47" i="49"/>
  <c r="I54" i="72"/>
  <c r="K41" i="94"/>
  <c r="R19" i="94"/>
  <c r="R34" i="94"/>
  <c r="R36" i="94" s="1"/>
  <c r="R24" i="94"/>
  <c r="R26" i="94" s="1"/>
  <c r="R28" i="94" s="1"/>
  <c r="R18" i="94"/>
  <c r="Z41" i="94"/>
  <c r="AS59" i="49"/>
  <c r="AS60" i="49" s="1"/>
  <c r="AS62" i="49" s="1"/>
  <c r="AS64" i="49" s="1"/>
  <c r="T41" i="94"/>
  <c r="G84" i="49"/>
  <c r="BG495" i="49"/>
  <c r="G496" i="49"/>
  <c r="BC471" i="49"/>
  <c r="BJ469" i="49"/>
  <c r="H85" i="49"/>
  <c r="H472" i="49"/>
  <c r="G85" i="49"/>
  <c r="G472" i="49"/>
  <c r="R85" i="49"/>
  <c r="BB162" i="49"/>
  <c r="M161" i="49"/>
  <c r="M166" i="49"/>
  <c r="T161" i="49"/>
  <c r="T157" i="49"/>
  <c r="O225" i="49"/>
  <c r="AP291" i="49"/>
  <c r="AE440" i="49"/>
  <c r="I532" i="49"/>
  <c r="I523" i="49"/>
  <c r="AH519" i="49"/>
  <c r="AH523" i="49"/>
  <c r="AH522" i="49"/>
  <c r="AH532" i="49"/>
  <c r="K11" i="68"/>
  <c r="S18" i="49"/>
  <c r="S20" i="49" s="1"/>
  <c r="S22" i="49"/>
  <c r="S29" i="49"/>
  <c r="S17" i="49"/>
  <c r="K12" i="68" s="1"/>
  <c r="K29" i="68" s="1"/>
  <c r="S48" i="49"/>
  <c r="T18" i="49"/>
  <c r="T20" i="49" s="1"/>
  <c r="S45" i="49"/>
  <c r="S46" i="49"/>
  <c r="S53" i="49"/>
  <c r="S506" i="49" s="1"/>
  <c r="S47" i="49"/>
  <c r="S23" i="49"/>
  <c r="S76" i="49"/>
  <c r="S275" i="49"/>
  <c r="S477" i="49"/>
  <c r="W287" i="49"/>
  <c r="S289" i="49"/>
  <c r="S288" i="49" s="1"/>
  <c r="S290" i="49" s="1"/>
  <c r="S291" i="49" s="1"/>
  <c r="S476" i="49"/>
  <c r="S481" i="49"/>
  <c r="S485" i="49"/>
  <c r="V42" i="49"/>
  <c r="M31" i="72"/>
  <c r="J13" i="94"/>
  <c r="AI30" i="49"/>
  <c r="AI31" i="49"/>
  <c r="AI50" i="49"/>
  <c r="AI477" i="49"/>
  <c r="V41" i="94"/>
  <c r="N41" i="94"/>
  <c r="L163" i="49"/>
  <c r="P163" i="49"/>
  <c r="L168" i="49"/>
  <c r="L157" i="49"/>
  <c r="AW85" i="49"/>
  <c r="N85" i="49"/>
  <c r="AP85" i="49"/>
  <c r="AP472" i="49"/>
  <c r="R76" i="49"/>
  <c r="N141" i="49"/>
  <c r="S218" i="49"/>
  <c r="S156" i="49"/>
  <c r="T166" i="49" s="1"/>
  <c r="S228" i="49"/>
  <c r="S229" i="49"/>
  <c r="S230" i="49"/>
  <c r="S231" i="49"/>
  <c r="S232" i="49"/>
  <c r="S270" i="49"/>
  <c r="S202" i="49"/>
  <c r="S233" i="49"/>
  <c r="S223" i="49"/>
  <c r="S224" i="49"/>
  <c r="S225" i="49"/>
  <c r="S226" i="49"/>
  <c r="S227" i="49"/>
  <c r="S250" i="49"/>
  <c r="T271" i="49"/>
  <c r="T273" i="49"/>
  <c r="T272" i="49"/>
  <c r="G226" i="49"/>
  <c r="G227" i="49"/>
  <c r="G156" i="49"/>
  <c r="G223" i="49"/>
  <c r="G218" i="49"/>
  <c r="H218" i="49"/>
  <c r="G270" i="49"/>
  <c r="I162" i="49"/>
  <c r="AO529" i="49"/>
  <c r="AP529" i="49"/>
  <c r="H1" i="94"/>
  <c r="W12" i="49"/>
  <c r="BD12" i="49" s="1"/>
  <c r="W116" i="49"/>
  <c r="BD107" i="49"/>
  <c r="AH283" i="49"/>
  <c r="AH288" i="49"/>
  <c r="AH290" i="49" s="1"/>
  <c r="M15" i="94"/>
  <c r="M16" i="94" s="1"/>
  <c r="M14" i="94"/>
  <c r="AO19" i="49"/>
  <c r="P12" i="94" s="1"/>
  <c r="AO291" i="49"/>
  <c r="AU281" i="49"/>
  <c r="AT282" i="49"/>
  <c r="AT284" i="49" s="1"/>
  <c r="S32" i="72"/>
  <c r="S33" i="72"/>
  <c r="W33" i="72"/>
  <c r="W32" i="72"/>
  <c r="U53" i="72"/>
  <c r="U54" i="72"/>
  <c r="M11" i="94"/>
  <c r="P33" i="72"/>
  <c r="P32" i="72"/>
  <c r="R15" i="94"/>
  <c r="R16" i="94" s="1"/>
  <c r="R14" i="94"/>
  <c r="F31" i="49"/>
  <c r="F50" i="49"/>
  <c r="F477" i="49"/>
  <c r="X40" i="49"/>
  <c r="Q42" i="49"/>
  <c r="Q48" i="49"/>
  <c r="AW48" i="49"/>
  <c r="AW42" i="49"/>
  <c r="J34" i="72"/>
  <c r="J16" i="72"/>
  <c r="BA48" i="49"/>
  <c r="BA42" i="49"/>
  <c r="BB42" i="49"/>
  <c r="Q18" i="49"/>
  <c r="Q20" i="49" s="1"/>
  <c r="L42" i="94"/>
  <c r="G52" i="72"/>
  <c r="G54" i="72" s="1"/>
  <c r="D17" i="94"/>
  <c r="AC52" i="49"/>
  <c r="AC505" i="49" s="1"/>
  <c r="AC58" i="49"/>
  <c r="AC69" i="49"/>
  <c r="AC71" i="49" s="1"/>
  <c r="AC503" i="49"/>
  <c r="J85" i="49"/>
  <c r="J472" i="49"/>
  <c r="O229" i="49"/>
  <c r="T94" i="49"/>
  <c r="AY85" i="49"/>
  <c r="AY472" i="49"/>
  <c r="O80" i="94"/>
  <c r="O71" i="94"/>
  <c r="P72" i="94" s="1"/>
  <c r="AG85" i="49"/>
  <c r="AG472" i="49"/>
  <c r="L141" i="49"/>
  <c r="M41" i="94"/>
  <c r="P77" i="49"/>
  <c r="P162" i="49"/>
  <c r="I234" i="49"/>
  <c r="AE100" i="49"/>
  <c r="S530" i="49"/>
  <c r="AJ529" i="49"/>
  <c r="BC523" i="49"/>
  <c r="BC522" i="49"/>
  <c r="BC532" i="49"/>
  <c r="I147" i="110"/>
  <c r="AX523" i="49"/>
  <c r="AX522" i="49"/>
  <c r="AX532" i="49"/>
  <c r="E82" i="94"/>
  <c r="E91" i="94"/>
  <c r="N16" i="72"/>
  <c r="N34" i="72"/>
  <c r="P16" i="72"/>
  <c r="P34" i="72"/>
  <c r="AR283" i="49"/>
  <c r="AR288" i="49"/>
  <c r="AR290" i="49" s="1"/>
  <c r="AA11" i="94"/>
  <c r="D29" i="49"/>
  <c r="L22" i="49"/>
  <c r="BG16" i="49"/>
  <c r="D46" i="49"/>
  <c r="D47" i="49"/>
  <c r="D48" i="49"/>
  <c r="D45" i="49"/>
  <c r="D275" i="49"/>
  <c r="L277" i="49" s="1"/>
  <c r="H287" i="49"/>
  <c r="D476" i="49"/>
  <c r="D496" i="49"/>
  <c r="D481" i="49"/>
  <c r="D485" i="49"/>
  <c r="L52" i="72"/>
  <c r="L55" i="72" s="1"/>
  <c r="I17" i="94"/>
  <c r="AH53" i="49"/>
  <c r="AH506" i="49" s="1"/>
  <c r="AH51" i="49"/>
  <c r="AH504" i="49" s="1"/>
  <c r="AH52" i="49"/>
  <c r="AH505" i="49" s="1"/>
  <c r="AH58" i="49"/>
  <c r="AH69" i="49"/>
  <c r="AH71" i="49" s="1"/>
  <c r="AH73" i="49" s="1"/>
  <c r="AH503" i="49"/>
  <c r="K15" i="94"/>
  <c r="K16" i="94" s="1"/>
  <c r="K14" i="94"/>
  <c r="N14" i="94"/>
  <c r="U33" i="72"/>
  <c r="U32" i="72"/>
  <c r="X39" i="49"/>
  <c r="X36" i="49"/>
  <c r="Z36" i="49"/>
  <c r="Z39" i="49"/>
  <c r="R42" i="49"/>
  <c r="R48" i="49"/>
  <c r="M11" i="68"/>
  <c r="U22" i="49"/>
  <c r="U23" i="49"/>
  <c r="U17" i="49"/>
  <c r="M12" i="68" s="1"/>
  <c r="M29" i="68" s="1"/>
  <c r="U18" i="49"/>
  <c r="U20" i="49" s="1"/>
  <c r="Y17" i="49"/>
  <c r="U45" i="49"/>
  <c r="U29" i="49"/>
  <c r="U46" i="49"/>
  <c r="U496" i="49"/>
  <c r="V496" i="49" s="1"/>
  <c r="U289" i="49"/>
  <c r="U288" i="49" s="1"/>
  <c r="U290" i="49" s="1"/>
  <c r="U291" i="49" s="1"/>
  <c r="U275" i="49"/>
  <c r="Y287" i="49"/>
  <c r="Y288" i="49" s="1"/>
  <c r="Y290" i="49" s="1"/>
  <c r="Y291" i="49" s="1"/>
  <c r="U476" i="49"/>
  <c r="U485" i="49"/>
  <c r="U481" i="49"/>
  <c r="S42" i="94"/>
  <c r="J30" i="49"/>
  <c r="AS85" i="49"/>
  <c r="AS472" i="49"/>
  <c r="BO87" i="49"/>
  <c r="AR85" i="49"/>
  <c r="AR472" i="49"/>
  <c r="G42" i="94"/>
  <c r="Q167" i="49"/>
  <c r="AZ100" i="49"/>
  <c r="BG99" i="49"/>
  <c r="F66" i="94"/>
  <c r="F71" i="94"/>
  <c r="F80" i="94"/>
  <c r="K141" i="49"/>
  <c r="L463" i="49"/>
  <c r="G221" i="49"/>
  <c r="AG514" i="49"/>
  <c r="AI523" i="49"/>
  <c r="AI532" i="49"/>
  <c r="AI522" i="49"/>
  <c r="AZ523" i="49"/>
  <c r="AZ532" i="49"/>
  <c r="AZ522" i="49"/>
  <c r="S14" i="94"/>
  <c r="O48" i="49"/>
  <c r="O42" i="49"/>
  <c r="K28" i="111"/>
  <c r="L66" i="111"/>
  <c r="D41" i="94"/>
  <c r="E71" i="94"/>
  <c r="E80" i="94"/>
  <c r="P85" i="49"/>
  <c r="P472" i="49"/>
  <c r="M521" i="49"/>
  <c r="Q522" i="49" s="1"/>
  <c r="M514" i="49"/>
  <c r="AZ23" i="49"/>
  <c r="G11" i="68"/>
  <c r="O17" i="49"/>
  <c r="G12" i="68" s="1"/>
  <c r="G29" i="68" s="1"/>
  <c r="O46" i="49"/>
  <c r="O18" i="49"/>
  <c r="O20" i="49" s="1"/>
  <c r="O29" i="49"/>
  <c r="O22" i="49"/>
  <c r="S287" i="49"/>
  <c r="O289" i="49"/>
  <c r="O288" i="49" s="1"/>
  <c r="O290" i="49" s="1"/>
  <c r="O291" i="49" s="1"/>
  <c r="O481" i="49"/>
  <c r="O275" i="49"/>
  <c r="O476" i="49"/>
  <c r="O496" i="49"/>
  <c r="O485" i="49"/>
  <c r="O530" i="49"/>
  <c r="I42" i="49"/>
  <c r="I48" i="49"/>
  <c r="AT48" i="49"/>
  <c r="AT42" i="49"/>
  <c r="AT50" i="49"/>
  <c r="W54" i="72"/>
  <c r="I28" i="68"/>
  <c r="I37" i="68" s="1"/>
  <c r="I19" i="68"/>
  <c r="I20" i="68" s="1"/>
  <c r="I50" i="49"/>
  <c r="U71" i="94"/>
  <c r="U80" i="94"/>
  <c r="S84" i="49"/>
  <c r="S496" i="49"/>
  <c r="BJ495" i="49"/>
  <c r="AL75" i="49"/>
  <c r="AL81" i="49"/>
  <c r="AN85" i="49"/>
  <c r="AN472" i="49"/>
  <c r="BA471" i="49"/>
  <c r="BH466" i="49"/>
  <c r="AV471" i="49"/>
  <c r="S221" i="49"/>
  <c r="R42" i="94"/>
  <c r="D77" i="49"/>
  <c r="M157" i="49"/>
  <c r="M168" i="49"/>
  <c r="M163" i="49"/>
  <c r="G232" i="49"/>
  <c r="I85" i="49"/>
  <c r="I472" i="49"/>
  <c r="AW157" i="49"/>
  <c r="AW156" i="49"/>
  <c r="AW186" i="49" s="1"/>
  <c r="AX250" i="49" s="1"/>
  <c r="T71" i="94"/>
  <c r="T72" i="94" s="1"/>
  <c r="T80" i="94"/>
  <c r="I166" i="49"/>
  <c r="I161" i="49"/>
  <c r="BB234" i="49"/>
  <c r="O233" i="49"/>
  <c r="F523" i="49"/>
  <c r="F532" i="49"/>
  <c r="G534" i="49" s="1"/>
  <c r="I138" i="110"/>
  <c r="I13" i="110"/>
  <c r="AD16" i="72"/>
  <c r="AD34" i="72"/>
  <c r="I18" i="49"/>
  <c r="I20" i="49" s="1"/>
  <c r="N32" i="72"/>
  <c r="N33" i="72"/>
  <c r="Q33" i="72"/>
  <c r="Q32" i="72"/>
  <c r="AD48" i="49"/>
  <c r="AD42" i="49"/>
  <c r="AD50" i="49"/>
  <c r="T19" i="94"/>
  <c r="T34" i="94"/>
  <c r="T36" i="94" s="1"/>
  <c r="T38" i="94" s="1"/>
  <c r="T24" i="94"/>
  <c r="AC31" i="72"/>
  <c r="AD32" i="72" s="1"/>
  <c r="Z13" i="94"/>
  <c r="AY30" i="49"/>
  <c r="AZ30" i="49"/>
  <c r="AY31" i="49"/>
  <c r="AY50" i="49"/>
  <c r="AY477" i="49"/>
  <c r="D94" i="49"/>
  <c r="D385" i="49"/>
  <c r="E383" i="49" s="1"/>
  <c r="E385" i="49" s="1"/>
  <c r="F383" i="49" s="1"/>
  <c r="F385" i="49" s="1"/>
  <c r="G383" i="49" s="1"/>
  <c r="G385" i="49" s="1"/>
  <c r="BG381" i="49"/>
  <c r="AL85" i="49"/>
  <c r="AL472" i="49"/>
  <c r="AT85" i="49"/>
  <c r="AT472" i="49"/>
  <c r="I42" i="94"/>
  <c r="BA161" i="49"/>
  <c r="AG523" i="49"/>
  <c r="AG522" i="49"/>
  <c r="AG532" i="49"/>
  <c r="H34" i="72"/>
  <c r="H16" i="72"/>
  <c r="T23" i="49"/>
  <c r="V33" i="72"/>
  <c r="V32" i="72"/>
  <c r="X50" i="49"/>
  <c r="X30" i="49"/>
  <c r="X477" i="49"/>
  <c r="Z50" i="49"/>
  <c r="Z477" i="49"/>
  <c r="BE41" i="49"/>
  <c r="BD41" i="49"/>
  <c r="U11" i="94"/>
  <c r="V16" i="72"/>
  <c r="V34" i="72"/>
  <c r="F11" i="94"/>
  <c r="AF15" i="72"/>
  <c r="Q11" i="68"/>
  <c r="AC10" i="94"/>
  <c r="BB17" i="49"/>
  <c r="Q12" i="68" s="1"/>
  <c r="Q29" i="68" s="1"/>
  <c r="BB23" i="49"/>
  <c r="BB29" i="49"/>
  <c r="BB22" i="49"/>
  <c r="BB25" i="49"/>
  <c r="BI16" i="49"/>
  <c r="BB26" i="49"/>
  <c r="BB47" i="49"/>
  <c r="BB24" i="49"/>
  <c r="BB48" i="49"/>
  <c r="BB45" i="49"/>
  <c r="BB46" i="49"/>
  <c r="BB76" i="49"/>
  <c r="BB289" i="49"/>
  <c r="BB288" i="49" s="1"/>
  <c r="BB290" i="49" s="1"/>
  <c r="BB291" i="49" s="1"/>
  <c r="BC287" i="49"/>
  <c r="BB496" i="49"/>
  <c r="BB476" i="49"/>
  <c r="BB481" i="49"/>
  <c r="BB485" i="49"/>
  <c r="AC8" i="95" s="1"/>
  <c r="BB530" i="49"/>
  <c r="BB477" i="49"/>
  <c r="BB546" i="49"/>
  <c r="Y39" i="49"/>
  <c r="Y36" i="49"/>
  <c r="T17" i="49"/>
  <c r="L12" i="68" s="1"/>
  <c r="L29" i="68" s="1"/>
  <c r="AA46" i="49"/>
  <c r="Z34" i="49"/>
  <c r="Z40" i="49" s="1"/>
  <c r="L48" i="49"/>
  <c r="L50" i="49"/>
  <c r="L42" i="49"/>
  <c r="R11" i="94"/>
  <c r="Z283" i="49"/>
  <c r="Z282" i="49" s="1"/>
  <c r="R45" i="49"/>
  <c r="P48" i="49"/>
  <c r="S42" i="49"/>
  <c r="E31" i="49"/>
  <c r="E50" i="49"/>
  <c r="E477" i="49"/>
  <c r="K42" i="94"/>
  <c r="L94" i="49"/>
  <c r="BI381" i="49"/>
  <c r="Q41" i="94"/>
  <c r="R41" i="94"/>
  <c r="M72" i="94"/>
  <c r="AR94" i="49"/>
  <c r="AR385" i="49"/>
  <c r="N80" i="94"/>
  <c r="N71" i="94"/>
  <c r="V94" i="49"/>
  <c r="L234" i="49"/>
  <c r="BB77" i="49"/>
  <c r="F85" i="49"/>
  <c r="F472" i="49"/>
  <c r="BC76" i="49"/>
  <c r="AP100" i="49"/>
  <c r="H166" i="49"/>
  <c r="H161" i="49"/>
  <c r="H157" i="49"/>
  <c r="AZ222" i="49"/>
  <c r="AZ226" i="49"/>
  <c r="AZ228" i="49"/>
  <c r="AZ230" i="49"/>
  <c r="AZ232" i="49"/>
  <c r="AZ225" i="49"/>
  <c r="AZ227" i="49"/>
  <c r="AZ229" i="49"/>
  <c r="AZ231" i="49"/>
  <c r="AZ233" i="49"/>
  <c r="AZ250" i="49"/>
  <c r="BA250" i="49"/>
  <c r="AZ221" i="49"/>
  <c r="AZ202" i="49"/>
  <c r="AZ223" i="49"/>
  <c r="AZ156" i="49"/>
  <c r="V519" i="49"/>
  <c r="V521" i="49"/>
  <c r="AR534" i="49"/>
  <c r="AQ533" i="49"/>
  <c r="AW522" i="49"/>
  <c r="AW532" i="49"/>
  <c r="AW523" i="49"/>
  <c r="E16" i="111"/>
  <c r="E17" i="111" s="1"/>
  <c r="E18" i="111" s="1"/>
  <c r="E155" i="111"/>
  <c r="E173" i="111"/>
  <c r="F82" i="94"/>
  <c r="X16" i="72"/>
  <c r="X34" i="72"/>
  <c r="I34" i="72"/>
  <c r="I16" i="72"/>
  <c r="I99" i="72" s="1"/>
  <c r="F11" i="68"/>
  <c r="N17" i="49"/>
  <c r="F12" i="68" s="1"/>
  <c r="F29" i="68" s="1"/>
  <c r="N18" i="49"/>
  <c r="N20" i="49" s="1"/>
  <c r="Z23" i="49"/>
  <c r="N47" i="49"/>
  <c r="N29" i="49"/>
  <c r="N22" i="49"/>
  <c r="N289" i="49"/>
  <c r="N288" i="49" s="1"/>
  <c r="N290" i="49" s="1"/>
  <c r="N291" i="49" s="1"/>
  <c r="R287" i="49"/>
  <c r="N275" i="49"/>
  <c r="N496" i="49"/>
  <c r="N476" i="49"/>
  <c r="N472" i="49" s="1"/>
  <c r="N477" i="49"/>
  <c r="N481" i="49"/>
  <c r="N485" i="49"/>
  <c r="N530" i="49"/>
  <c r="T30" i="49"/>
  <c r="T31" i="49"/>
  <c r="T50" i="49"/>
  <c r="T477" i="49"/>
  <c r="U34" i="72"/>
  <c r="U55" i="72"/>
  <c r="U16" i="72"/>
  <c r="E14" i="94"/>
  <c r="AB15" i="72"/>
  <c r="Y10" i="94"/>
  <c r="Y11" i="94" s="1"/>
  <c r="AX23" i="49"/>
  <c r="AX22" i="49"/>
  <c r="AX25" i="49"/>
  <c r="AX26" i="49"/>
  <c r="AX47" i="49"/>
  <c r="AX24" i="49"/>
  <c r="AX29" i="49"/>
  <c r="AZ22" i="49"/>
  <c r="AX45" i="49"/>
  <c r="AX46" i="49"/>
  <c r="AX17" i="49"/>
  <c r="D13" i="110" s="1"/>
  <c r="AY287" i="49"/>
  <c r="AY288" i="49" s="1"/>
  <c r="AY290" i="49" s="1"/>
  <c r="AY291" i="49" s="1"/>
  <c r="AX289" i="49"/>
  <c r="AX288" i="49" s="1"/>
  <c r="AX290" i="49" s="1"/>
  <c r="AX291" i="49" s="1"/>
  <c r="AX496" i="49"/>
  <c r="AX481" i="49"/>
  <c r="AX485" i="49"/>
  <c r="Y8" i="95" s="1"/>
  <c r="AX530" i="49"/>
  <c r="AX476" i="49"/>
  <c r="AX546" i="49"/>
  <c r="W11" i="94"/>
  <c r="J11" i="94"/>
  <c r="BC45" i="49"/>
  <c r="I30" i="49"/>
  <c r="H42" i="94"/>
  <c r="AW76" i="49"/>
  <c r="AX94" i="49"/>
  <c r="Y60" i="94" s="1"/>
  <c r="AX385" i="49"/>
  <c r="BA76" i="49"/>
  <c r="K66" i="94"/>
  <c r="K71" i="94"/>
  <c r="K80" i="94"/>
  <c r="M66" i="94"/>
  <c r="M80" i="94"/>
  <c r="M71" i="94"/>
  <c r="AD71" i="94"/>
  <c r="AD80" i="94"/>
  <c r="AO100" i="49"/>
  <c r="O228" i="49"/>
  <c r="M141" i="49"/>
  <c r="S222" i="49"/>
  <c r="AW141" i="49"/>
  <c r="S240" i="49"/>
  <c r="AH100" i="49"/>
  <c r="G224" i="49"/>
  <c r="G208" i="49"/>
  <c r="H208" i="49"/>
  <c r="AZ320" i="49"/>
  <c r="AZ322" i="49" s="1"/>
  <c r="BG316" i="49"/>
  <c r="P532" i="49"/>
  <c r="P523" i="49"/>
  <c r="P522" i="49"/>
  <c r="T522" i="49"/>
  <c r="T523" i="49"/>
  <c r="T532" i="49"/>
  <c r="I62" i="111"/>
  <c r="H116" i="111"/>
  <c r="I24" i="111" s="1"/>
  <c r="U530" i="49"/>
  <c r="M67" i="111"/>
  <c r="L29" i="111"/>
  <c r="F102" i="94"/>
  <c r="L28" i="68"/>
  <c r="L37" i="68" s="1"/>
  <c r="L19" i="68"/>
  <c r="J42" i="49"/>
  <c r="J48" i="49"/>
  <c r="H33" i="72"/>
  <c r="H32" i="72"/>
  <c r="Z16" i="72"/>
  <c r="Z34" i="72"/>
  <c r="Z11" i="94"/>
  <c r="J11" i="68"/>
  <c r="R17" i="49"/>
  <c r="J12" i="68" s="1"/>
  <c r="J29" i="68" s="1"/>
  <c r="R22" i="49"/>
  <c r="R18" i="49"/>
  <c r="R20" i="49" s="1"/>
  <c r="R29" i="49"/>
  <c r="R46" i="49"/>
  <c r="R53" i="49"/>
  <c r="R506" i="49" s="1"/>
  <c r="R47" i="49"/>
  <c r="R23" i="49"/>
  <c r="R275" i="49"/>
  <c r="V287" i="49"/>
  <c r="R289" i="49"/>
  <c r="R476" i="49"/>
  <c r="R472" i="49" s="1"/>
  <c r="R496" i="49"/>
  <c r="R481" i="49"/>
  <c r="R485" i="49"/>
  <c r="R477" i="49"/>
  <c r="M34" i="72"/>
  <c r="M16" i="72"/>
  <c r="M99" i="72" s="1"/>
  <c r="L41" i="94"/>
  <c r="AM50" i="49"/>
  <c r="Y52" i="72"/>
  <c r="V17" i="94"/>
  <c r="V15" i="94" s="1"/>
  <c r="V16" i="94" s="1"/>
  <c r="AU69" i="49"/>
  <c r="AU71" i="49" s="1"/>
  <c r="AU52" i="49"/>
  <c r="AU505" i="49" s="1"/>
  <c r="AU58" i="49"/>
  <c r="AU503" i="49"/>
  <c r="AU549" i="49"/>
  <c r="J80" i="94"/>
  <c r="J71" i="94"/>
  <c r="H77" i="49"/>
  <c r="AC71" i="94"/>
  <c r="AC80" i="94"/>
  <c r="O76" i="49"/>
  <c r="P71" i="94"/>
  <c r="Q72" i="94" s="1"/>
  <c r="P80" i="94"/>
  <c r="BB471" i="49"/>
  <c r="BI467" i="49"/>
  <c r="G229" i="49"/>
  <c r="AD42" i="94"/>
  <c r="AM471" i="49"/>
  <c r="T42" i="94"/>
  <c r="N202" i="49"/>
  <c r="N156" i="49"/>
  <c r="R202" i="49"/>
  <c r="R250" i="49"/>
  <c r="N226" i="49"/>
  <c r="N228" i="49"/>
  <c r="N230" i="49"/>
  <c r="N232" i="49"/>
  <c r="N270" i="49"/>
  <c r="N225" i="49"/>
  <c r="N227" i="49"/>
  <c r="N229" i="49"/>
  <c r="N231" i="49"/>
  <c r="N233" i="49"/>
  <c r="N221" i="49"/>
  <c r="N222" i="49"/>
  <c r="N223" i="49"/>
  <c r="N218" i="49"/>
  <c r="N250" i="49"/>
  <c r="G228" i="49"/>
  <c r="H523" i="49"/>
  <c r="H522" i="49"/>
  <c r="H532" i="49"/>
  <c r="I514" i="49"/>
  <c r="E521" i="49"/>
  <c r="AS532" i="49"/>
  <c r="AS522" i="49"/>
  <c r="AS523" i="49"/>
  <c r="J61" i="111"/>
  <c r="I115" i="111"/>
  <c r="P171" i="111"/>
  <c r="P175" i="111" s="1"/>
  <c r="O187" i="111"/>
  <c r="O176" i="111"/>
  <c r="O175" i="111" s="1"/>
  <c r="AY523" i="49"/>
  <c r="AY532" i="49"/>
  <c r="AY522" i="49"/>
  <c r="P96" i="111"/>
  <c r="P123" i="111" s="1"/>
  <c r="Q31" i="111" s="1"/>
  <c r="AA34" i="94"/>
  <c r="AA36" i="94" s="1"/>
  <c r="AA38" i="94" s="1"/>
  <c r="AA19" i="94"/>
  <c r="AA24" i="94"/>
  <c r="Z80" i="94"/>
  <c r="Z71" i="94"/>
  <c r="AA72" i="94" s="1"/>
  <c r="S77" i="49"/>
  <c r="P94" i="49"/>
  <c r="BJ381" i="49"/>
  <c r="L85" i="49"/>
  <c r="L472" i="49"/>
  <c r="K85" i="49"/>
  <c r="K472" i="49"/>
  <c r="AD85" i="49"/>
  <c r="AD472" i="49"/>
  <c r="V85" i="49"/>
  <c r="V157" i="49"/>
  <c r="R167" i="49"/>
  <c r="O230" i="49"/>
  <c r="BJ99" i="49"/>
  <c r="U514" i="49"/>
  <c r="U521" i="49"/>
  <c r="AC523" i="49"/>
  <c r="AC532" i="49"/>
  <c r="AC462" i="49"/>
  <c r="AC463" i="49" s="1"/>
  <c r="AP522" i="49"/>
  <c r="AP532" i="49"/>
  <c r="AP523" i="49"/>
  <c r="AD523" i="49"/>
  <c r="AD522" i="49"/>
  <c r="AD532" i="49"/>
  <c r="AZ529" i="49"/>
  <c r="V296" i="49"/>
  <c r="V295" i="49"/>
  <c r="Z295" i="49"/>
  <c r="V487" i="49"/>
  <c r="AG15" i="72"/>
  <c r="R11" i="68"/>
  <c r="AD10" i="94"/>
  <c r="BC25" i="49"/>
  <c r="BJ16" i="49"/>
  <c r="BC17" i="49"/>
  <c r="R12" i="68" s="1"/>
  <c r="R29" i="68" s="1"/>
  <c r="BC26" i="49"/>
  <c r="BC53" i="49"/>
  <c r="BC506" i="49" s="1"/>
  <c r="BC24" i="49"/>
  <c r="BC29" i="49"/>
  <c r="BC22" i="49"/>
  <c r="BC23" i="49"/>
  <c r="BC46" i="49"/>
  <c r="BC289" i="49"/>
  <c r="BD287" i="49"/>
  <c r="BC477" i="49"/>
  <c r="BC496" i="49"/>
  <c r="BC476" i="49"/>
  <c r="BC481" i="49"/>
  <c r="BC485" i="49"/>
  <c r="AD8" i="95" s="1"/>
  <c r="BC546" i="49"/>
  <c r="BC530" i="49"/>
  <c r="BD14" i="49"/>
  <c r="AH13" i="72" s="1"/>
  <c r="Y16" i="72"/>
  <c r="Y34" i="72"/>
  <c r="K52" i="72"/>
  <c r="H17" i="94"/>
  <c r="AG58" i="49"/>
  <c r="AG69" i="49"/>
  <c r="AG71" i="49" s="1"/>
  <c r="AG73" i="49" s="1"/>
  <c r="AG52" i="49"/>
  <c r="AG505" i="49" s="1"/>
  <c r="AG503" i="49"/>
  <c r="L14" i="94"/>
  <c r="K42" i="49"/>
  <c r="K48" i="49"/>
  <c r="M30" i="49"/>
  <c r="M50" i="49"/>
  <c r="M31" i="49"/>
  <c r="M477" i="49"/>
  <c r="U14" i="94"/>
  <c r="J31" i="72"/>
  <c r="G13" i="94"/>
  <c r="AF31" i="49"/>
  <c r="AF30" i="49"/>
  <c r="AG30" i="49"/>
  <c r="AF50" i="49"/>
  <c r="AG51" i="49" s="1"/>
  <c r="AG504" i="49" s="1"/>
  <c r="AF477" i="49"/>
  <c r="V14" i="94"/>
  <c r="AD54" i="72"/>
  <c r="V16" i="49"/>
  <c r="V48" i="49" s="1"/>
  <c r="AT94" i="49"/>
  <c r="AT385" i="49"/>
  <c r="I71" i="94"/>
  <c r="I80" i="94"/>
  <c r="W42" i="94"/>
  <c r="M42" i="94"/>
  <c r="H41" i="94"/>
  <c r="AQ73" i="49"/>
  <c r="AQ100" i="49"/>
  <c r="I41" i="94"/>
  <c r="P76" i="49"/>
  <c r="AE471" i="49"/>
  <c r="AI85" i="49"/>
  <c r="AI472" i="49"/>
  <c r="H234" i="49"/>
  <c r="U471" i="49"/>
  <c r="G230" i="49"/>
  <c r="AX223" i="49"/>
  <c r="AX227" i="49"/>
  <c r="AY250" i="49"/>
  <c r="AX228" i="49"/>
  <c r="AX229" i="49"/>
  <c r="AX230" i="49"/>
  <c r="AX231" i="49"/>
  <c r="AX221" i="49"/>
  <c r="AX232" i="49"/>
  <c r="AX202" i="49"/>
  <c r="AX222" i="49"/>
  <c r="AX233" i="49"/>
  <c r="AY202" i="49"/>
  <c r="AX156" i="49"/>
  <c r="AX224" i="49"/>
  <c r="AX225" i="49"/>
  <c r="AX226" i="49"/>
  <c r="O231" i="49"/>
  <c r="AJ523" i="49"/>
  <c r="AJ532" i="49"/>
  <c r="AJ522" i="49"/>
  <c r="AR532" i="49"/>
  <c r="AR522" i="49"/>
  <c r="AR523" i="49"/>
  <c r="AF540" i="49"/>
  <c r="AF541" i="49" s="1"/>
  <c r="AE542" i="49"/>
  <c r="BB161" i="49"/>
  <c r="AU523" i="49"/>
  <c r="AU522" i="49"/>
  <c r="AU532" i="49"/>
  <c r="R519" i="49"/>
  <c r="M18" i="111"/>
  <c r="M68" i="111"/>
  <c r="E22" i="111"/>
  <c r="F60" i="111"/>
  <c r="E29" i="110"/>
  <c r="E25" i="110" s="1"/>
  <c r="F29" i="110"/>
  <c r="F30" i="110" s="1"/>
  <c r="F25" i="110"/>
  <c r="D26" i="110"/>
  <c r="E31" i="110"/>
  <c r="F31" i="110"/>
  <c r="I32" i="110"/>
  <c r="H77" i="94"/>
  <c r="H103" i="94"/>
  <c r="H107" i="94"/>
  <c r="AV14" i="64"/>
  <c r="J34" i="110"/>
  <c r="K34" i="110"/>
  <c r="L34" i="110"/>
  <c r="AV17" i="64" l="1"/>
  <c r="AV15" i="64"/>
  <c r="AV18" i="64" s="1"/>
  <c r="W118" i="94"/>
  <c r="W119" i="94" s="1"/>
  <c r="AV294" i="49"/>
  <c r="H108" i="94"/>
  <c r="G111" i="94"/>
  <c r="E112" i="94"/>
  <c r="H104" i="94"/>
  <c r="H79" i="94"/>
  <c r="H101" i="94"/>
  <c r="H102" i="94" s="1"/>
  <c r="E33" i="110"/>
  <c r="E27" i="110"/>
  <c r="AD41" i="72"/>
  <c r="AD42" i="72"/>
  <c r="F26" i="110"/>
  <c r="AV281" i="49"/>
  <c r="AU282" i="49"/>
  <c r="AU284" i="49" s="1"/>
  <c r="AU19" i="49" s="1"/>
  <c r="V12" i="94" s="1"/>
  <c r="V156" i="49"/>
  <c r="V72" i="94"/>
  <c r="D31" i="49"/>
  <c r="D50" i="49"/>
  <c r="BG29" i="49"/>
  <c r="AT278" i="49"/>
  <c r="AT276" i="49"/>
  <c r="AT277" i="49"/>
  <c r="AF522" i="49"/>
  <c r="AF523" i="49"/>
  <c r="AF532" i="49"/>
  <c r="AG75" i="49"/>
  <c r="O276" i="49"/>
  <c r="O277" i="49"/>
  <c r="U276" i="49"/>
  <c r="U278" i="49"/>
  <c r="U277" i="49"/>
  <c r="Z48" i="49"/>
  <c r="Z42" i="49"/>
  <c r="I19" i="94"/>
  <c r="I18" i="94"/>
  <c r="I34" i="94"/>
  <c r="I36" i="94" s="1"/>
  <c r="I24" i="94"/>
  <c r="AA31" i="72"/>
  <c r="AB34" i="72" s="1"/>
  <c r="X13" i="94"/>
  <c r="AW50" i="49"/>
  <c r="AW30" i="49"/>
  <c r="AW31" i="49"/>
  <c r="T41" i="72"/>
  <c r="T42" i="72"/>
  <c r="K40" i="94"/>
  <c r="F32" i="110"/>
  <c r="M30" i="111"/>
  <c r="N68" i="111"/>
  <c r="AG59" i="49"/>
  <c r="AG60" i="49" s="1"/>
  <c r="AG62" i="49" s="1"/>
  <c r="AG64" i="49" s="1"/>
  <c r="AC16" i="72"/>
  <c r="U522" i="49"/>
  <c r="U532" i="49"/>
  <c r="U523" i="49"/>
  <c r="N161" i="49"/>
  <c r="N166" i="49"/>
  <c r="R161" i="49"/>
  <c r="N157" i="49"/>
  <c r="G14" i="94"/>
  <c r="BC288" i="49"/>
  <c r="BC290" i="49" s="1"/>
  <c r="BC291" i="49" s="1"/>
  <c r="AC34" i="72"/>
  <c r="Q534" i="49"/>
  <c r="P533" i="49"/>
  <c r="P534" i="49"/>
  <c r="V49" i="72"/>
  <c r="V50" i="72"/>
  <c r="H383" i="49"/>
  <c r="H385" i="49" s="1"/>
  <c r="I383" i="49" s="1"/>
  <c r="I385" i="49" s="1"/>
  <c r="J383" i="49" s="1"/>
  <c r="J385" i="49" s="1"/>
  <c r="K383" i="49" s="1"/>
  <c r="K385" i="49" s="1"/>
  <c r="BG385" i="49"/>
  <c r="Q41" i="72"/>
  <c r="Q42" i="72"/>
  <c r="F72" i="94"/>
  <c r="V495" i="49"/>
  <c r="W496" i="49"/>
  <c r="X42" i="49"/>
  <c r="X48" i="49"/>
  <c r="AR282" i="49"/>
  <c r="AR284" i="49" s="1"/>
  <c r="AR19" i="49" s="1"/>
  <c r="S12" i="94" s="1"/>
  <c r="AS281" i="49"/>
  <c r="AS282" i="49" s="1"/>
  <c r="AS284" i="49" s="1"/>
  <c r="AY534" i="49"/>
  <c r="AX533" i="49"/>
  <c r="AC60" i="49"/>
  <c r="AC62" i="49" s="1"/>
  <c r="AC64" i="49" s="1"/>
  <c r="AC59" i="49"/>
  <c r="AT19" i="49"/>
  <c r="U12" i="94" s="1"/>
  <c r="AT291" i="49"/>
  <c r="M32" i="72"/>
  <c r="M33" i="72"/>
  <c r="BC85" i="49"/>
  <c r="BC472" i="49"/>
  <c r="BJ471" i="49"/>
  <c r="K534" i="49"/>
  <c r="J533" i="49"/>
  <c r="O49" i="72"/>
  <c r="O50" i="72"/>
  <c r="AP60" i="49"/>
  <c r="AP62" i="49" s="1"/>
  <c r="AP64" i="49" s="1"/>
  <c r="AP59" i="49"/>
  <c r="AL281" i="49"/>
  <c r="AL282" i="49" s="1"/>
  <c r="AL284" i="49" s="1"/>
  <c r="AL19" i="49" s="1"/>
  <c r="M12" i="94" s="1"/>
  <c r="I15" i="94"/>
  <c r="I16" i="94" s="1"/>
  <c r="Y41" i="72"/>
  <c r="Y42" i="72"/>
  <c r="R456" i="49"/>
  <c r="R459" i="49"/>
  <c r="R460" i="49"/>
  <c r="K93" i="111"/>
  <c r="K120" i="111" s="1"/>
  <c r="L28" i="111" s="1"/>
  <c r="F85" i="94"/>
  <c r="AB42" i="94"/>
  <c r="E87" i="111"/>
  <c r="E114" i="111" s="1"/>
  <c r="F22" i="111" s="1"/>
  <c r="F47" i="111" s="1"/>
  <c r="F87" i="111"/>
  <c r="F114" i="111" s="1"/>
  <c r="G22" i="111" s="1"/>
  <c r="E47" i="111"/>
  <c r="AY533" i="49"/>
  <c r="AZ534" i="49"/>
  <c r="AZ536" i="49" s="1"/>
  <c r="AA7" i="95" s="1"/>
  <c r="Y54" i="72"/>
  <c r="Y53" i="72"/>
  <c r="AB31" i="72"/>
  <c r="Y13" i="94"/>
  <c r="AX30" i="49"/>
  <c r="D20" i="110" s="1"/>
  <c r="AX31" i="49"/>
  <c r="AX50" i="49"/>
  <c r="AY53" i="49" s="1"/>
  <c r="AY506" i="49" s="1"/>
  <c r="D19" i="110"/>
  <c r="T460" i="49"/>
  <c r="D14" i="68"/>
  <c r="L52" i="49"/>
  <c r="L505" i="49" s="1"/>
  <c r="L69" i="49"/>
  <c r="L71" i="49" s="1"/>
  <c r="L51" i="49"/>
  <c r="L58" i="49"/>
  <c r="L503" i="49"/>
  <c r="Q28" i="68"/>
  <c r="Q37" i="68"/>
  <c r="X51" i="49"/>
  <c r="X504" i="49" s="1"/>
  <c r="X52" i="49"/>
  <c r="X505" i="49" s="1"/>
  <c r="X53" i="49"/>
  <c r="X506" i="49" s="1"/>
  <c r="X69" i="49"/>
  <c r="X503" i="49"/>
  <c r="AL86" i="49"/>
  <c r="M52" i="94"/>
  <c r="S234" i="49"/>
  <c r="J32" i="72"/>
  <c r="J33" i="72"/>
  <c r="H34" i="94"/>
  <c r="H36" i="94" s="1"/>
  <c r="H19" i="94"/>
  <c r="H24" i="94"/>
  <c r="AB41" i="94"/>
  <c r="AX477" i="49"/>
  <c r="Q49" i="72"/>
  <c r="Q50" i="72"/>
  <c r="T66" i="94"/>
  <c r="BA85" i="49"/>
  <c r="BA472" i="49"/>
  <c r="BH471" i="49"/>
  <c r="AW477" i="49"/>
  <c r="AM533" i="49"/>
  <c r="AN534" i="49"/>
  <c r="AM534" i="49"/>
  <c r="O14" i="94"/>
  <c r="Y50" i="72"/>
  <c r="Y49" i="72"/>
  <c r="P459" i="49"/>
  <c r="P460" i="49"/>
  <c r="P456" i="49"/>
  <c r="AO75" i="49"/>
  <c r="N11" i="68"/>
  <c r="V22" i="49"/>
  <c r="V17" i="49"/>
  <c r="N12" i="68" s="1"/>
  <c r="V18" i="49"/>
  <c r="V20" i="49" s="1"/>
  <c r="V23" i="49"/>
  <c r="V29" i="49"/>
  <c r="V46" i="49"/>
  <c r="V47" i="49"/>
  <c r="V477" i="49"/>
  <c r="V476" i="49"/>
  <c r="V76" i="49"/>
  <c r="V289" i="49"/>
  <c r="V288" i="49" s="1"/>
  <c r="V290" i="49" s="1"/>
  <c r="V291" i="49" s="1"/>
  <c r="V275" i="49"/>
  <c r="Z287" i="49"/>
  <c r="Z288" i="49" s="1"/>
  <c r="Z290" i="49" s="1"/>
  <c r="V481" i="49"/>
  <c r="V485" i="49"/>
  <c r="V530" i="49"/>
  <c r="W530" i="49" s="1"/>
  <c r="X530" i="49" s="1"/>
  <c r="Z17" i="49"/>
  <c r="V77" i="49"/>
  <c r="V45" i="49"/>
  <c r="N458" i="49"/>
  <c r="N457" i="49"/>
  <c r="AC11" i="94"/>
  <c r="AC41" i="94"/>
  <c r="O457" i="49"/>
  <c r="O472" i="49"/>
  <c r="O458" i="49"/>
  <c r="K54" i="72"/>
  <c r="N234" i="49"/>
  <c r="AM85" i="49"/>
  <c r="AM472" i="49"/>
  <c r="R30" i="49"/>
  <c r="R31" i="49"/>
  <c r="R50" i="49"/>
  <c r="AX458" i="49"/>
  <c r="F28" i="68"/>
  <c r="F19" i="68"/>
  <c r="F37" i="68"/>
  <c r="H99" i="72"/>
  <c r="AY460" i="49"/>
  <c r="N49" i="72"/>
  <c r="N50" i="72"/>
  <c r="AJ534" i="49"/>
  <c r="AJ536" i="49" s="1"/>
  <c r="K7" i="95" s="1"/>
  <c r="AI533" i="49"/>
  <c r="U41" i="72"/>
  <c r="U42" i="72"/>
  <c r="D477" i="49"/>
  <c r="P99" i="72"/>
  <c r="P24" i="72"/>
  <c r="P25" i="72"/>
  <c r="D18" i="94"/>
  <c r="D34" i="94"/>
  <c r="D36" i="94" s="1"/>
  <c r="D19" i="94"/>
  <c r="D24" i="94"/>
  <c r="F456" i="49"/>
  <c r="F462" i="49" s="1"/>
  <c r="F459" i="49"/>
  <c r="F460" i="49"/>
  <c r="X11" i="94"/>
  <c r="X42" i="94"/>
  <c r="X41" i="94"/>
  <c r="Q24" i="72"/>
  <c r="Q99" i="72"/>
  <c r="Q25" i="72"/>
  <c r="AN46" i="94"/>
  <c r="AK46" i="94"/>
  <c r="AL46" i="94"/>
  <c r="AM46" i="94"/>
  <c r="BA458" i="49"/>
  <c r="BH476" i="49"/>
  <c r="Y42" i="94"/>
  <c r="R33" i="72"/>
  <c r="R32" i="72"/>
  <c r="V60" i="94"/>
  <c r="AU96" i="49"/>
  <c r="H31" i="49"/>
  <c r="H30" i="49"/>
  <c r="H50" i="49"/>
  <c r="L30" i="49"/>
  <c r="AO59" i="49"/>
  <c r="J28" i="68"/>
  <c r="N29" i="68" s="1"/>
  <c r="J19" i="68"/>
  <c r="J37" i="68"/>
  <c r="AQ75" i="49"/>
  <c r="AQ81" i="49"/>
  <c r="AQ74" i="49"/>
  <c r="AG16" i="72"/>
  <c r="AG55" i="72"/>
  <c r="AG34" i="72"/>
  <c r="R276" i="49"/>
  <c r="R278" i="49"/>
  <c r="R277" i="49"/>
  <c r="W50" i="72"/>
  <c r="W49" i="72"/>
  <c r="T49" i="72"/>
  <c r="T50" i="72"/>
  <c r="AU533" i="49"/>
  <c r="AU534" i="49"/>
  <c r="F27" i="110"/>
  <c r="AX161" i="49"/>
  <c r="AY161" i="49"/>
  <c r="AX157" i="49"/>
  <c r="J23" i="111"/>
  <c r="K72" i="94"/>
  <c r="E456" i="49"/>
  <c r="E462" i="49" s="1"/>
  <c r="E463" i="49" s="1"/>
  <c r="E459" i="49"/>
  <c r="E460" i="49"/>
  <c r="Y48" i="49"/>
  <c r="Y50" i="49"/>
  <c r="Y42" i="49"/>
  <c r="V24" i="72"/>
  <c r="V25" i="72"/>
  <c r="V99" i="72"/>
  <c r="AC52" i="72"/>
  <c r="Z17" i="94"/>
  <c r="AY51" i="49"/>
  <c r="AY504" i="49" s="1"/>
  <c r="AY69" i="49"/>
  <c r="AY71" i="49" s="1"/>
  <c r="AY52" i="49"/>
  <c r="AY505" i="49" s="1"/>
  <c r="AY58" i="49"/>
  <c r="AY549" i="49"/>
  <c r="AY503" i="49"/>
  <c r="AY536" i="49" s="1"/>
  <c r="Z7" i="95" s="1"/>
  <c r="AZ51" i="49"/>
  <c r="AZ504" i="49" s="1"/>
  <c r="AZ53" i="49"/>
  <c r="AZ506" i="49" s="1"/>
  <c r="W71" i="72"/>
  <c r="W70" i="72"/>
  <c r="Q96" i="111"/>
  <c r="Q123" i="111" s="1"/>
  <c r="R31" i="111" s="1"/>
  <c r="U30" i="49"/>
  <c r="Y30" i="49"/>
  <c r="U50" i="49"/>
  <c r="U31" i="49"/>
  <c r="U50" i="72"/>
  <c r="U49" i="72"/>
  <c r="I148" i="110"/>
  <c r="K148" i="110" s="1"/>
  <c r="L148" i="110" s="1"/>
  <c r="M148" i="110" s="1"/>
  <c r="N148" i="110" s="1"/>
  <c r="O148" i="110" s="1"/>
  <c r="P148" i="110" s="1"/>
  <c r="Q148" i="110" s="1"/>
  <c r="R148" i="110" s="1"/>
  <c r="S148" i="110" s="1"/>
  <c r="T148" i="110" s="1"/>
  <c r="F52" i="49"/>
  <c r="F505" i="49" s="1"/>
  <c r="F58" i="49"/>
  <c r="F69" i="49"/>
  <c r="F71" i="49" s="1"/>
  <c r="F503" i="49"/>
  <c r="S271" i="49"/>
  <c r="S273" i="49"/>
  <c r="S272" i="49"/>
  <c r="S30" i="49"/>
  <c r="S50" i="49"/>
  <c r="S31" i="49"/>
  <c r="T162" i="49"/>
  <c r="AA16" i="72"/>
  <c r="AN522" i="49"/>
  <c r="AN523" i="49"/>
  <c r="AN532" i="49"/>
  <c r="R534" i="49"/>
  <c r="Q19" i="94"/>
  <c r="Q34" i="94"/>
  <c r="Q36" i="94" s="1"/>
  <c r="Q24" i="94"/>
  <c r="Q18" i="94"/>
  <c r="O99" i="72"/>
  <c r="O24" i="72"/>
  <c r="O25" i="72"/>
  <c r="K50" i="49"/>
  <c r="K31" i="49"/>
  <c r="K30" i="49"/>
  <c r="H90" i="111"/>
  <c r="H117" i="111" s="1"/>
  <c r="I25" i="111" s="1"/>
  <c r="L94" i="111"/>
  <c r="L121" i="111" s="1"/>
  <c r="M29" i="111" s="1"/>
  <c r="N459" i="49"/>
  <c r="N460" i="49"/>
  <c r="N456" i="49"/>
  <c r="AH534" i="49"/>
  <c r="AG533" i="49"/>
  <c r="AD534" i="49"/>
  <c r="U85" i="49"/>
  <c r="U472" i="49"/>
  <c r="M459" i="49"/>
  <c r="M460" i="49"/>
  <c r="M456" i="49"/>
  <c r="M462" i="49" s="1"/>
  <c r="Y24" i="72"/>
  <c r="Y25" i="72"/>
  <c r="Y99" i="72"/>
  <c r="AG31" i="72"/>
  <c r="AD13" i="94"/>
  <c r="BC31" i="49"/>
  <c r="BC50" i="49"/>
  <c r="BC30" i="49"/>
  <c r="BJ29" i="49"/>
  <c r="I19" i="110"/>
  <c r="K61" i="111"/>
  <c r="AX534" i="49"/>
  <c r="E52" i="49"/>
  <c r="E505" i="49" s="1"/>
  <c r="E58" i="49"/>
  <c r="E69" i="49"/>
  <c r="E71" i="49" s="1"/>
  <c r="E503" i="49"/>
  <c r="AW179" i="49"/>
  <c r="AW178" i="49"/>
  <c r="AW181" i="49"/>
  <c r="AW174" i="49"/>
  <c r="AW182" i="49"/>
  <c r="AW175" i="49"/>
  <c r="AW183" i="49"/>
  <c r="AW173" i="49"/>
  <c r="AW176" i="49"/>
  <c r="AW177" i="49"/>
  <c r="AW180" i="49"/>
  <c r="AW184" i="49"/>
  <c r="AW185" i="49"/>
  <c r="M66" i="111"/>
  <c r="D457" i="49"/>
  <c r="D458" i="49"/>
  <c r="D472" i="49"/>
  <c r="BC533" i="49"/>
  <c r="BC534" i="49"/>
  <c r="AW458" i="49"/>
  <c r="AW6" i="64"/>
  <c r="AW7" i="64" s="1"/>
  <c r="P70" i="72"/>
  <c r="P71" i="72"/>
  <c r="T53" i="72"/>
  <c r="T54" i="72"/>
  <c r="N70" i="72"/>
  <c r="N71" i="72"/>
  <c r="O271" i="49"/>
  <c r="O272" i="49"/>
  <c r="J63" i="111"/>
  <c r="W60" i="94"/>
  <c r="AV96" i="49"/>
  <c r="G82" i="94"/>
  <c r="X52" i="72"/>
  <c r="U17" i="94"/>
  <c r="U72" i="94" s="1"/>
  <c r="AT51" i="49"/>
  <c r="AT504" i="49" s="1"/>
  <c r="AT52" i="49"/>
  <c r="AT505" i="49" s="1"/>
  <c r="AT53" i="49"/>
  <c r="AT506" i="49" s="1"/>
  <c r="AT69" i="49"/>
  <c r="AT71" i="49" s="1"/>
  <c r="AT58" i="49"/>
  <c r="AT503" i="49"/>
  <c r="AT549" i="49"/>
  <c r="O30" i="49"/>
  <c r="O31" i="49"/>
  <c r="O50" i="49"/>
  <c r="G234" i="49"/>
  <c r="G157" i="49"/>
  <c r="G167" i="49" s="1"/>
  <c r="G166" i="49"/>
  <c r="L162" i="49"/>
  <c r="S457" i="49"/>
  <c r="S458" i="49"/>
  <c r="F47" i="94"/>
  <c r="F40" i="94"/>
  <c r="G456" i="49"/>
  <c r="G462" i="49" s="1"/>
  <c r="G463" i="49" s="1"/>
  <c r="G459" i="49"/>
  <c r="G460" i="49"/>
  <c r="S534" i="49"/>
  <c r="O234" i="49"/>
  <c r="V52" i="72"/>
  <c r="S17" i="94"/>
  <c r="AR52" i="49"/>
  <c r="AR505" i="49" s="1"/>
  <c r="AR58" i="49"/>
  <c r="AR51" i="49"/>
  <c r="AR504" i="49" s="1"/>
  <c r="AR69" i="49"/>
  <c r="AR71" i="49" s="1"/>
  <c r="AR503" i="49"/>
  <c r="AR536" i="49" s="1"/>
  <c r="S7" i="95" s="1"/>
  <c r="AS51" i="49"/>
  <c r="AS504" i="49" s="1"/>
  <c r="AS53" i="49"/>
  <c r="AS506" i="49" s="1"/>
  <c r="AR53" i="49"/>
  <c r="AR506" i="49" s="1"/>
  <c r="W99" i="72"/>
  <c r="W24" i="72"/>
  <c r="W25" i="72"/>
  <c r="S69" i="111"/>
  <c r="P34" i="94"/>
  <c r="P36" i="94" s="1"/>
  <c r="P19" i="94"/>
  <c r="P24" i="94"/>
  <c r="Q71" i="111"/>
  <c r="P33" i="111"/>
  <c r="K25" i="94"/>
  <c r="K45" i="94" s="1"/>
  <c r="K47" i="94" s="1"/>
  <c r="AJ80" i="49"/>
  <c r="AJ81" i="49" s="1"/>
  <c r="S54" i="72"/>
  <c r="AA66" i="94"/>
  <c r="K19" i="68"/>
  <c r="K28" i="68"/>
  <c r="O29" i="68" s="1"/>
  <c r="BD118" i="49"/>
  <c r="Q459" i="49"/>
  <c r="Q460" i="49"/>
  <c r="Q456" i="49"/>
  <c r="Q462" i="49" s="1"/>
  <c r="Q463" i="49" s="1"/>
  <c r="AE31" i="72"/>
  <c r="AF34" i="72" s="1"/>
  <c r="AB13" i="94"/>
  <c r="BH29" i="49"/>
  <c r="BA31" i="49"/>
  <c r="BA30" i="49"/>
  <c r="BA50" i="49"/>
  <c r="G19" i="110"/>
  <c r="F33" i="110"/>
  <c r="AF542" i="49"/>
  <c r="AF457" i="49" s="1"/>
  <c r="AG540" i="49"/>
  <c r="AG541" i="49" s="1"/>
  <c r="AT534" i="49"/>
  <c r="AS533" i="49"/>
  <c r="AT533" i="49"/>
  <c r="BB85" i="49"/>
  <c r="BB472" i="49"/>
  <c r="BI471" i="49"/>
  <c r="AU536" i="49"/>
  <c r="V7" i="95" s="1"/>
  <c r="N67" i="111"/>
  <c r="X24" i="72"/>
  <c r="X99" i="72"/>
  <c r="X25" i="72"/>
  <c r="Z15" i="94"/>
  <c r="Z16" i="94" s="1"/>
  <c r="Z14" i="94"/>
  <c r="AD25" i="72"/>
  <c r="AD99" i="72"/>
  <c r="AD24" i="72"/>
  <c r="P42" i="72"/>
  <c r="P41" i="72"/>
  <c r="AI281" i="49"/>
  <c r="AI282" i="49" s="1"/>
  <c r="AI284" i="49" s="1"/>
  <c r="AI19" i="49" s="1"/>
  <c r="J12" i="94" s="1"/>
  <c r="AH282" i="49"/>
  <c r="AH284" i="49" s="1"/>
  <c r="AH19" i="49" s="1"/>
  <c r="I12" i="94" s="1"/>
  <c r="AI534" i="49"/>
  <c r="AH533" i="49"/>
  <c r="R96" i="111"/>
  <c r="R123" i="111" s="1"/>
  <c r="S31" i="111" s="1"/>
  <c r="F30" i="94"/>
  <c r="F70" i="94"/>
  <c r="AU291" i="49"/>
  <c r="X41" i="72"/>
  <c r="X42" i="72"/>
  <c r="AV522" i="49"/>
  <c r="AV523" i="49"/>
  <c r="AV532" i="49"/>
  <c r="AW533" i="49" s="1"/>
  <c r="I14" i="68"/>
  <c r="Q52" i="49"/>
  <c r="Q505" i="49" s="1"/>
  <c r="Q51" i="49"/>
  <c r="Q58" i="49"/>
  <c r="Q69" i="49"/>
  <c r="Q71" i="49" s="1"/>
  <c r="Q503" i="49"/>
  <c r="G52" i="49"/>
  <c r="G505" i="49" s="1"/>
  <c r="G69" i="49"/>
  <c r="G71" i="49" s="1"/>
  <c r="G58" i="49"/>
  <c r="G503" i="49"/>
  <c r="G536" i="49" s="1"/>
  <c r="AP534" i="49"/>
  <c r="AP536" i="49" s="1"/>
  <c r="Q7" i="95" s="1"/>
  <c r="AO533" i="49"/>
  <c r="AV460" i="49"/>
  <c r="AQ19" i="49"/>
  <c r="R12" i="94" s="1"/>
  <c r="AQ291" i="49"/>
  <c r="H477" i="49"/>
  <c r="J536" i="49"/>
  <c r="AH536" i="49"/>
  <c r="I7" i="95" s="1"/>
  <c r="P50" i="72"/>
  <c r="P49" i="72"/>
  <c r="S460" i="49"/>
  <c r="S456" i="49"/>
  <c r="S462" i="49" s="1"/>
  <c r="S463" i="49" s="1"/>
  <c r="S459" i="49"/>
  <c r="X49" i="72"/>
  <c r="X50" i="72"/>
  <c r="O161" i="49"/>
  <c r="O166" i="49"/>
  <c r="O157" i="49"/>
  <c r="P166" i="49"/>
  <c r="BB534" i="49"/>
  <c r="BA533" i="49"/>
  <c r="BB533" i="49"/>
  <c r="I89" i="111"/>
  <c r="J73" i="49"/>
  <c r="AU53" i="49"/>
  <c r="AU506" i="49" s="1"/>
  <c r="G28" i="68"/>
  <c r="G19" i="68"/>
  <c r="G37" i="68"/>
  <c r="G72" i="94"/>
  <c r="AH75" i="49"/>
  <c r="AH74" i="49"/>
  <c r="BD116" i="49"/>
  <c r="S166" i="49"/>
  <c r="S161" i="49"/>
  <c r="S157" i="49"/>
  <c r="T167" i="49" s="1"/>
  <c r="S276" i="49"/>
  <c r="S278" i="49"/>
  <c r="S277" i="49"/>
  <c r="R30" i="94"/>
  <c r="R70" i="94"/>
  <c r="R24" i="72"/>
  <c r="R99" i="72"/>
  <c r="R25" i="72"/>
  <c r="N532" i="49"/>
  <c r="R533" i="49" s="1"/>
  <c r="N523" i="49"/>
  <c r="N522" i="49"/>
  <c r="K234" i="49"/>
  <c r="O52" i="72"/>
  <c r="L17" i="94"/>
  <c r="L72" i="94" s="1"/>
  <c r="AK52" i="49"/>
  <c r="AK505" i="49" s="1"/>
  <c r="AK58" i="49"/>
  <c r="AK53" i="49"/>
  <c r="AK506" i="49" s="1"/>
  <c r="AL53" i="49"/>
  <c r="AL506" i="49" s="1"/>
  <c r="AK51" i="49"/>
  <c r="AK504" i="49" s="1"/>
  <c r="AL51" i="49"/>
  <c r="AL504" i="49" s="1"/>
  <c r="AK69" i="49"/>
  <c r="AK71" i="49" s="1"/>
  <c r="AK503" i="49"/>
  <c r="AK536" i="49" s="1"/>
  <c r="L7" i="95" s="1"/>
  <c r="Z52" i="72"/>
  <c r="W17" i="94"/>
  <c r="AV52" i="49"/>
  <c r="AV505" i="49" s="1"/>
  <c r="AV51" i="49"/>
  <c r="AV504" i="49" s="1"/>
  <c r="AV53" i="49"/>
  <c r="AV506" i="49" s="1"/>
  <c r="AV58" i="49"/>
  <c r="AV69" i="49"/>
  <c r="AV71" i="49" s="1"/>
  <c r="AV503" i="49"/>
  <c r="AV549" i="49"/>
  <c r="AL534" i="49"/>
  <c r="AL536" i="49" s="1"/>
  <c r="M7" i="95" s="1"/>
  <c r="AK533" i="49"/>
  <c r="AL533" i="49"/>
  <c r="K460" i="49"/>
  <c r="K456" i="49"/>
  <c r="K459" i="49"/>
  <c r="S533" i="49"/>
  <c r="T534" i="49"/>
  <c r="J59" i="49"/>
  <c r="J80" i="49" s="1"/>
  <c r="AE85" i="49"/>
  <c r="AE472" i="49"/>
  <c r="E523" i="49"/>
  <c r="E532" i="49"/>
  <c r="I533" i="49" s="1"/>
  <c r="AU59" i="49"/>
  <c r="AU60" i="49"/>
  <c r="AU62" i="49" s="1"/>
  <c r="AU64" i="49" s="1"/>
  <c r="AX234" i="49"/>
  <c r="Z24" i="72"/>
  <c r="Z25" i="72"/>
  <c r="Z99" i="72"/>
  <c r="Z52" i="49"/>
  <c r="Z505" i="49" s="1"/>
  <c r="Z69" i="49"/>
  <c r="Z503" i="49"/>
  <c r="AS534" i="49"/>
  <c r="AS536" i="49" s="1"/>
  <c r="T7" i="95" s="1"/>
  <c r="AR533" i="49"/>
  <c r="AQ534" i="49"/>
  <c r="AQ536" i="49" s="1"/>
  <c r="R7" i="95" s="1"/>
  <c r="AP533" i="49"/>
  <c r="I534" i="49"/>
  <c r="H533" i="49"/>
  <c r="L533" i="49"/>
  <c r="R458" i="49"/>
  <c r="R457" i="49"/>
  <c r="I116" i="111"/>
  <c r="J24" i="111" s="1"/>
  <c r="J62" i="111"/>
  <c r="AZ157" i="49"/>
  <c r="AZ161" i="49"/>
  <c r="BI476" i="49"/>
  <c r="BB458" i="49"/>
  <c r="AF31" i="72"/>
  <c r="AC13" i="94"/>
  <c r="BB30" i="49"/>
  <c r="BI29" i="49"/>
  <c r="BB50" i="49"/>
  <c r="BB31" i="49"/>
  <c r="H19" i="110"/>
  <c r="T26" i="94"/>
  <c r="T28" i="94" s="1"/>
  <c r="U477" i="49"/>
  <c r="M19" i="68"/>
  <c r="M20" i="68" s="1"/>
  <c r="M28" i="68"/>
  <c r="M37" i="68"/>
  <c r="AH59" i="49"/>
  <c r="AH60" i="49"/>
  <c r="AH62" i="49" s="1"/>
  <c r="AH64" i="49" s="1"/>
  <c r="E90" i="94"/>
  <c r="BD94" i="49"/>
  <c r="AE60" i="94" s="1"/>
  <c r="U70" i="72"/>
  <c r="U71" i="72"/>
  <c r="R38" i="94"/>
  <c r="R66" i="94"/>
  <c r="K533" i="49"/>
  <c r="L534" i="49"/>
  <c r="O533" i="49"/>
  <c r="S25" i="72"/>
  <c r="S24" i="72"/>
  <c r="S99" i="72"/>
  <c r="J166" i="49"/>
  <c r="J161" i="49"/>
  <c r="J157" i="49"/>
  <c r="J27" i="111"/>
  <c r="K65" i="111"/>
  <c r="D15" i="94"/>
  <c r="D16" i="94" s="1"/>
  <c r="BA477" i="49"/>
  <c r="U540" i="49"/>
  <c r="U541" i="49" s="1"/>
  <c r="T542" i="49"/>
  <c r="T457" i="49" s="1"/>
  <c r="P30" i="49"/>
  <c r="P50" i="49"/>
  <c r="T53" i="49" s="1"/>
  <c r="T506" i="49" s="1"/>
  <c r="P31" i="49"/>
  <c r="AJ86" i="49"/>
  <c r="K52" i="94"/>
  <c r="AU275" i="49"/>
  <c r="AU295" i="49"/>
  <c r="AS86" i="49"/>
  <c r="T52" i="94" s="1"/>
  <c r="T25" i="94"/>
  <c r="T45" i="94" s="1"/>
  <c r="T47" i="94" s="1"/>
  <c r="AS80" i="49"/>
  <c r="AS81" i="49" s="1"/>
  <c r="H320" i="49"/>
  <c r="H322" i="49" s="1"/>
  <c r="BH316" i="49"/>
  <c r="AD70" i="72"/>
  <c r="AD71" i="72"/>
  <c r="N277" i="49"/>
  <c r="N276" i="49"/>
  <c r="V522" i="49"/>
  <c r="V523" i="49"/>
  <c r="V532" i="49"/>
  <c r="AC32" i="72"/>
  <c r="AC33" i="72"/>
  <c r="AA40" i="94"/>
  <c r="AU73" i="49"/>
  <c r="AU100" i="49"/>
  <c r="R288" i="49"/>
  <c r="R290" i="49" s="1"/>
  <c r="R291" i="49" s="1"/>
  <c r="T533" i="49"/>
  <c r="U534" i="49"/>
  <c r="AC42" i="94"/>
  <c r="U24" i="72"/>
  <c r="U25" i="72"/>
  <c r="U99" i="72"/>
  <c r="S60" i="94"/>
  <c r="AR96" i="49"/>
  <c r="Z284" i="49"/>
  <c r="Z19" i="49" s="1"/>
  <c r="T40" i="94"/>
  <c r="M167" i="49"/>
  <c r="M162" i="49"/>
  <c r="U62" i="72"/>
  <c r="U63" i="72"/>
  <c r="AH11" i="72"/>
  <c r="J11" i="110"/>
  <c r="AI460" i="49"/>
  <c r="K161" i="49"/>
  <c r="K166" i="49"/>
  <c r="L166" i="49"/>
  <c r="K157" i="49"/>
  <c r="L167" i="49" s="1"/>
  <c r="J271" i="49"/>
  <c r="R272" i="49"/>
  <c r="J234" i="49"/>
  <c r="W14" i="94"/>
  <c r="AE533" i="49"/>
  <c r="AF534" i="49"/>
  <c r="M47" i="94"/>
  <c r="M40" i="94"/>
  <c r="H288" i="49"/>
  <c r="H290" i="49" s="1"/>
  <c r="H291" i="49" s="1"/>
  <c r="J51" i="49"/>
  <c r="J504" i="49" s="1"/>
  <c r="U60" i="94"/>
  <c r="AT96" i="49"/>
  <c r="AE534" i="49"/>
  <c r="AE536" i="49" s="1"/>
  <c r="F7" i="95" s="1"/>
  <c r="AD533" i="49"/>
  <c r="BB460" i="49"/>
  <c r="N99" i="72"/>
  <c r="N24" i="72"/>
  <c r="N25" i="72"/>
  <c r="N271" i="49"/>
  <c r="N272" i="49"/>
  <c r="R271" i="49"/>
  <c r="AB16" i="72"/>
  <c r="AF460" i="49"/>
  <c r="BJ476" i="49"/>
  <c r="BC458" i="49"/>
  <c r="AD11" i="94"/>
  <c r="AD41" i="94"/>
  <c r="G60" i="111"/>
  <c r="AK534" i="49"/>
  <c r="AJ533" i="49"/>
  <c r="J52" i="72"/>
  <c r="K53" i="72" s="1"/>
  <c r="G17" i="94"/>
  <c r="G15" i="94" s="1"/>
  <c r="G16" i="94" s="1"/>
  <c r="AF52" i="49"/>
  <c r="AF505" i="49" s="1"/>
  <c r="AF53" i="49"/>
  <c r="AF506" i="49" s="1"/>
  <c r="AF51" i="49"/>
  <c r="AF504" i="49" s="1"/>
  <c r="AF58" i="49"/>
  <c r="AF69" i="49"/>
  <c r="AF71" i="49" s="1"/>
  <c r="AF503" i="49"/>
  <c r="AU51" i="49"/>
  <c r="AU504" i="49" s="1"/>
  <c r="N50" i="49"/>
  <c r="N30" i="49"/>
  <c r="N31" i="49"/>
  <c r="H162" i="49"/>
  <c r="H167" i="49"/>
  <c r="M523" i="49"/>
  <c r="M522" i="49"/>
  <c r="M532" i="49"/>
  <c r="U458" i="49"/>
  <c r="W41" i="72"/>
  <c r="W42" i="72"/>
  <c r="I1" i="94"/>
  <c r="Y41" i="94"/>
  <c r="M52" i="72"/>
  <c r="J17" i="94"/>
  <c r="J72" i="94" s="1"/>
  <c r="AI52" i="49"/>
  <c r="AI505" i="49" s="1"/>
  <c r="AI53" i="49"/>
  <c r="AI506" i="49" s="1"/>
  <c r="AI51" i="49"/>
  <c r="AI504" i="49" s="1"/>
  <c r="AI69" i="49"/>
  <c r="AI71" i="49" s="1"/>
  <c r="AI58" i="49"/>
  <c r="AI503" i="49"/>
  <c r="AI536" i="49" s="1"/>
  <c r="J7" i="95" s="1"/>
  <c r="AJ51" i="49"/>
  <c r="AJ504" i="49" s="1"/>
  <c r="AJ53" i="49"/>
  <c r="AJ506" i="49" s="1"/>
  <c r="I522" i="49"/>
  <c r="AJ282" i="49"/>
  <c r="AJ284" i="49" s="1"/>
  <c r="AJ19" i="49" s="1"/>
  <c r="K12" i="94" s="1"/>
  <c r="AK281" i="49"/>
  <c r="AK282" i="49" s="1"/>
  <c r="AK284" i="49" s="1"/>
  <c r="AK19" i="49" s="1"/>
  <c r="L12" i="94" s="1"/>
  <c r="R126" i="111"/>
  <c r="S34" i="111" s="1"/>
  <c r="S72" i="111"/>
  <c r="Z32" i="72"/>
  <c r="Z33" i="72"/>
  <c r="H457" i="49"/>
  <c r="H458" i="49"/>
  <c r="H19" i="68"/>
  <c r="H20" i="68" s="1"/>
  <c r="H28" i="68"/>
  <c r="H37" i="68"/>
  <c r="J53" i="49"/>
  <c r="J506" i="49" s="1"/>
  <c r="AN460" i="49"/>
  <c r="I72" i="94"/>
  <c r="M30" i="94"/>
  <c r="M70" i="94"/>
  <c r="H72" i="94"/>
  <c r="Z72" i="94"/>
  <c r="H276" i="49"/>
  <c r="L276" i="49"/>
  <c r="T278" i="49"/>
  <c r="P457" i="49"/>
  <c r="P458" i="49"/>
  <c r="BD15" i="64"/>
  <c r="BD17" i="64"/>
  <c r="I114" i="112"/>
  <c r="AE118" i="94"/>
  <c r="BD294" i="49"/>
  <c r="R99" i="111"/>
  <c r="Q99" i="111"/>
  <c r="Q126" i="111" s="1"/>
  <c r="R34" i="111" s="1"/>
  <c r="AP75" i="49"/>
  <c r="AP74" i="49"/>
  <c r="AE16" i="72"/>
  <c r="R52" i="72"/>
  <c r="O17" i="94"/>
  <c r="O72" i="94" s="1"/>
  <c r="AN52" i="49"/>
  <c r="AN505" i="49" s="1"/>
  <c r="AN58" i="49"/>
  <c r="AN53" i="49"/>
  <c r="AN506" i="49" s="1"/>
  <c r="AN51" i="49"/>
  <c r="AN504" i="49" s="1"/>
  <c r="AN69" i="49"/>
  <c r="AN71" i="49" s="1"/>
  <c r="AN503" i="49"/>
  <c r="AN536" i="49" s="1"/>
  <c r="O7" i="95" s="1"/>
  <c r="K457" i="49"/>
  <c r="K458" i="49"/>
  <c r="P276" i="49"/>
  <c r="P278" i="49"/>
  <c r="P277" i="49"/>
  <c r="T276" i="49"/>
  <c r="W295" i="49"/>
  <c r="W296" i="49"/>
  <c r="X296" i="49"/>
  <c r="AA295" i="49"/>
  <c r="AE457" i="49"/>
  <c r="AE459" i="49"/>
  <c r="AE456" i="49"/>
  <c r="AE462" i="49" s="1"/>
  <c r="AE463" i="49" s="1"/>
  <c r="E14" i="68"/>
  <c r="M51" i="49"/>
  <c r="M52" i="49"/>
  <c r="M505" i="49" s="1"/>
  <c r="M53" i="49"/>
  <c r="M506" i="49" s="1"/>
  <c r="M58" i="49"/>
  <c r="M69" i="49"/>
  <c r="M71" i="49" s="1"/>
  <c r="M503" i="49"/>
  <c r="BJ477" i="49"/>
  <c r="BC460" i="49"/>
  <c r="V24" i="94"/>
  <c r="V19" i="94"/>
  <c r="V34" i="94"/>
  <c r="V36" i="94" s="1"/>
  <c r="AZ234" i="49"/>
  <c r="H52" i="72"/>
  <c r="E17" i="94"/>
  <c r="AD51" i="49"/>
  <c r="AD504" i="49" s="1"/>
  <c r="AD52" i="49"/>
  <c r="AD505" i="49" s="1"/>
  <c r="AD53" i="49"/>
  <c r="AD506" i="49" s="1"/>
  <c r="AD58" i="49"/>
  <c r="AD69" i="49"/>
  <c r="AD71" i="49" s="1"/>
  <c r="AD503" i="49"/>
  <c r="AD536" i="49" s="1"/>
  <c r="E7" i="95" s="1"/>
  <c r="AE53" i="49"/>
  <c r="AE506" i="49" s="1"/>
  <c r="AE51" i="49"/>
  <c r="AE504" i="49" s="1"/>
  <c r="S49" i="72"/>
  <c r="S50" i="72"/>
  <c r="J534" i="49"/>
  <c r="Q52" i="72"/>
  <c r="N17" i="94"/>
  <c r="AM52" i="49"/>
  <c r="AM505" i="49" s="1"/>
  <c r="AM53" i="49"/>
  <c r="AM506" i="49" s="1"/>
  <c r="AM51" i="49"/>
  <c r="AM504" i="49" s="1"/>
  <c r="AM69" i="49"/>
  <c r="AM71" i="49" s="1"/>
  <c r="AM58" i="49"/>
  <c r="AM503" i="49"/>
  <c r="L14" i="68"/>
  <c r="T52" i="49"/>
  <c r="T505" i="49" s="1"/>
  <c r="T58" i="49"/>
  <c r="T69" i="49"/>
  <c r="T71" i="49" s="1"/>
  <c r="T73" i="49" s="1"/>
  <c r="T503" i="49"/>
  <c r="F86" i="94"/>
  <c r="AF16" i="72"/>
  <c r="V41" i="72"/>
  <c r="V42" i="72"/>
  <c r="AV85" i="49"/>
  <c r="AV472" i="49"/>
  <c r="I51" i="49"/>
  <c r="I504" i="49" s="1"/>
  <c r="I52" i="49"/>
  <c r="I505" i="49" s="1"/>
  <c r="I69" i="49"/>
  <c r="I71" i="49" s="1"/>
  <c r="I58" i="49"/>
  <c r="I503" i="49"/>
  <c r="I536" i="49" s="1"/>
  <c r="I53" i="49"/>
  <c r="I506" i="49" s="1"/>
  <c r="O477" i="49"/>
  <c r="BI477" i="49" s="1"/>
  <c r="BA534" i="49"/>
  <c r="AZ533" i="49"/>
  <c r="Q162" i="49"/>
  <c r="L54" i="72"/>
  <c r="L53" i="72"/>
  <c r="AR291" i="49"/>
  <c r="H534" i="49"/>
  <c r="AC73" i="49"/>
  <c r="AC100" i="49"/>
  <c r="S41" i="72"/>
  <c r="S42" i="72"/>
  <c r="I167" i="49"/>
  <c r="J15" i="94"/>
  <c r="J16" i="94" s="1"/>
  <c r="J14" i="94"/>
  <c r="T25" i="72"/>
  <c r="T24" i="72"/>
  <c r="T99" i="72"/>
  <c r="O41" i="72"/>
  <c r="O42" i="72"/>
  <c r="J64" i="111"/>
  <c r="I26" i="111"/>
  <c r="S472" i="49"/>
  <c r="AD49" i="72"/>
  <c r="AD50" i="72"/>
  <c r="O32" i="111"/>
  <c r="P70" i="111"/>
  <c r="AG100" i="49"/>
  <c r="H15" i="94"/>
  <c r="H16" i="94" s="1"/>
  <c r="L53" i="49"/>
  <c r="L506" i="49" s="1"/>
  <c r="D36" i="110"/>
  <c r="E36" i="110"/>
  <c r="F36" i="110"/>
  <c r="G36" i="110"/>
  <c r="H36" i="110"/>
  <c r="I36" i="110"/>
  <c r="I37" i="110" s="1"/>
  <c r="J36" i="110"/>
  <c r="J82" i="110"/>
  <c r="L85" i="110"/>
  <c r="M85" i="110"/>
  <c r="N85" i="110" s="1"/>
  <c r="O85" i="110" s="1"/>
  <c r="P85" i="110" s="1"/>
  <c r="Q85" i="110" s="1"/>
  <c r="R85" i="110" s="1"/>
  <c r="S85" i="110" s="1"/>
  <c r="T85" i="110" s="1"/>
  <c r="D82" i="110"/>
  <c r="D83" i="110"/>
  <c r="D84" i="110"/>
  <c r="E37" i="110" s="1"/>
  <c r="E82" i="110"/>
  <c r="E83" i="110"/>
  <c r="E84" i="110"/>
  <c r="F37" i="110" s="1"/>
  <c r="F82" i="110"/>
  <c r="F83" i="110"/>
  <c r="F84" i="110" s="1"/>
  <c r="G82" i="110"/>
  <c r="G84" i="110" s="1"/>
  <c r="H37" i="110" s="1"/>
  <c r="G83" i="110"/>
  <c r="H82" i="110"/>
  <c r="H83" i="110"/>
  <c r="H84" i="110"/>
  <c r="I82" i="110"/>
  <c r="I83" i="110"/>
  <c r="I84" i="110"/>
  <c r="L37" i="110"/>
  <c r="M37" i="110" s="1"/>
  <c r="N37" i="110" s="1"/>
  <c r="O37" i="110" s="1"/>
  <c r="P37" i="110" s="1"/>
  <c r="Q37" i="110" s="1"/>
  <c r="R37" i="110" s="1"/>
  <c r="S37" i="110" s="1"/>
  <c r="T37" i="110" s="1"/>
  <c r="U37" i="110" s="1"/>
  <c r="D39" i="110"/>
  <c r="E39" i="110"/>
  <c r="F39" i="110"/>
  <c r="G39" i="110"/>
  <c r="G40" i="110" s="1"/>
  <c r="H39" i="110"/>
  <c r="I39" i="110"/>
  <c r="L40" i="110"/>
  <c r="M40" i="110"/>
  <c r="N40" i="110"/>
  <c r="O40" i="110"/>
  <c r="P40" i="110" s="1"/>
  <c r="Q40" i="110" s="1"/>
  <c r="R40" i="110" s="1"/>
  <c r="S40" i="110" s="1"/>
  <c r="T40" i="110" s="1"/>
  <c r="U40" i="110" s="1"/>
  <c r="D40" i="110"/>
  <c r="E40" i="110"/>
  <c r="F40" i="110"/>
  <c r="H40" i="110"/>
  <c r="I40" i="110"/>
  <c r="E49" i="110"/>
  <c r="F49" i="110"/>
  <c r="D51" i="110"/>
  <c r="E51" i="110"/>
  <c r="E52" i="110" s="1"/>
  <c r="F51" i="110"/>
  <c r="G51" i="110"/>
  <c r="G53" i="110" s="1"/>
  <c r="H51" i="110"/>
  <c r="H53" i="110" s="1"/>
  <c r="I51" i="110"/>
  <c r="I53" i="110" s="1"/>
  <c r="D52" i="110"/>
  <c r="G52" i="110"/>
  <c r="H52" i="110"/>
  <c r="D53" i="110"/>
  <c r="E53" i="110"/>
  <c r="F53" i="110"/>
  <c r="E55" i="110"/>
  <c r="F55" i="110"/>
  <c r="F57" i="110" s="1"/>
  <c r="D59" i="110"/>
  <c r="E59" i="110"/>
  <c r="E60" i="110" s="1"/>
  <c r="F59" i="110"/>
  <c r="G59" i="110"/>
  <c r="H59" i="110"/>
  <c r="I59" i="110"/>
  <c r="I60" i="110" s="1"/>
  <c r="L60" i="110"/>
  <c r="M60" i="110" s="1"/>
  <c r="N60" i="110" s="1"/>
  <c r="O60" i="110" s="1"/>
  <c r="P60" i="110" s="1"/>
  <c r="Q60" i="110" s="1"/>
  <c r="R60" i="110" s="1"/>
  <c r="S60" i="110" s="1"/>
  <c r="T60" i="110" s="1"/>
  <c r="D60" i="110"/>
  <c r="F60" i="110"/>
  <c r="G60" i="110"/>
  <c r="H60" i="110"/>
  <c r="AW14" i="64"/>
  <c r="I77" i="94"/>
  <c r="I103" i="94"/>
  <c r="I107" i="94"/>
  <c r="J61" i="110"/>
  <c r="K61" i="110"/>
  <c r="L61" i="110"/>
  <c r="I108" i="94" l="1"/>
  <c r="I104" i="94"/>
  <c r="H111" i="94"/>
  <c r="F112" i="94"/>
  <c r="D113" i="94"/>
  <c r="I79" i="94"/>
  <c r="I101" i="94"/>
  <c r="I102" i="94" s="1"/>
  <c r="AW15" i="64"/>
  <c r="AW18" i="64" s="1"/>
  <c r="AW17" i="64"/>
  <c r="X118" i="94"/>
  <c r="X119" i="94" s="1"/>
  <c r="AW294" i="49"/>
  <c r="G47" i="111"/>
  <c r="G87" i="111"/>
  <c r="K49" i="94"/>
  <c r="K53" i="94"/>
  <c r="T53" i="94"/>
  <c r="T49" i="94"/>
  <c r="G37" i="110"/>
  <c r="AG65" i="49"/>
  <c r="I73" i="49"/>
  <c r="M53" i="72"/>
  <c r="M54" i="72"/>
  <c r="N55" i="72"/>
  <c r="N53" i="72"/>
  <c r="M55" i="72"/>
  <c r="AE86" i="49"/>
  <c r="F52" i="94" s="1"/>
  <c r="AV73" i="49"/>
  <c r="AV100" i="49"/>
  <c r="G73" i="49"/>
  <c r="J100" i="49"/>
  <c r="G18" i="110"/>
  <c r="G21" i="110"/>
  <c r="G22" i="110"/>
  <c r="G20" i="110"/>
  <c r="N66" i="111"/>
  <c r="O97" i="111"/>
  <c r="O124" i="111" s="1"/>
  <c r="P32" i="111" s="1"/>
  <c r="AM536" i="49"/>
  <c r="N7" i="95" s="1"/>
  <c r="AD59" i="49"/>
  <c r="AD60" i="49"/>
  <c r="AD62" i="49" s="1"/>
  <c r="AD64" i="49" s="1"/>
  <c r="M73" i="49"/>
  <c r="AE34" i="72"/>
  <c r="T72" i="111"/>
  <c r="J1" i="94"/>
  <c r="I25" i="94"/>
  <c r="I45" i="94" s="1"/>
  <c r="AH80" i="49"/>
  <c r="AH81" i="49" s="1"/>
  <c r="J60" i="49"/>
  <c r="J62" i="49" s="1"/>
  <c r="J64" i="49" s="1"/>
  <c r="Q536" i="49"/>
  <c r="O67" i="111"/>
  <c r="AT536" i="49"/>
  <c r="U7" i="95" s="1"/>
  <c r="E59" i="49"/>
  <c r="E80" i="49" s="1"/>
  <c r="M463" i="49"/>
  <c r="AO534" i="49"/>
  <c r="AO536" i="49" s="1"/>
  <c r="P7" i="95" s="1"/>
  <c r="AN533" i="49"/>
  <c r="F73" i="49"/>
  <c r="Y51" i="49"/>
  <c r="Y504" i="49" s="1"/>
  <c r="Y52" i="49"/>
  <c r="Y505" i="49" s="1"/>
  <c r="Y69" i="49"/>
  <c r="Y503" i="49"/>
  <c r="Y53" i="49"/>
  <c r="Y506" i="49" s="1"/>
  <c r="F463" i="49"/>
  <c r="J14" i="68"/>
  <c r="R52" i="49"/>
  <c r="R505" i="49" s="1"/>
  <c r="R58" i="49"/>
  <c r="R51" i="49"/>
  <c r="R69" i="49"/>
  <c r="R71" i="49" s="1"/>
  <c r="R503" i="49"/>
  <c r="R536" i="49" s="1"/>
  <c r="O15" i="94"/>
  <c r="O16" i="94" s="1"/>
  <c r="AB32" i="72"/>
  <c r="AB33" i="72"/>
  <c r="M93" i="111"/>
  <c r="M120" i="111" s="1"/>
  <c r="N28" i="111" s="1"/>
  <c r="L383" i="49"/>
  <c r="L385" i="49" s="1"/>
  <c r="M383" i="49" s="1"/>
  <c r="M385" i="49" s="1"/>
  <c r="N383" i="49" s="1"/>
  <c r="N385" i="49" s="1"/>
  <c r="O383" i="49" s="1"/>
  <c r="O385" i="49" s="1"/>
  <c r="BH385" i="49"/>
  <c r="AX6" i="64"/>
  <c r="AX7" i="64" s="1"/>
  <c r="AX201" i="49"/>
  <c r="AX249" i="49"/>
  <c r="F59" i="49"/>
  <c r="F80" i="49" s="1"/>
  <c r="D26" i="94"/>
  <c r="D28" i="94" s="1"/>
  <c r="H38" i="94"/>
  <c r="H66" i="94"/>
  <c r="Y62" i="72"/>
  <c r="Y63" i="72"/>
  <c r="Q25" i="94"/>
  <c r="Q45" i="94" s="1"/>
  <c r="AP80" i="49"/>
  <c r="AP81" i="49" s="1"/>
  <c r="D25" i="94"/>
  <c r="D45" i="94" s="1"/>
  <c r="AC80" i="49"/>
  <c r="U533" i="49"/>
  <c r="V534" i="49"/>
  <c r="K62" i="111"/>
  <c r="O167" i="49"/>
  <c r="O162" i="49"/>
  <c r="P167" i="49"/>
  <c r="Q59" i="49"/>
  <c r="Q80" i="49" s="1"/>
  <c r="Q60" i="49"/>
  <c r="Q62" i="49" s="1"/>
  <c r="Q64" i="49" s="1"/>
  <c r="P98" i="111"/>
  <c r="P125" i="111" s="1"/>
  <c r="Q33" i="111" s="1"/>
  <c r="Q98" i="111"/>
  <c r="Q125" i="111" s="1"/>
  <c r="R33" i="111" s="1"/>
  <c r="AT73" i="49"/>
  <c r="AT100" i="49"/>
  <c r="AX200" i="49"/>
  <c r="AX248" i="49"/>
  <c r="P25" i="94"/>
  <c r="P45" i="94" s="1"/>
  <c r="AO80" i="49"/>
  <c r="AO81" i="49" s="1"/>
  <c r="H18" i="94"/>
  <c r="L536" i="49"/>
  <c r="Y71" i="72"/>
  <c r="Y70" i="72"/>
  <c r="L93" i="111"/>
  <c r="L120" i="111" s="1"/>
  <c r="M28" i="111" s="1"/>
  <c r="AQ65" i="49"/>
  <c r="AA52" i="72"/>
  <c r="X17" i="94"/>
  <c r="AW51" i="49"/>
  <c r="AW504" i="49" s="1"/>
  <c r="AW58" i="49"/>
  <c r="AW69" i="49"/>
  <c r="AW71" i="49" s="1"/>
  <c r="AW52" i="49"/>
  <c r="AW505" i="49" s="1"/>
  <c r="AW549" i="49"/>
  <c r="AW503" i="49"/>
  <c r="AW536" i="49" s="1"/>
  <c r="X7" i="95" s="1"/>
  <c r="AW53" i="49"/>
  <c r="AW506" i="49" s="1"/>
  <c r="V161" i="49"/>
  <c r="V186" i="49"/>
  <c r="W24" i="94"/>
  <c r="W18" i="94"/>
  <c r="W19" i="94"/>
  <c r="W34" i="94"/>
  <c r="W36" i="94" s="1"/>
  <c r="W72" i="94"/>
  <c r="O534" i="49"/>
  <c r="N533" i="49"/>
  <c r="I15" i="68"/>
  <c r="I32" i="68" s="1"/>
  <c r="Q504" i="49"/>
  <c r="AB14" i="94"/>
  <c r="AX244" i="49"/>
  <c r="AX196" i="49"/>
  <c r="AA24" i="72"/>
  <c r="AA99" i="72"/>
  <c r="AA25" i="72"/>
  <c r="AO60" i="49"/>
  <c r="AO62" i="49" s="1"/>
  <c r="AO64" i="49" s="1"/>
  <c r="D38" i="94"/>
  <c r="D66" i="94"/>
  <c r="D85" i="94"/>
  <c r="Y530" i="49"/>
  <c r="X527" i="49"/>
  <c r="L59" i="49"/>
  <c r="L60" i="49"/>
  <c r="L62" i="49" s="1"/>
  <c r="L64" i="49" s="1"/>
  <c r="AC99" i="72"/>
  <c r="AC24" i="72"/>
  <c r="AC25" i="72"/>
  <c r="X14" i="94"/>
  <c r="X15" i="94"/>
  <c r="X16" i="94" s="1"/>
  <c r="H14" i="68"/>
  <c r="P52" i="49"/>
  <c r="P505" i="49" s="1"/>
  <c r="P58" i="49"/>
  <c r="P69" i="49"/>
  <c r="P71" i="49" s="1"/>
  <c r="P51" i="49"/>
  <c r="P503" i="49"/>
  <c r="P536" i="49" s="1"/>
  <c r="P53" i="49"/>
  <c r="P506" i="49" s="1"/>
  <c r="H54" i="72"/>
  <c r="H53" i="72"/>
  <c r="I55" i="72"/>
  <c r="H55" i="72"/>
  <c r="I53" i="72"/>
  <c r="I22" i="68"/>
  <c r="I16" i="68"/>
  <c r="I31" i="68"/>
  <c r="I33" i="68" s="1"/>
  <c r="I38" i="68"/>
  <c r="K63" i="111"/>
  <c r="AX192" i="49"/>
  <c r="AX240" i="49"/>
  <c r="AA34" i="72"/>
  <c r="O73" i="94"/>
  <c r="AW460" i="49"/>
  <c r="L73" i="49"/>
  <c r="AS19" i="49"/>
  <c r="T12" i="94" s="1"/>
  <c r="AS291" i="49"/>
  <c r="AF533" i="49"/>
  <c r="AG534" i="49"/>
  <c r="AG536" i="49" s="1"/>
  <c r="H7" i="95" s="1"/>
  <c r="S96" i="111"/>
  <c r="AC81" i="49"/>
  <c r="AC75" i="49"/>
  <c r="M53" i="94"/>
  <c r="M49" i="94"/>
  <c r="E15" i="68"/>
  <c r="E32" i="68" s="1"/>
  <c r="M504" i="49"/>
  <c r="U460" i="49"/>
  <c r="U18" i="94"/>
  <c r="U19" i="94"/>
  <c r="U34" i="94"/>
  <c r="U36" i="94" s="1"/>
  <c r="U24" i="94"/>
  <c r="U15" i="94"/>
  <c r="U16" i="94" s="1"/>
  <c r="AX189" i="49"/>
  <c r="AX237" i="49"/>
  <c r="I18" i="110"/>
  <c r="I21" i="110"/>
  <c r="I20" i="110"/>
  <c r="K58" i="49"/>
  <c r="K51" i="49"/>
  <c r="K504" i="49" s="1"/>
  <c r="K52" i="49"/>
  <c r="K505" i="49" s="1"/>
  <c r="K69" i="49"/>
  <c r="K71" i="49" s="1"/>
  <c r="K503" i="49"/>
  <c r="K536" i="49" s="1"/>
  <c r="K53" i="49"/>
  <c r="K506" i="49" s="1"/>
  <c r="AY59" i="49"/>
  <c r="J88" i="111"/>
  <c r="J115" i="111" s="1"/>
  <c r="K23" i="111" s="1"/>
  <c r="Z291" i="49"/>
  <c r="E55" i="111"/>
  <c r="E57" i="111" s="1"/>
  <c r="E51" i="111"/>
  <c r="E52" i="111"/>
  <c r="L20" i="68"/>
  <c r="O68" i="111"/>
  <c r="M73" i="94"/>
  <c r="E18" i="94"/>
  <c r="E34" i="94"/>
  <c r="E36" i="94" s="1"/>
  <c r="E19" i="94"/>
  <c r="E24" i="94"/>
  <c r="E72" i="94"/>
  <c r="I73" i="94" s="1"/>
  <c r="E15" i="94"/>
  <c r="E16" i="94" s="1"/>
  <c r="F18" i="94"/>
  <c r="Z53" i="72"/>
  <c r="Z54" i="72"/>
  <c r="Z55" i="72"/>
  <c r="R71" i="111"/>
  <c r="E16" i="68"/>
  <c r="E22" i="68"/>
  <c r="E24" i="68" s="1"/>
  <c r="E31" i="68"/>
  <c r="E33" i="68" s="1"/>
  <c r="E38" i="68"/>
  <c r="T30" i="94"/>
  <c r="T70" i="94"/>
  <c r="K64" i="111"/>
  <c r="W15" i="94"/>
  <c r="W16" i="94" s="1"/>
  <c r="Q54" i="72"/>
  <c r="Q53" i="72"/>
  <c r="Q55" i="72"/>
  <c r="V38" i="94"/>
  <c r="V66" i="94"/>
  <c r="AF456" i="49"/>
  <c r="AF462" i="49" s="1"/>
  <c r="AF463" i="49" s="1"/>
  <c r="K462" i="49"/>
  <c r="K463" i="49" s="1"/>
  <c r="P38" i="94"/>
  <c r="P66" i="94"/>
  <c r="X54" i="72"/>
  <c r="X53" i="72"/>
  <c r="Y55" i="72"/>
  <c r="X55" i="72"/>
  <c r="AX199" i="49"/>
  <c r="AX247" i="49"/>
  <c r="M94" i="111"/>
  <c r="M121" i="111" s="1"/>
  <c r="N29" i="111" s="1"/>
  <c r="V277" i="49"/>
  <c r="V276" i="49"/>
  <c r="V278" i="49"/>
  <c r="D16" i="68"/>
  <c r="D22" i="68"/>
  <c r="D24" i="68" s="1"/>
  <c r="D31" i="68"/>
  <c r="M95" i="111"/>
  <c r="M122" i="111" s="1"/>
  <c r="N30" i="111" s="1"/>
  <c r="I26" i="94"/>
  <c r="I28" i="94" s="1"/>
  <c r="H91" i="94"/>
  <c r="H82" i="94"/>
  <c r="Q73" i="49"/>
  <c r="T100" i="49"/>
  <c r="AF119" i="94"/>
  <c r="S99" i="111"/>
  <c r="S126" i="111" s="1"/>
  <c r="T34" i="111" s="1"/>
  <c r="M533" i="49"/>
  <c r="N534" i="49"/>
  <c r="M534" i="49"/>
  <c r="M536" i="49" s="1"/>
  <c r="AF536" i="49"/>
  <c r="G7" i="95" s="1"/>
  <c r="N24" i="94"/>
  <c r="N34" i="94"/>
  <c r="N36" i="94" s="1"/>
  <c r="N19" i="94"/>
  <c r="N18" i="94"/>
  <c r="N15" i="94"/>
  <c r="N16" i="94" s="1"/>
  <c r="BD18" i="64"/>
  <c r="K15" i="110"/>
  <c r="AF73" i="49"/>
  <c r="AF100" i="49"/>
  <c r="H21" i="110"/>
  <c r="H18" i="110"/>
  <c r="H22" i="110"/>
  <c r="H20" i="110"/>
  <c r="AK73" i="49"/>
  <c r="AK100" i="49"/>
  <c r="AV533" i="49"/>
  <c r="AW534" i="49"/>
  <c r="AR73" i="49"/>
  <c r="AR100" i="49"/>
  <c r="AF24" i="72"/>
  <c r="AF25" i="72"/>
  <c r="AF99" i="72"/>
  <c r="AF60" i="49"/>
  <c r="AF62" i="49" s="1"/>
  <c r="AF64" i="49" s="1"/>
  <c r="AF65" i="49" s="1"/>
  <c r="AF59" i="49"/>
  <c r="I52" i="110"/>
  <c r="AN73" i="49"/>
  <c r="AN100" i="49"/>
  <c r="AI59" i="49"/>
  <c r="AI60" i="49"/>
  <c r="AI62" i="49" s="1"/>
  <c r="AI64" i="49" s="1"/>
  <c r="AF459" i="49"/>
  <c r="V540" i="49"/>
  <c r="V541" i="49" s="1"/>
  <c r="U542" i="49"/>
  <c r="R40" i="94"/>
  <c r="R47" i="94"/>
  <c r="AF52" i="72"/>
  <c r="Q14" i="68"/>
  <c r="AC17" i="94"/>
  <c r="BI50" i="49"/>
  <c r="BB52" i="49"/>
  <c r="BB505" i="49" s="1"/>
  <c r="BB58" i="49"/>
  <c r="BB51" i="49"/>
  <c r="BB69" i="49"/>
  <c r="BB71" i="49" s="1"/>
  <c r="BB503" i="49"/>
  <c r="BB536" i="49" s="1"/>
  <c r="AC7" i="95" s="1"/>
  <c r="BB549" i="49"/>
  <c r="BB53" i="49"/>
  <c r="BB506" i="49" s="1"/>
  <c r="H29" i="110"/>
  <c r="P18" i="94"/>
  <c r="AR59" i="49"/>
  <c r="AX191" i="49"/>
  <c r="AX239" i="49"/>
  <c r="N462" i="49"/>
  <c r="N463" i="49" s="1"/>
  <c r="AY73" i="49"/>
  <c r="AY100" i="49"/>
  <c r="AX162" i="49"/>
  <c r="AY162" i="49"/>
  <c r="H51" i="49"/>
  <c r="H504" i="49" s="1"/>
  <c r="H52" i="49"/>
  <c r="H505" i="49" s="1"/>
  <c r="H69" i="49"/>
  <c r="H71" i="49" s="1"/>
  <c r="H58" i="49"/>
  <c r="H503" i="49"/>
  <c r="H536" i="49" s="1"/>
  <c r="H53" i="49"/>
  <c r="H506" i="49" s="1"/>
  <c r="D456" i="49"/>
  <c r="D462" i="49" s="1"/>
  <c r="D463" i="49" s="1"/>
  <c r="D460" i="49"/>
  <c r="D459" i="49"/>
  <c r="T459" i="49"/>
  <c r="R462" i="49"/>
  <c r="R463" i="49" s="1"/>
  <c r="I38" i="94"/>
  <c r="I66" i="94"/>
  <c r="AX241" i="49"/>
  <c r="AX193" i="49"/>
  <c r="N19" i="68"/>
  <c r="N20" i="68" s="1"/>
  <c r="N37" i="68"/>
  <c r="D15" i="68"/>
  <c r="D32" i="68" s="1"/>
  <c r="L504" i="49"/>
  <c r="E57" i="110"/>
  <c r="T536" i="49"/>
  <c r="V18" i="94"/>
  <c r="AI73" i="49"/>
  <c r="AI100" i="49"/>
  <c r="AB25" i="72"/>
  <c r="AB24" i="72"/>
  <c r="AB99" i="72"/>
  <c r="AU74" i="49"/>
  <c r="AU75" i="49"/>
  <c r="BH477" i="49"/>
  <c r="BA460" i="49"/>
  <c r="G90" i="94"/>
  <c r="AX246" i="49"/>
  <c r="AX198" i="49"/>
  <c r="AG52" i="72"/>
  <c r="R14" i="68"/>
  <c r="AD17" i="94"/>
  <c r="BC52" i="49"/>
  <c r="BC505" i="49" s="1"/>
  <c r="BJ50" i="49"/>
  <c r="BC51" i="49"/>
  <c r="BC69" i="49"/>
  <c r="BC71" i="49" s="1"/>
  <c r="BC58" i="49"/>
  <c r="BC503" i="49"/>
  <c r="BC536" i="49" s="1"/>
  <c r="AD7" i="95" s="1"/>
  <c r="BC549" i="49"/>
  <c r="I29" i="110"/>
  <c r="M14" i="68"/>
  <c r="U51" i="49"/>
  <c r="U52" i="49"/>
  <c r="U505" i="49" s="1"/>
  <c r="U69" i="49"/>
  <c r="U71" i="49" s="1"/>
  <c r="U73" i="49" s="1"/>
  <c r="U58" i="49"/>
  <c r="U503" i="49"/>
  <c r="U536" i="49" s="1"/>
  <c r="U53" i="49"/>
  <c r="U506" i="49" s="1"/>
  <c r="T456" i="49"/>
  <c r="T462" i="49" s="1"/>
  <c r="T463" i="49" s="1"/>
  <c r="F51" i="111"/>
  <c r="F55" i="111"/>
  <c r="F57" i="111" s="1"/>
  <c r="F52" i="111"/>
  <c r="AM59" i="49"/>
  <c r="AM60" i="49"/>
  <c r="AM62" i="49" s="1"/>
  <c r="AM64" i="49" s="1"/>
  <c r="AM65" i="49" s="1"/>
  <c r="M59" i="49"/>
  <c r="M80" i="49" s="1"/>
  <c r="M60" i="49"/>
  <c r="M62" i="49" s="1"/>
  <c r="M64" i="49" s="1"/>
  <c r="M65" i="49" s="1"/>
  <c r="R28" i="68"/>
  <c r="V25" i="94"/>
  <c r="V45" i="94" s="1"/>
  <c r="AU80" i="49"/>
  <c r="AU81" i="49" s="1"/>
  <c r="K37" i="68"/>
  <c r="T69" i="111"/>
  <c r="S123" i="111"/>
  <c r="T31" i="111" s="1"/>
  <c r="S34" i="94"/>
  <c r="S36" i="94" s="1"/>
  <c r="S19" i="94"/>
  <c r="S24" i="94"/>
  <c r="S18" i="94"/>
  <c r="S15" i="94"/>
  <c r="S16" i="94" s="1"/>
  <c r="S72" i="94"/>
  <c r="T18" i="94"/>
  <c r="AX238" i="49"/>
  <c r="AX190" i="49"/>
  <c r="K14" i="68"/>
  <c r="S52" i="49"/>
  <c r="S505" i="49" s="1"/>
  <c r="S58" i="49"/>
  <c r="S51" i="49"/>
  <c r="S69" i="49"/>
  <c r="S71" i="49" s="1"/>
  <c r="S503" i="49"/>
  <c r="S536" i="49" s="1"/>
  <c r="Z19" i="94"/>
  <c r="Z18" i="94"/>
  <c r="Z34" i="94"/>
  <c r="Z36" i="94" s="1"/>
  <c r="Z24" i="94"/>
  <c r="AA18" i="94"/>
  <c r="AG24" i="72"/>
  <c r="AG25" i="72"/>
  <c r="AG99" i="72"/>
  <c r="V458" i="49"/>
  <c r="W458" i="49" s="1"/>
  <c r="V472" i="49"/>
  <c r="X496" i="49"/>
  <c r="F52" i="110"/>
  <c r="AN59" i="49"/>
  <c r="G24" i="94"/>
  <c r="G18" i="94"/>
  <c r="G34" i="94"/>
  <c r="G36" i="94" s="1"/>
  <c r="G19" i="94"/>
  <c r="L65" i="111"/>
  <c r="K119" i="111"/>
  <c r="L27" i="111" s="1"/>
  <c r="AC14" i="94"/>
  <c r="F534" i="49"/>
  <c r="E534" i="49"/>
  <c r="AK59" i="49"/>
  <c r="AH540" i="49"/>
  <c r="AH541" i="49" s="1"/>
  <c r="AG542" i="49"/>
  <c r="V53" i="72"/>
  <c r="V54" i="72"/>
  <c r="W55" i="72"/>
  <c r="W53" i="72"/>
  <c r="V55" i="72"/>
  <c r="AX245" i="49"/>
  <c r="AX197" i="49"/>
  <c r="AD14" i="94"/>
  <c r="Q26" i="94"/>
  <c r="Q28" i="94" s="1"/>
  <c r="AC54" i="72"/>
  <c r="AD53" i="72"/>
  <c r="AD55" i="72"/>
  <c r="V460" i="49"/>
  <c r="W460" i="49" s="1"/>
  <c r="P462" i="49"/>
  <c r="P463" i="49" s="1"/>
  <c r="D21" i="110"/>
  <c r="D18" i="110"/>
  <c r="E20" i="110"/>
  <c r="E22" i="110"/>
  <c r="V84" i="49"/>
  <c r="K26" i="94"/>
  <c r="K28" i="94" s="1"/>
  <c r="F49" i="94"/>
  <c r="F53" i="94"/>
  <c r="F87" i="94"/>
  <c r="E92" i="94"/>
  <c r="AA32" i="72"/>
  <c r="AA33" i="72"/>
  <c r="O456" i="49"/>
  <c r="O462" i="49" s="1"/>
  <c r="O463" i="49" s="1"/>
  <c r="O459" i="49"/>
  <c r="O460" i="49"/>
  <c r="T75" i="49"/>
  <c r="V26" i="94"/>
  <c r="V28" i="94" s="1"/>
  <c r="F56" i="110"/>
  <c r="J53" i="72"/>
  <c r="J54" i="72"/>
  <c r="J55" i="72"/>
  <c r="K162" i="49"/>
  <c r="K167" i="49"/>
  <c r="AK60" i="94"/>
  <c r="AL60" i="94"/>
  <c r="AN60" i="94"/>
  <c r="AM60" i="94"/>
  <c r="AF33" i="72"/>
  <c r="AF32" i="72"/>
  <c r="S162" i="49"/>
  <c r="S167" i="49"/>
  <c r="J75" i="49"/>
  <c r="J81" i="49"/>
  <c r="J74" i="49"/>
  <c r="K20" i="68"/>
  <c r="G14" i="68"/>
  <c r="O52" i="49"/>
  <c r="O505" i="49" s="1"/>
  <c r="O58" i="49"/>
  <c r="O51" i="49"/>
  <c r="O69" i="49"/>
  <c r="O71" i="49" s="1"/>
  <c r="O503" i="49"/>
  <c r="O536" i="49" s="1"/>
  <c r="O53" i="49"/>
  <c r="O506" i="49" s="1"/>
  <c r="AX194" i="49"/>
  <c r="AX242" i="49"/>
  <c r="AG32" i="72"/>
  <c r="AG33" i="72"/>
  <c r="I90" i="111"/>
  <c r="I117" i="111" s="1"/>
  <c r="J25" i="111" s="1"/>
  <c r="Q38" i="94"/>
  <c r="Q66" i="94"/>
  <c r="AQ82" i="49"/>
  <c r="AQ86" i="49"/>
  <c r="R52" i="94" s="1"/>
  <c r="AX460" i="49"/>
  <c r="AB52" i="72"/>
  <c r="AC53" i="72" s="1"/>
  <c r="Y17" i="94"/>
  <c r="AX51" i="49"/>
  <c r="AX52" i="49"/>
  <c r="AX505" i="49" s="1"/>
  <c r="AX69" i="49"/>
  <c r="AX71" i="49" s="1"/>
  <c r="AX58" i="49"/>
  <c r="AX549" i="49"/>
  <c r="AX503" i="49"/>
  <c r="AX536" i="49" s="1"/>
  <c r="Y7" i="95" s="1"/>
  <c r="D29" i="110"/>
  <c r="AX53" i="49"/>
  <c r="AX506" i="49" s="1"/>
  <c r="J73" i="94"/>
  <c r="N162" i="49"/>
  <c r="N167" i="49"/>
  <c r="R162" i="49"/>
  <c r="AV275" i="49"/>
  <c r="AV295" i="49"/>
  <c r="AV283" i="49"/>
  <c r="AV282" i="49" s="1"/>
  <c r="AV284" i="49" s="1"/>
  <c r="BE295" i="49"/>
  <c r="K73" i="94"/>
  <c r="AE32" i="72"/>
  <c r="AE33" i="72"/>
  <c r="J91" i="111"/>
  <c r="J118" i="111" s="1"/>
  <c r="K26" i="111" s="1"/>
  <c r="K91" i="111"/>
  <c r="I91" i="111"/>
  <c r="I118" i="111" s="1"/>
  <c r="J26" i="111" s="1"/>
  <c r="J89" i="111"/>
  <c r="J116" i="111" s="1"/>
  <c r="K24" i="111" s="1"/>
  <c r="T60" i="49"/>
  <c r="T62" i="49" s="1"/>
  <c r="T64" i="49" s="1"/>
  <c r="T59" i="49"/>
  <c r="I59" i="49"/>
  <c r="I80" i="49" s="1"/>
  <c r="I60" i="49"/>
  <c r="I62" i="49" s="1"/>
  <c r="I64" i="49" s="1"/>
  <c r="T51" i="49"/>
  <c r="O18" i="94"/>
  <c r="O24" i="94"/>
  <c r="O34" i="94"/>
  <c r="O36" i="94" s="1"/>
  <c r="O19" i="94"/>
  <c r="J19" i="94"/>
  <c r="J24" i="94"/>
  <c r="J18" i="94"/>
  <c r="J34" i="94"/>
  <c r="J36" i="94" s="1"/>
  <c r="K18" i="94"/>
  <c r="AC49" i="72"/>
  <c r="AC50" i="72"/>
  <c r="AU277" i="49"/>
  <c r="AU278" i="49"/>
  <c r="AU276" i="49"/>
  <c r="K92" i="111"/>
  <c r="J92" i="111"/>
  <c r="J119" i="111" s="1"/>
  <c r="K27" i="111" s="1"/>
  <c r="L24" i="94"/>
  <c r="L18" i="94"/>
  <c r="L34" i="94"/>
  <c r="L36" i="94" s="1"/>
  <c r="L19" i="94"/>
  <c r="M18" i="94"/>
  <c r="L15" i="94"/>
  <c r="L16" i="94" s="1"/>
  <c r="G59" i="49"/>
  <c r="G80" i="49" s="1"/>
  <c r="T71" i="72"/>
  <c r="T70" i="72"/>
  <c r="AX195" i="49"/>
  <c r="AX243" i="49"/>
  <c r="AV534" i="49"/>
  <c r="AV536" i="49" s="1"/>
  <c r="W7" i="95" s="1"/>
  <c r="R42" i="72"/>
  <c r="R41" i="72"/>
  <c r="N72" i="94"/>
  <c r="H459" i="49"/>
  <c r="H456" i="49"/>
  <c r="H462" i="49" s="1"/>
  <c r="H463" i="49" s="1"/>
  <c r="H460" i="49"/>
  <c r="L61" i="111"/>
  <c r="R53" i="72"/>
  <c r="R54" i="72"/>
  <c r="R55" i="72"/>
  <c r="Z50" i="72"/>
  <c r="Z49" i="72"/>
  <c r="AC41" i="72"/>
  <c r="AC42" i="72"/>
  <c r="S70" i="72"/>
  <c r="S71" i="72"/>
  <c r="D58" i="49"/>
  <c r="D52" i="49"/>
  <c r="D505" i="49" s="1"/>
  <c r="D69" i="49"/>
  <c r="D71" i="49" s="1"/>
  <c r="D503" i="49"/>
  <c r="BG50" i="49"/>
  <c r="AZ162" i="49"/>
  <c r="BA162" i="49"/>
  <c r="AT59" i="49"/>
  <c r="AM73" i="49"/>
  <c r="AM100" i="49"/>
  <c r="H25" i="94"/>
  <c r="H45" i="94" s="1"/>
  <c r="AG80" i="49"/>
  <c r="AG81" i="49" s="1"/>
  <c r="L22" i="68"/>
  <c r="L16" i="68"/>
  <c r="L31" i="68"/>
  <c r="L33" i="68" s="1"/>
  <c r="L38" i="68"/>
  <c r="J167" i="49"/>
  <c r="J162" i="49"/>
  <c r="O54" i="72"/>
  <c r="O53" i="72"/>
  <c r="P53" i="72"/>
  <c r="P55" i="72"/>
  <c r="O55" i="72"/>
  <c r="T63" i="72"/>
  <c r="T62" i="72"/>
  <c r="E536" i="49"/>
  <c r="R49" i="72"/>
  <c r="R50" i="72"/>
  <c r="Q70" i="111"/>
  <c r="AD73" i="49"/>
  <c r="AD100" i="49"/>
  <c r="AE24" i="72"/>
  <c r="AE99" i="72"/>
  <c r="AE25" i="72"/>
  <c r="L73" i="94"/>
  <c r="Z41" i="72"/>
  <c r="Z42" i="72"/>
  <c r="F14" i="68"/>
  <c r="N52" i="49"/>
  <c r="N505" i="49" s="1"/>
  <c r="N69" i="49"/>
  <c r="N71" i="49" s="1"/>
  <c r="N51" i="49"/>
  <c r="N58" i="49"/>
  <c r="N503" i="49"/>
  <c r="N536" i="49" s="1"/>
  <c r="N53" i="49"/>
  <c r="N506" i="49" s="1"/>
  <c r="G114" i="111"/>
  <c r="H22" i="111" s="1"/>
  <c r="H60" i="111"/>
  <c r="V533" i="49"/>
  <c r="AH65" i="49"/>
  <c r="AV59" i="49"/>
  <c r="AE52" i="72"/>
  <c r="AB17" i="94"/>
  <c r="BH50" i="49"/>
  <c r="BA58" i="49"/>
  <c r="BA51" i="49"/>
  <c r="BA504" i="49" s="1"/>
  <c r="BA52" i="49"/>
  <c r="BA505" i="49" s="1"/>
  <c r="BA69" i="49"/>
  <c r="BA71" i="49" s="1"/>
  <c r="BA503" i="49"/>
  <c r="BA536" i="49" s="1"/>
  <c r="AB7" i="95" s="1"/>
  <c r="BA549" i="49"/>
  <c r="BA53" i="49"/>
  <c r="BA506" i="49" s="1"/>
  <c r="G29" i="110"/>
  <c r="G25" i="110" s="1"/>
  <c r="S53" i="72"/>
  <c r="E73" i="49"/>
  <c r="H100" i="49"/>
  <c r="Q533" i="49"/>
  <c r="F536" i="49"/>
  <c r="J20" i="68"/>
  <c r="V30" i="49"/>
  <c r="V31" i="49"/>
  <c r="V50" i="49"/>
  <c r="Z30" i="49"/>
  <c r="H26" i="94"/>
  <c r="H28" i="94" s="1"/>
  <c r="Y14" i="94"/>
  <c r="Y15" i="94"/>
  <c r="Y16" i="94" s="1"/>
  <c r="E63" i="110"/>
  <c r="F63" i="110"/>
  <c r="F65" i="110" s="1"/>
  <c r="F64" i="110"/>
  <c r="E65" i="110"/>
  <c r="D147" i="110"/>
  <c r="D151" i="110"/>
  <c r="D153" i="110" s="1"/>
  <c r="D152" i="110"/>
  <c r="D154" i="110" s="1"/>
  <c r="D156" i="110"/>
  <c r="D158" i="110" s="1"/>
  <c r="D160" i="110" s="1"/>
  <c r="D70" i="110" s="1"/>
  <c r="E147" i="110"/>
  <c r="E151" i="110"/>
  <c r="E152" i="110"/>
  <c r="E154" i="110" s="1"/>
  <c r="F147" i="110"/>
  <c r="F151" i="110"/>
  <c r="F153" i="110" s="1"/>
  <c r="F152" i="110"/>
  <c r="G147" i="110"/>
  <c r="G151" i="110"/>
  <c r="G152" i="110"/>
  <c r="H147" i="110"/>
  <c r="H156" i="110" s="1"/>
  <c r="H151" i="110"/>
  <c r="H152" i="110"/>
  <c r="H153" i="110"/>
  <c r="I151" i="110"/>
  <c r="I152" i="110"/>
  <c r="I154" i="110" s="1"/>
  <c r="D141" i="110"/>
  <c r="E141" i="110"/>
  <c r="F142" i="110" s="1"/>
  <c r="F141" i="110"/>
  <c r="G141" i="110"/>
  <c r="K70" i="110"/>
  <c r="U70" i="110"/>
  <c r="D72" i="110"/>
  <c r="E72" i="110"/>
  <c r="F72" i="110"/>
  <c r="G72" i="110"/>
  <c r="H72" i="110"/>
  <c r="I72" i="110"/>
  <c r="J72" i="110"/>
  <c r="D77" i="110"/>
  <c r="E77" i="110"/>
  <c r="F77" i="110"/>
  <c r="G77" i="110"/>
  <c r="H77" i="110"/>
  <c r="I77" i="110"/>
  <c r="D78" i="110"/>
  <c r="E78" i="110"/>
  <c r="F78" i="110"/>
  <c r="G78" i="110"/>
  <c r="H78" i="110"/>
  <c r="I78" i="110"/>
  <c r="U148" i="110"/>
  <c r="U85" i="110"/>
  <c r="E85" i="110"/>
  <c r="F85" i="110"/>
  <c r="H121" i="110"/>
  <c r="H95" i="110"/>
  <c r="I95" i="110"/>
  <c r="J95" i="110"/>
  <c r="E121" i="110"/>
  <c r="L121" i="110"/>
  <c r="L122" i="110"/>
  <c r="U128" i="110"/>
  <c r="B129" i="110"/>
  <c r="B130" i="110"/>
  <c r="U130" i="110"/>
  <c r="D138" i="110"/>
  <c r="E138" i="110"/>
  <c r="F138" i="110"/>
  <c r="F154" i="110" s="1"/>
  <c r="G138" i="110"/>
  <c r="G144" i="110" s="1"/>
  <c r="H138" i="110"/>
  <c r="D139" i="110"/>
  <c r="F139" i="110"/>
  <c r="H139" i="110"/>
  <c r="I139" i="110"/>
  <c r="G142" i="110"/>
  <c r="E143" i="110"/>
  <c r="F143" i="110"/>
  <c r="I144" i="110"/>
  <c r="E148" i="110"/>
  <c r="H154" i="110"/>
  <c r="D157" i="110"/>
  <c r="D166" i="110"/>
  <c r="E166" i="110"/>
  <c r="F166" i="110"/>
  <c r="F168" i="110" s="1"/>
  <c r="G166" i="110"/>
  <c r="H166" i="110"/>
  <c r="H168" i="110" s="1"/>
  <c r="H170" i="110" s="1"/>
  <c r="I166" i="110"/>
  <c r="D167" i="110"/>
  <c r="E167" i="110"/>
  <c r="F167" i="110"/>
  <c r="G167" i="110"/>
  <c r="H167" i="110"/>
  <c r="I167" i="110"/>
  <c r="J167" i="110"/>
  <c r="K167" i="110"/>
  <c r="L167" i="110"/>
  <c r="M167" i="110"/>
  <c r="N167" i="110"/>
  <c r="O167" i="110"/>
  <c r="P167" i="110"/>
  <c r="Q167" i="110"/>
  <c r="R167" i="110"/>
  <c r="S167" i="110"/>
  <c r="T167" i="110"/>
  <c r="U167" i="110"/>
  <c r="D168" i="110"/>
  <c r="D170" i="110" s="1"/>
  <c r="E168" i="110"/>
  <c r="G168" i="110"/>
  <c r="G170" i="110" s="1"/>
  <c r="I168" i="110"/>
  <c r="I170" i="110" s="1"/>
  <c r="D169" i="110"/>
  <c r="E169" i="110"/>
  <c r="F169" i="110"/>
  <c r="G169" i="110"/>
  <c r="H169" i="110"/>
  <c r="I169" i="110"/>
  <c r="E170" i="110"/>
  <c r="F170" i="110"/>
  <c r="D172" i="110"/>
  <c r="D175" i="110"/>
  <c r="E175" i="110"/>
  <c r="F175" i="110"/>
  <c r="D176" i="110"/>
  <c r="E176" i="110"/>
  <c r="F176" i="110"/>
  <c r="D177" i="110"/>
  <c r="E177" i="110"/>
  <c r="F177" i="110"/>
  <c r="F193" i="110" s="1"/>
  <c r="G177" i="110"/>
  <c r="H177" i="110"/>
  <c r="I177" i="110"/>
  <c r="J177" i="110"/>
  <c r="K177" i="110"/>
  <c r="L177" i="110"/>
  <c r="D178" i="110"/>
  <c r="E178" i="110"/>
  <c r="F178" i="110"/>
  <c r="G178" i="110"/>
  <c r="H178" i="110"/>
  <c r="D179" i="110"/>
  <c r="E179" i="110"/>
  <c r="F179" i="110"/>
  <c r="G179" i="110"/>
  <c r="H179" i="110"/>
  <c r="I179" i="110"/>
  <c r="J179" i="110"/>
  <c r="D180" i="110"/>
  <c r="E180" i="110"/>
  <c r="F180" i="110"/>
  <c r="G180" i="110"/>
  <c r="H180" i="110"/>
  <c r="I180" i="110"/>
  <c r="J180" i="110"/>
  <c r="K180" i="110"/>
  <c r="D181" i="110"/>
  <c r="E181" i="110"/>
  <c r="F181" i="110"/>
  <c r="G181" i="110"/>
  <c r="H181" i="110"/>
  <c r="I181" i="110"/>
  <c r="D182" i="110"/>
  <c r="E182" i="110"/>
  <c r="F182" i="110"/>
  <c r="G182" i="110"/>
  <c r="H182" i="110"/>
  <c r="I182" i="110"/>
  <c r="J182" i="110"/>
  <c r="D183" i="110"/>
  <c r="E183" i="110"/>
  <c r="F183" i="110"/>
  <c r="G183" i="110"/>
  <c r="H183" i="110"/>
  <c r="I183" i="110"/>
  <c r="J183" i="110"/>
  <c r="K183" i="110"/>
  <c r="D184" i="110"/>
  <c r="E184" i="110"/>
  <c r="F184" i="110"/>
  <c r="G184" i="110"/>
  <c r="H184" i="110"/>
  <c r="I184" i="110"/>
  <c r="J184" i="110"/>
  <c r="K184" i="110"/>
  <c r="L184" i="110"/>
  <c r="D185" i="110"/>
  <c r="E185" i="110"/>
  <c r="F185" i="110"/>
  <c r="G185" i="110"/>
  <c r="H185" i="110"/>
  <c r="I185" i="110"/>
  <c r="J185" i="110"/>
  <c r="K185" i="110"/>
  <c r="L185" i="110"/>
  <c r="M185" i="110"/>
  <c r="D186" i="110"/>
  <c r="E186" i="110"/>
  <c r="F186" i="110"/>
  <c r="G186" i="110"/>
  <c r="H186" i="110"/>
  <c r="I186" i="110"/>
  <c r="J186" i="110"/>
  <c r="K186" i="110"/>
  <c r="L186" i="110"/>
  <c r="M186" i="110"/>
  <c r="N186" i="110"/>
  <c r="D187" i="110"/>
  <c r="E187" i="110"/>
  <c r="F187" i="110"/>
  <c r="G187" i="110"/>
  <c r="H187" i="110"/>
  <c r="I187" i="110"/>
  <c r="J187" i="110"/>
  <c r="K187" i="110"/>
  <c r="L187" i="110"/>
  <c r="M187" i="110"/>
  <c r="N187" i="110"/>
  <c r="O187" i="110"/>
  <c r="D188" i="110"/>
  <c r="E188" i="110"/>
  <c r="F188" i="110"/>
  <c r="G188" i="110"/>
  <c r="H188" i="110"/>
  <c r="I188" i="110"/>
  <c r="J188" i="110"/>
  <c r="K188" i="110"/>
  <c r="L188" i="110"/>
  <c r="M188" i="110"/>
  <c r="N188" i="110"/>
  <c r="O188" i="110"/>
  <c r="P188" i="110"/>
  <c r="D189" i="110"/>
  <c r="E189" i="110"/>
  <c r="F189" i="110"/>
  <c r="G189" i="110"/>
  <c r="H189" i="110"/>
  <c r="I189" i="110"/>
  <c r="J189" i="110"/>
  <c r="K189" i="110"/>
  <c r="L189" i="110"/>
  <c r="M189" i="110"/>
  <c r="N189" i="110"/>
  <c r="O189" i="110"/>
  <c r="P189" i="110"/>
  <c r="Q189" i="110"/>
  <c r="D190" i="110"/>
  <c r="E190" i="110"/>
  <c r="F190" i="110"/>
  <c r="G190" i="110"/>
  <c r="H190" i="110"/>
  <c r="I190" i="110"/>
  <c r="J190" i="110"/>
  <c r="K190" i="110"/>
  <c r="L190" i="110"/>
  <c r="M190" i="110"/>
  <c r="N190" i="110"/>
  <c r="O190" i="110"/>
  <c r="P190" i="110"/>
  <c r="Q190" i="110"/>
  <c r="R190" i="110"/>
  <c r="D191" i="110"/>
  <c r="E191" i="110"/>
  <c r="F191" i="110"/>
  <c r="G191" i="110"/>
  <c r="H191" i="110"/>
  <c r="I191" i="110"/>
  <c r="J191" i="110"/>
  <c r="K191" i="110"/>
  <c r="L191" i="110"/>
  <c r="M191" i="110"/>
  <c r="N191" i="110"/>
  <c r="O191" i="110"/>
  <c r="P191" i="110"/>
  <c r="Q191" i="110"/>
  <c r="R191" i="110"/>
  <c r="S191" i="110"/>
  <c r="D192" i="110"/>
  <c r="E192" i="110"/>
  <c r="F192" i="110"/>
  <c r="G192" i="110"/>
  <c r="H192" i="110"/>
  <c r="I192" i="110"/>
  <c r="J192" i="110"/>
  <c r="K192" i="110"/>
  <c r="L192" i="110"/>
  <c r="M192" i="110"/>
  <c r="N192" i="110"/>
  <c r="O192" i="110"/>
  <c r="P192" i="110"/>
  <c r="Q192" i="110"/>
  <c r="R192" i="110"/>
  <c r="S192" i="110"/>
  <c r="T192" i="110"/>
  <c r="D196" i="110"/>
  <c r="E196" i="110"/>
  <c r="F196" i="110"/>
  <c r="G196" i="110"/>
  <c r="H196" i="110"/>
  <c r="I196" i="110"/>
  <c r="D202" i="110"/>
  <c r="E202" i="110"/>
  <c r="F202" i="110"/>
  <c r="G202" i="110"/>
  <c r="H202" i="110"/>
  <c r="I202" i="110"/>
  <c r="E207" i="110"/>
  <c r="F207" i="110" s="1"/>
  <c r="G207" i="110" s="1"/>
  <c r="H207" i="110" s="1"/>
  <c r="I207" i="110" s="1"/>
  <c r="J207" i="110" s="1"/>
  <c r="K207" i="110" s="1"/>
  <c r="J208" i="110"/>
  <c r="AC2" i="109"/>
  <c r="J12" i="109"/>
  <c r="E149" i="109"/>
  <c r="F152" i="109" s="1"/>
  <c r="D149" i="109"/>
  <c r="E152" i="109" s="1"/>
  <c r="F15" i="109"/>
  <c r="F17" i="109" s="1"/>
  <c r="G15" i="109"/>
  <c r="H15" i="109"/>
  <c r="H17" i="109" s="1"/>
  <c r="I15" i="109"/>
  <c r="J15" i="109"/>
  <c r="J17" i="109" s="1"/>
  <c r="K15" i="109"/>
  <c r="K17" i="109" s="1"/>
  <c r="L15" i="109"/>
  <c r="M15" i="109"/>
  <c r="M17" i="109" s="1"/>
  <c r="N15" i="109"/>
  <c r="O15" i="109"/>
  <c r="P15" i="109"/>
  <c r="P17" i="109" s="1"/>
  <c r="Q15" i="109"/>
  <c r="F16" i="109"/>
  <c r="G16" i="109"/>
  <c r="H16" i="109"/>
  <c r="I16" i="109"/>
  <c r="J16" i="109"/>
  <c r="K16" i="109"/>
  <c r="L16" i="109"/>
  <c r="M16" i="109"/>
  <c r="N16" i="109"/>
  <c r="N17" i="109" s="1"/>
  <c r="O16" i="109"/>
  <c r="O17" i="109" s="1"/>
  <c r="P16" i="109"/>
  <c r="Q16" i="109"/>
  <c r="G17" i="109"/>
  <c r="F149" i="109"/>
  <c r="F150" i="109"/>
  <c r="G149" i="109"/>
  <c r="G150" i="109"/>
  <c r="H149" i="109"/>
  <c r="H150" i="109"/>
  <c r="I149" i="109"/>
  <c r="I150" i="109" s="1"/>
  <c r="I19" i="109" s="1"/>
  <c r="J149" i="109"/>
  <c r="J150" i="109" s="1"/>
  <c r="K149" i="109"/>
  <c r="L149" i="109"/>
  <c r="L167" i="109" s="1"/>
  <c r="L150" i="109"/>
  <c r="M149" i="109"/>
  <c r="M150" i="109"/>
  <c r="M19" i="109" s="1"/>
  <c r="M18" i="109" s="1"/>
  <c r="N149" i="109"/>
  <c r="N150" i="109"/>
  <c r="O149" i="109"/>
  <c r="O150" i="109" s="1"/>
  <c r="P149" i="109"/>
  <c r="P167" i="109" s="1"/>
  <c r="Q149" i="109"/>
  <c r="Q150" i="109" s="1"/>
  <c r="M68" i="109"/>
  <c r="N68" i="109" s="1"/>
  <c r="E50" i="109"/>
  <c r="F50" i="109"/>
  <c r="G50" i="109"/>
  <c r="H50" i="109"/>
  <c r="I50" i="109"/>
  <c r="J50" i="109"/>
  <c r="K50" i="109"/>
  <c r="L50" i="109"/>
  <c r="M50" i="109"/>
  <c r="N50" i="109"/>
  <c r="O50" i="109"/>
  <c r="P50" i="109"/>
  <c r="Q50" i="109"/>
  <c r="E56" i="109"/>
  <c r="Q156" i="109"/>
  <c r="R152" i="109" s="1"/>
  <c r="R154" i="109"/>
  <c r="R173" i="109" s="1"/>
  <c r="S154" i="109"/>
  <c r="S173" i="109" s="1"/>
  <c r="T154" i="109"/>
  <c r="T173" i="109" s="1"/>
  <c r="U154" i="109"/>
  <c r="U173" i="109" s="1"/>
  <c r="V154" i="109"/>
  <c r="V173" i="109" s="1"/>
  <c r="W154" i="109"/>
  <c r="X154" i="109"/>
  <c r="Y154" i="109"/>
  <c r="Z154" i="109"/>
  <c r="Z173" i="109" s="1"/>
  <c r="AA154" i="109"/>
  <c r="AB154" i="109"/>
  <c r="AC154" i="109"/>
  <c r="AC173" i="109" s="1"/>
  <c r="G152" i="109"/>
  <c r="H152" i="109"/>
  <c r="H155" i="109" s="1"/>
  <c r="I152" i="109"/>
  <c r="J152" i="109"/>
  <c r="K152" i="109"/>
  <c r="M152" i="109"/>
  <c r="N152" i="109"/>
  <c r="O152" i="109"/>
  <c r="P152" i="109"/>
  <c r="E156" i="109"/>
  <c r="F156" i="109"/>
  <c r="F155" i="109" s="1"/>
  <c r="G156" i="109"/>
  <c r="H156" i="109"/>
  <c r="J156" i="109"/>
  <c r="J155" i="109" s="1"/>
  <c r="L156" i="109"/>
  <c r="M156" i="109"/>
  <c r="M155" i="109"/>
  <c r="N156" i="109"/>
  <c r="N155" i="109" s="1"/>
  <c r="O156" i="109"/>
  <c r="P156" i="109"/>
  <c r="P155" i="109" s="1"/>
  <c r="Q164" i="109"/>
  <c r="R161" i="109"/>
  <c r="P164" i="109"/>
  <c r="Q161" i="109"/>
  <c r="Q163" i="109" s="1"/>
  <c r="R163" i="109"/>
  <c r="E161" i="109"/>
  <c r="E164" i="109"/>
  <c r="F161" i="109" s="1"/>
  <c r="F163" i="109" s="1"/>
  <c r="F164" i="109"/>
  <c r="G161" i="109"/>
  <c r="G164" i="109"/>
  <c r="H161" i="109" s="1"/>
  <c r="H163" i="109" s="1"/>
  <c r="H164" i="109"/>
  <c r="I161" i="109"/>
  <c r="I164" i="109"/>
  <c r="J164" i="109"/>
  <c r="K161" i="109"/>
  <c r="K164" i="109"/>
  <c r="K163" i="109" s="1"/>
  <c r="L164" i="109"/>
  <c r="M161" i="109" s="1"/>
  <c r="M164" i="109"/>
  <c r="N161" i="109" s="1"/>
  <c r="N163" i="109" s="1"/>
  <c r="N164" i="109"/>
  <c r="O161" i="109"/>
  <c r="O164" i="109"/>
  <c r="O163" i="109" s="1"/>
  <c r="P161" i="109"/>
  <c r="P163" i="109" s="1"/>
  <c r="E163" i="109"/>
  <c r="G163" i="109"/>
  <c r="E167" i="109"/>
  <c r="F167" i="109"/>
  <c r="F169" i="109" s="1"/>
  <c r="G167" i="109"/>
  <c r="H167" i="109"/>
  <c r="I167" i="109"/>
  <c r="I169" i="109" s="1"/>
  <c r="J167" i="109"/>
  <c r="J169" i="109" s="1"/>
  <c r="K167" i="109"/>
  <c r="M167" i="109"/>
  <c r="N167" i="109"/>
  <c r="O167" i="109"/>
  <c r="D168" i="109"/>
  <c r="E168" i="109"/>
  <c r="E169" i="109" s="1"/>
  <c r="F168" i="109"/>
  <c r="G168" i="109"/>
  <c r="H168" i="109"/>
  <c r="I168" i="109"/>
  <c r="J168" i="109"/>
  <c r="K168" i="109"/>
  <c r="L168" i="109"/>
  <c r="L169" i="109" s="1"/>
  <c r="M168" i="109"/>
  <c r="N168" i="109"/>
  <c r="O168" i="109"/>
  <c r="O169" i="109" s="1"/>
  <c r="P168" i="109"/>
  <c r="Q168" i="109"/>
  <c r="G169" i="109"/>
  <c r="G187" i="109" s="1"/>
  <c r="N169" i="109"/>
  <c r="O171" i="109" s="1"/>
  <c r="H171" i="109"/>
  <c r="F172" i="109"/>
  <c r="G172" i="109"/>
  <c r="H172" i="109"/>
  <c r="I172" i="109"/>
  <c r="J172" i="109"/>
  <c r="K172" i="109"/>
  <c r="L172" i="109"/>
  <c r="M172" i="109"/>
  <c r="N172" i="109"/>
  <c r="O172" i="109"/>
  <c r="P172" i="109"/>
  <c r="Q172" i="109"/>
  <c r="F173" i="109"/>
  <c r="G173" i="109"/>
  <c r="H173" i="109"/>
  <c r="I173" i="109"/>
  <c r="J173" i="109"/>
  <c r="K173" i="109"/>
  <c r="L173" i="109"/>
  <c r="M173" i="109"/>
  <c r="N173" i="109"/>
  <c r="O173" i="109"/>
  <c r="P173" i="109"/>
  <c r="Q173" i="109"/>
  <c r="W173" i="109"/>
  <c r="X173" i="109"/>
  <c r="Y173" i="109"/>
  <c r="AA173" i="109"/>
  <c r="AB173" i="109"/>
  <c r="E174" i="109"/>
  <c r="F174" i="109"/>
  <c r="G174" i="109"/>
  <c r="H174" i="109"/>
  <c r="I174" i="109"/>
  <c r="J174" i="109"/>
  <c r="K174" i="109"/>
  <c r="L174" i="109"/>
  <c r="M174" i="109"/>
  <c r="N174" i="109"/>
  <c r="O174" i="109"/>
  <c r="P174" i="109"/>
  <c r="Q174" i="109"/>
  <c r="G176" i="109"/>
  <c r="N176" i="109"/>
  <c r="E185" i="109"/>
  <c r="F185" i="109"/>
  <c r="G185" i="109"/>
  <c r="H185" i="109"/>
  <c r="J185" i="109"/>
  <c r="K185" i="109"/>
  <c r="L185" i="109"/>
  <c r="M185" i="109"/>
  <c r="N185" i="109"/>
  <c r="O185" i="109"/>
  <c r="F186" i="109"/>
  <c r="G186" i="109"/>
  <c r="J186" i="109"/>
  <c r="L186" i="109"/>
  <c r="N186" i="109"/>
  <c r="O186" i="109"/>
  <c r="Q186" i="109"/>
  <c r="N187" i="109"/>
  <c r="U2" i="108"/>
  <c r="B3" i="108"/>
  <c r="D9" i="108"/>
  <c r="E9" i="108"/>
  <c r="F9" i="108"/>
  <c r="G9" i="108"/>
  <c r="H9" i="108"/>
  <c r="I9" i="108"/>
  <c r="I12" i="108" s="1"/>
  <c r="D10" i="108"/>
  <c r="E10" i="108"/>
  <c r="F10" i="108"/>
  <c r="G10" i="108"/>
  <c r="H10" i="108"/>
  <c r="I10" i="108"/>
  <c r="J10" i="108"/>
  <c r="D11" i="108"/>
  <c r="E11" i="108"/>
  <c r="F11" i="108"/>
  <c r="G11" i="108"/>
  <c r="H11" i="108"/>
  <c r="I11" i="108"/>
  <c r="J11" i="108"/>
  <c r="D12" i="108"/>
  <c r="G12" i="108"/>
  <c r="H12" i="108"/>
  <c r="H13" i="108" s="1"/>
  <c r="L147" i="108"/>
  <c r="D13" i="108"/>
  <c r="I13" i="108"/>
  <c r="D14" i="108"/>
  <c r="E14" i="108"/>
  <c r="F14" i="108"/>
  <c r="G14" i="108"/>
  <c r="H14" i="108"/>
  <c r="I14" i="108"/>
  <c r="K15" i="108"/>
  <c r="L15" i="108"/>
  <c r="M15" i="108"/>
  <c r="N15" i="108"/>
  <c r="O15" i="108"/>
  <c r="P15" i="108"/>
  <c r="Q15" i="108"/>
  <c r="R15" i="108"/>
  <c r="S15" i="108"/>
  <c r="T15" i="108"/>
  <c r="U15" i="108"/>
  <c r="AX14" i="64"/>
  <c r="J77" i="94"/>
  <c r="J103" i="94"/>
  <c r="J107" i="94"/>
  <c r="J16" i="108"/>
  <c r="K16" i="108"/>
  <c r="L16" i="108"/>
  <c r="J108" i="94" l="1"/>
  <c r="J104" i="94"/>
  <c r="I111" i="94"/>
  <c r="G112" i="94"/>
  <c r="E113" i="94"/>
  <c r="J101" i="94"/>
  <c r="J102" i="94" s="1"/>
  <c r="J79" i="94"/>
  <c r="AX15" i="64"/>
  <c r="AX17" i="64"/>
  <c r="Y118" i="94"/>
  <c r="Y119" i="94" s="1"/>
  <c r="AX294" i="49"/>
  <c r="O187" i="109"/>
  <c r="O176" i="109"/>
  <c r="O175" i="109" s="1"/>
  <c r="P171" i="109"/>
  <c r="G171" i="109"/>
  <c r="G175" i="109" s="1"/>
  <c r="F176" i="109"/>
  <c r="F187" i="109"/>
  <c r="F171" i="109"/>
  <c r="E187" i="109"/>
  <c r="E176" i="109"/>
  <c r="J171" i="109"/>
  <c r="I187" i="109"/>
  <c r="I176" i="109"/>
  <c r="J176" i="109"/>
  <c r="J175" i="109" s="1"/>
  <c r="K171" i="109"/>
  <c r="J187" i="109"/>
  <c r="M163" i="109"/>
  <c r="I163" i="109"/>
  <c r="J161" i="109"/>
  <c r="J163" i="109" s="1"/>
  <c r="I64" i="109"/>
  <c r="L176" i="109"/>
  <c r="L187" i="109"/>
  <c r="F12" i="108"/>
  <c r="F13" i="108" s="1"/>
  <c r="M171" i="109"/>
  <c r="E12" i="108"/>
  <c r="E13" i="108" s="1"/>
  <c r="I186" i="109"/>
  <c r="K169" i="109"/>
  <c r="G155" i="109"/>
  <c r="O68" i="109"/>
  <c r="P169" i="109"/>
  <c r="L161" i="109"/>
  <c r="L163" i="109" s="1"/>
  <c r="O155" i="109"/>
  <c r="E139" i="110"/>
  <c r="E144" i="110"/>
  <c r="R16" i="68"/>
  <c r="L180" i="110"/>
  <c r="T99" i="111"/>
  <c r="F156" i="110"/>
  <c r="F148" i="110"/>
  <c r="AX59" i="49"/>
  <c r="AX60" i="49" s="1"/>
  <c r="AX62" i="49" s="1"/>
  <c r="AX64" i="49" s="1"/>
  <c r="AX65" i="49" s="1"/>
  <c r="K150" i="109"/>
  <c r="L152" i="109"/>
  <c r="L155" i="109" s="1"/>
  <c r="M169" i="109"/>
  <c r="Q167" i="109"/>
  <c r="Q169" i="109" s="1"/>
  <c r="Q185" i="109"/>
  <c r="J19" i="109"/>
  <c r="L17" i="109"/>
  <c r="P150" i="109"/>
  <c r="Q152" i="109"/>
  <c r="Q155" i="109" s="1"/>
  <c r="R155" i="109" s="1"/>
  <c r="I185" i="109"/>
  <c r="I156" i="109"/>
  <c r="I155" i="109" s="1"/>
  <c r="L207" i="110"/>
  <c r="K208" i="110"/>
  <c r="O62" i="72"/>
  <c r="O63" i="72"/>
  <c r="AC62" i="72"/>
  <c r="AC63" i="72"/>
  <c r="H19" i="109"/>
  <c r="H186" i="109"/>
  <c r="I17" i="109"/>
  <c r="I18" i="109" s="1"/>
  <c r="I30" i="110"/>
  <c r="I31" i="110"/>
  <c r="I49" i="110"/>
  <c r="I55" i="110" s="1"/>
  <c r="I25" i="110"/>
  <c r="I141" i="110"/>
  <c r="H169" i="109"/>
  <c r="M186" i="109"/>
  <c r="O19" i="109"/>
  <c r="D148" i="110"/>
  <c r="W25" i="94"/>
  <c r="W45" i="94" s="1"/>
  <c r="AV80" i="49"/>
  <c r="AV60" i="49"/>
  <c r="AV62" i="49" s="1"/>
  <c r="AV64" i="49" s="1"/>
  <c r="AV65" i="49" s="1"/>
  <c r="AV277" i="49"/>
  <c r="AV278" i="49"/>
  <c r="AV276" i="49"/>
  <c r="D193" i="110"/>
  <c r="N19" i="109"/>
  <c r="G19" i="109"/>
  <c r="P185" i="109"/>
  <c r="K156" i="109"/>
  <c r="K155" i="109" s="1"/>
  <c r="M30" i="109"/>
  <c r="G154" i="110"/>
  <c r="G153" i="110"/>
  <c r="G156" i="110" s="1"/>
  <c r="D150" i="109"/>
  <c r="D167" i="109"/>
  <c r="D169" i="109" s="1"/>
  <c r="E171" i="109" s="1"/>
  <c r="V542" i="49"/>
  <c r="W540" i="49"/>
  <c r="W541" i="49" s="1"/>
  <c r="E153" i="109"/>
  <c r="E154" i="109"/>
  <c r="E155" i="109" s="1"/>
  <c r="AG41" i="72"/>
  <c r="AG42" i="72"/>
  <c r="E150" i="109"/>
  <c r="F19" i="109" s="1"/>
  <c r="Q17" i="109"/>
  <c r="L92" i="111"/>
  <c r="L119" i="111" s="1"/>
  <c r="M27" i="111" s="1"/>
  <c r="E153" i="110"/>
  <c r="E156" i="110" s="1"/>
  <c r="D73" i="49"/>
  <c r="G100" i="49"/>
  <c r="G60" i="49"/>
  <c r="G62" i="49" s="1"/>
  <c r="G64" i="49" s="1"/>
  <c r="O38" i="94"/>
  <c r="P39" i="94" s="1"/>
  <c r="O66" i="94"/>
  <c r="Q70" i="72"/>
  <c r="Q71" i="72"/>
  <c r="Z25" i="94"/>
  <c r="Z45" i="94" s="1"/>
  <c r="AY80" i="49"/>
  <c r="E42" i="110"/>
  <c r="AY60" i="49"/>
  <c r="AY62" i="49" s="1"/>
  <c r="AY64" i="49" s="1"/>
  <c r="H148" i="110"/>
  <c r="D68" i="110"/>
  <c r="O26" i="94"/>
  <c r="O28" i="94" s="1"/>
  <c r="V70" i="94"/>
  <c r="V30" i="94"/>
  <c r="G26" i="94"/>
  <c r="G28" i="94" s="1"/>
  <c r="H90" i="94"/>
  <c r="H85" i="94"/>
  <c r="E142" i="110"/>
  <c r="D60" i="49"/>
  <c r="D62" i="49" s="1"/>
  <c r="D64" i="49" s="1"/>
  <c r="D59" i="49"/>
  <c r="BG58" i="49"/>
  <c r="Q39" i="94"/>
  <c r="Q40" i="94"/>
  <c r="Q47" i="94"/>
  <c r="R39" i="94"/>
  <c r="O25" i="94"/>
  <c r="O45" i="94" s="1"/>
  <c r="AN80" i="49"/>
  <c r="AN81" i="49" s="1"/>
  <c r="AN60" i="49"/>
  <c r="AN62" i="49" s="1"/>
  <c r="AN64" i="49" s="1"/>
  <c r="AN65" i="49" s="1"/>
  <c r="AI74" i="49"/>
  <c r="AI75" i="49"/>
  <c r="AJ74" i="49"/>
  <c r="G26" i="110"/>
  <c r="G33" i="110"/>
  <c r="G27" i="110"/>
  <c r="I60" i="111"/>
  <c r="AD74" i="49"/>
  <c r="AD75" i="49"/>
  <c r="AE74" i="49"/>
  <c r="L15" i="68"/>
  <c r="L32" i="68" s="1"/>
  <c r="T504" i="49"/>
  <c r="J90" i="111"/>
  <c r="J117" i="111" s="1"/>
  <c r="K25" i="111" s="1"/>
  <c r="I30" i="94"/>
  <c r="I31" i="94" s="1"/>
  <c r="I70" i="94"/>
  <c r="D143" i="110"/>
  <c r="H47" i="111"/>
  <c r="H87" i="111"/>
  <c r="H114" i="111" s="1"/>
  <c r="I22" i="111" s="1"/>
  <c r="R70" i="111"/>
  <c r="V63" i="72"/>
  <c r="V62" i="72"/>
  <c r="AD24" i="94"/>
  <c r="AD18" i="94"/>
  <c r="AD19" i="94"/>
  <c r="AD34" i="94"/>
  <c r="AD36" i="94" s="1"/>
  <c r="AD72" i="94"/>
  <c r="U457" i="49"/>
  <c r="U456" i="49"/>
  <c r="U459" i="49"/>
  <c r="AR74" i="49"/>
  <c r="AR75" i="49"/>
  <c r="AS74" i="49"/>
  <c r="H30" i="94"/>
  <c r="H70" i="94"/>
  <c r="G91" i="94"/>
  <c r="H86" i="94"/>
  <c r="AG86" i="49"/>
  <c r="H52" i="94" s="1"/>
  <c r="T80" i="49"/>
  <c r="T81" i="49" s="1"/>
  <c r="AE41" i="72"/>
  <c r="AE42" i="72"/>
  <c r="AA49" i="72"/>
  <c r="AA50" i="72"/>
  <c r="X460" i="49"/>
  <c r="H30" i="110"/>
  <c r="H31" i="110"/>
  <c r="H32" i="110"/>
  <c r="H49" i="110"/>
  <c r="H55" i="110" s="1"/>
  <c r="H141" i="110"/>
  <c r="H144" i="110" s="1"/>
  <c r="N38" i="94"/>
  <c r="N66" i="94"/>
  <c r="AA41" i="72"/>
  <c r="AA42" i="72"/>
  <c r="L25" i="94"/>
  <c r="L45" i="94" s="1"/>
  <c r="AK80" i="49"/>
  <c r="AU86" i="49"/>
  <c r="V52" i="94" s="1"/>
  <c r="H59" i="49"/>
  <c r="H60" i="49"/>
  <c r="H62" i="49" s="1"/>
  <c r="H64" i="49" s="1"/>
  <c r="H65" i="49" s="1"/>
  <c r="AI65" i="49"/>
  <c r="AJ65" i="49"/>
  <c r="AC82" i="49"/>
  <c r="AC86" i="49"/>
  <c r="D52" i="94" s="1"/>
  <c r="N93" i="111"/>
  <c r="F144" i="110"/>
  <c r="BA73" i="49"/>
  <c r="BA100" i="49"/>
  <c r="E193" i="110"/>
  <c r="H157" i="110"/>
  <c r="F15" i="68"/>
  <c r="F32" i="68" s="1"/>
  <c r="N504" i="49"/>
  <c r="AD62" i="72"/>
  <c r="AD63" i="72"/>
  <c r="AK60" i="49"/>
  <c r="AK62" i="49" s="1"/>
  <c r="AK64" i="49" s="1"/>
  <c r="K22" i="68"/>
  <c r="K16" i="68"/>
  <c r="K31" i="68"/>
  <c r="K38" i="68" s="1"/>
  <c r="U75" i="49"/>
  <c r="U81" i="49"/>
  <c r="U74" i="49"/>
  <c r="H73" i="49"/>
  <c r="K100" i="49"/>
  <c r="I100" i="49"/>
  <c r="K211" i="110"/>
  <c r="G148" i="110"/>
  <c r="G143" i="110"/>
  <c r="G139" i="110"/>
  <c r="K89" i="111"/>
  <c r="S29" i="68"/>
  <c r="R37" i="68"/>
  <c r="H25" i="110"/>
  <c r="P40" i="94"/>
  <c r="P47" i="94"/>
  <c r="U25" i="94"/>
  <c r="U45" i="94" s="1"/>
  <c r="AT80" i="49"/>
  <c r="AT60" i="49"/>
  <c r="AT62" i="49" s="1"/>
  <c r="AT64" i="49" s="1"/>
  <c r="AB54" i="72"/>
  <c r="AB53" i="72"/>
  <c r="AB55" i="72"/>
  <c r="AC55" i="72"/>
  <c r="O73" i="49"/>
  <c r="R100" i="49"/>
  <c r="O100" i="49"/>
  <c r="X458" i="49"/>
  <c r="M15" i="68"/>
  <c r="M32" i="68" s="1"/>
  <c r="U504" i="49"/>
  <c r="D33" i="68"/>
  <c r="D38" i="68"/>
  <c r="G15" i="68"/>
  <c r="G32" i="68" s="1"/>
  <c r="O504" i="49"/>
  <c r="E93" i="94"/>
  <c r="F88" i="94"/>
  <c r="Q15" i="68"/>
  <c r="Q32" i="68" s="1"/>
  <c r="BB504" i="49"/>
  <c r="AN75" i="49"/>
  <c r="AN74" i="49"/>
  <c r="AO74" i="49"/>
  <c r="R98" i="111"/>
  <c r="I153" i="110"/>
  <c r="I156" i="110" s="1"/>
  <c r="I158" i="110" s="1"/>
  <c r="R70" i="72"/>
  <c r="R71" i="72"/>
  <c r="AD15" i="94"/>
  <c r="AD16" i="94" s="1"/>
  <c r="M65" i="111"/>
  <c r="I39" i="94"/>
  <c r="I47" i="94"/>
  <c r="I87" i="94" s="1"/>
  <c r="I40" i="94"/>
  <c r="Z62" i="72"/>
  <c r="Z63" i="72"/>
  <c r="U26" i="94"/>
  <c r="U28" i="94" s="1"/>
  <c r="W73" i="94"/>
  <c r="U73" i="94"/>
  <c r="T73" i="94"/>
  <c r="V73" i="94"/>
  <c r="S73" i="94"/>
  <c r="BD84" i="49"/>
  <c r="G38" i="94"/>
  <c r="G66" i="94"/>
  <c r="F90" i="94"/>
  <c r="G85" i="94"/>
  <c r="AF75" i="49"/>
  <c r="AF74" i="49"/>
  <c r="AG74" i="49"/>
  <c r="Q75" i="49"/>
  <c r="Q81" i="49"/>
  <c r="Q74" i="49"/>
  <c r="K88" i="111"/>
  <c r="K115" i="111" s="1"/>
  <c r="L23" i="111" s="1"/>
  <c r="N14" i="68"/>
  <c r="V51" i="49"/>
  <c r="V52" i="49"/>
  <c r="V505" i="49" s="1"/>
  <c r="V58" i="49"/>
  <c r="V69" i="49"/>
  <c r="V71" i="49" s="1"/>
  <c r="V73" i="49" s="1"/>
  <c r="V503" i="49"/>
  <c r="V536" i="49" s="1"/>
  <c r="V53" i="49"/>
  <c r="V506" i="49" s="1"/>
  <c r="Z51" i="49"/>
  <c r="Z504" i="49" s="1"/>
  <c r="Z53" i="49"/>
  <c r="Z506" i="49" s="1"/>
  <c r="N59" i="49"/>
  <c r="N80" i="49" s="1"/>
  <c r="N60" i="49"/>
  <c r="N62" i="49" s="1"/>
  <c r="N64" i="49" s="1"/>
  <c r="N65" i="49" s="1"/>
  <c r="L24" i="68"/>
  <c r="J38" i="94"/>
  <c r="J66" i="94"/>
  <c r="O59" i="49"/>
  <c r="O80" i="49" s="1"/>
  <c r="W62" i="72"/>
  <c r="W63" i="72"/>
  <c r="U60" i="49"/>
  <c r="U62" i="49" s="1"/>
  <c r="U64" i="49" s="1"/>
  <c r="U65" i="49" s="1"/>
  <c r="U59" i="49"/>
  <c r="U80" i="49" s="1"/>
  <c r="AG54" i="72"/>
  <c r="AG53" i="72"/>
  <c r="V40" i="94"/>
  <c r="V47" i="94"/>
  <c r="BB59" i="49"/>
  <c r="BB60" i="49" s="1"/>
  <c r="L80" i="49"/>
  <c r="M75" i="49"/>
  <c r="M81" i="49"/>
  <c r="M74" i="49"/>
  <c r="AW73" i="49"/>
  <c r="AW100" i="49"/>
  <c r="AD65" i="49"/>
  <c r="AE65" i="49"/>
  <c r="BH58" i="49"/>
  <c r="N73" i="49"/>
  <c r="Q100" i="49"/>
  <c r="R73" i="94"/>
  <c r="Q73" i="94"/>
  <c r="L38" i="94"/>
  <c r="L66" i="94"/>
  <c r="J26" i="94"/>
  <c r="J28" i="94" s="1"/>
  <c r="T96" i="111"/>
  <c r="T123" i="111" s="1"/>
  <c r="U31" i="111" s="1"/>
  <c r="G16" i="68"/>
  <c r="G22" i="68"/>
  <c r="G24" i="68" s="1"/>
  <c r="G31" i="68"/>
  <c r="G33" i="68" s="1"/>
  <c r="G38" i="68"/>
  <c r="V71" i="72"/>
  <c r="V70" i="72"/>
  <c r="BB73" i="49"/>
  <c r="BB100" i="49"/>
  <c r="J25" i="94"/>
  <c r="J45" i="94" s="1"/>
  <c r="AI80" i="49"/>
  <c r="AI81" i="49" s="1"/>
  <c r="Q62" i="72"/>
  <c r="Q63" i="72"/>
  <c r="Z70" i="72"/>
  <c r="Z71" i="72"/>
  <c r="U38" i="94"/>
  <c r="V39" i="94" s="1"/>
  <c r="U66" i="94"/>
  <c r="L63" i="111"/>
  <c r="H15" i="68"/>
  <c r="H32" i="68" s="1"/>
  <c r="P504" i="49"/>
  <c r="Y527" i="49"/>
  <c r="Z530" i="49"/>
  <c r="AW60" i="49"/>
  <c r="AW62" i="49" s="1"/>
  <c r="AW64" i="49" s="1"/>
  <c r="AW65" i="49" s="1"/>
  <c r="AW59" i="49"/>
  <c r="AP82" i="49"/>
  <c r="AP86" i="49"/>
  <c r="Q52" i="94" s="1"/>
  <c r="P383" i="49"/>
  <c r="P385" i="49" s="1"/>
  <c r="Q383" i="49" s="1"/>
  <c r="Q385" i="49" s="1"/>
  <c r="R383" i="49" s="1"/>
  <c r="R385" i="49" s="1"/>
  <c r="S383" i="49" s="1"/>
  <c r="S385" i="49" s="1"/>
  <c r="BI385" i="49"/>
  <c r="E25" i="94"/>
  <c r="E45" i="94" s="1"/>
  <c r="AD80" i="49"/>
  <c r="AD81" i="49" s="1"/>
  <c r="P73" i="49"/>
  <c r="S100" i="49"/>
  <c r="Q65" i="49"/>
  <c r="P67" i="111"/>
  <c r="AB18" i="94"/>
  <c r="AB19" i="94"/>
  <c r="AB34" i="94"/>
  <c r="AB36" i="94" s="1"/>
  <c r="AB24" i="94"/>
  <c r="AB72" i="94"/>
  <c r="F22" i="68"/>
  <c r="F24" i="68" s="1"/>
  <c r="F16" i="68"/>
  <c r="F31" i="68"/>
  <c r="F33" i="68" s="1"/>
  <c r="F38" i="68"/>
  <c r="AM75" i="49"/>
  <c r="AM74" i="49"/>
  <c r="AM81" i="49"/>
  <c r="D31" i="110"/>
  <c r="E30" i="110"/>
  <c r="E32" i="110"/>
  <c r="D49" i="110"/>
  <c r="D55" i="110" s="1"/>
  <c r="AG459" i="49"/>
  <c r="AG456" i="49"/>
  <c r="AG457" i="49"/>
  <c r="Z26" i="94"/>
  <c r="Z28" i="94" s="1"/>
  <c r="N25" i="94"/>
  <c r="N45" i="94" s="1"/>
  <c r="AM80" i="49"/>
  <c r="M22" i="68"/>
  <c r="M16" i="68"/>
  <c r="M31" i="68"/>
  <c r="M33" i="68" s="1"/>
  <c r="AY75" i="49"/>
  <c r="AY81" i="49"/>
  <c r="AZ74" i="49"/>
  <c r="BI58" i="49"/>
  <c r="N26" i="94"/>
  <c r="N28" i="94" s="1"/>
  <c r="N94" i="111"/>
  <c r="N121" i="111" s="1"/>
  <c r="O29" i="111" s="1"/>
  <c r="O94" i="111"/>
  <c r="O121" i="111" s="1"/>
  <c r="P29" i="111" s="1"/>
  <c r="K73" i="49"/>
  <c r="N100" i="49"/>
  <c r="M100" i="49"/>
  <c r="P26" i="94"/>
  <c r="P28" i="94" s="1"/>
  <c r="P60" i="49"/>
  <c r="P62" i="49" s="1"/>
  <c r="P64" i="49" s="1"/>
  <c r="P65" i="49" s="1"/>
  <c r="P59" i="49"/>
  <c r="X18" i="94"/>
  <c r="X19" i="94"/>
  <c r="X34" i="94"/>
  <c r="X36" i="94" s="1"/>
  <c r="X24" i="94"/>
  <c r="X72" i="94"/>
  <c r="Y73" i="94" s="1"/>
  <c r="AT74" i="49"/>
  <c r="AT75" i="49"/>
  <c r="AT81" i="49"/>
  <c r="AE54" i="72"/>
  <c r="AE53" i="72"/>
  <c r="AE55" i="72"/>
  <c r="AE49" i="72"/>
  <c r="AE50" i="72"/>
  <c r="J86" i="49"/>
  <c r="K30" i="94"/>
  <c r="K70" i="94"/>
  <c r="AI540" i="49"/>
  <c r="AI541" i="49" s="1"/>
  <c r="AH542" i="49"/>
  <c r="Z38" i="94"/>
  <c r="Z66" i="94"/>
  <c r="AK81" i="49"/>
  <c r="AK74" i="49"/>
  <c r="AK75" i="49"/>
  <c r="AL74" i="49"/>
  <c r="D40" i="94"/>
  <c r="D39" i="94"/>
  <c r="D47" i="94"/>
  <c r="AA54" i="72"/>
  <c r="AA53" i="72"/>
  <c r="AA55" i="72"/>
  <c r="AB49" i="72"/>
  <c r="AB50" i="72"/>
  <c r="O66" i="111"/>
  <c r="N120" i="111"/>
  <c r="O28" i="111" s="1"/>
  <c r="AW295" i="49"/>
  <c r="AW275" i="49"/>
  <c r="AW270" i="49"/>
  <c r="K118" i="111"/>
  <c r="L64" i="111"/>
  <c r="H22" i="68"/>
  <c r="L23" i="68" s="1"/>
  <c r="H16" i="68"/>
  <c r="H31" i="68"/>
  <c r="H38" i="68"/>
  <c r="AO65" i="49"/>
  <c r="W38" i="94"/>
  <c r="W66" i="94"/>
  <c r="AB41" i="72"/>
  <c r="AB42" i="72"/>
  <c r="F81" i="49"/>
  <c r="F86" i="49" s="1"/>
  <c r="F75" i="49"/>
  <c r="J65" i="49"/>
  <c r="AC18" i="94"/>
  <c r="AC19" i="94"/>
  <c r="AC34" i="94"/>
  <c r="AC36" i="94" s="1"/>
  <c r="AC24" i="94"/>
  <c r="AC72" i="94"/>
  <c r="K60" i="49"/>
  <c r="K62" i="49" s="1"/>
  <c r="K64" i="49" s="1"/>
  <c r="K65" i="49" s="1"/>
  <c r="K59" i="49"/>
  <c r="K80" i="49" s="1"/>
  <c r="L75" i="49"/>
  <c r="L81" i="49"/>
  <c r="L74" i="49"/>
  <c r="AP65" i="49"/>
  <c r="AH82" i="49"/>
  <c r="AH86" i="49"/>
  <c r="I52" i="94" s="1"/>
  <c r="Q97" i="111"/>
  <c r="Q124" i="111" s="1"/>
  <c r="R32" i="111" s="1"/>
  <c r="E75" i="49"/>
  <c r="E81" i="49"/>
  <c r="E86" i="49" s="1"/>
  <c r="P62" i="72"/>
  <c r="P63" i="72"/>
  <c r="AX73" i="49"/>
  <c r="AX100" i="49"/>
  <c r="AG49" i="72"/>
  <c r="AG50" i="72"/>
  <c r="AC70" i="72"/>
  <c r="AC71" i="72"/>
  <c r="S38" i="94"/>
  <c r="S66" i="94"/>
  <c r="Q16" i="68"/>
  <c r="Q31" i="68"/>
  <c r="Q33" i="68" s="1"/>
  <c r="G25" i="94"/>
  <c r="G45" i="94" s="1"/>
  <c r="AF80" i="49"/>
  <c r="AF81" i="49" s="1"/>
  <c r="H39" i="94"/>
  <c r="H47" i="94"/>
  <c r="H40" i="94"/>
  <c r="L100" i="49"/>
  <c r="AF42" i="72"/>
  <c r="AF41" i="72"/>
  <c r="Q30" i="94"/>
  <c r="Q70" i="94"/>
  <c r="X495" i="49"/>
  <c r="Y496" i="49"/>
  <c r="S73" i="49"/>
  <c r="BJ58" i="49"/>
  <c r="AF54" i="72"/>
  <c r="AF53" i="72"/>
  <c r="AF55" i="72"/>
  <c r="X62" i="72"/>
  <c r="X63" i="72"/>
  <c r="E38" i="94"/>
  <c r="D90" i="94"/>
  <c r="E66" i="94"/>
  <c r="E85" i="94"/>
  <c r="D30" i="94"/>
  <c r="D31" i="94" s="1"/>
  <c r="D86" i="94"/>
  <c r="U100" i="49"/>
  <c r="R73" i="49"/>
  <c r="K1" i="94"/>
  <c r="I74" i="49"/>
  <c r="I81" i="49"/>
  <c r="I75" i="49"/>
  <c r="S63" i="72"/>
  <c r="S62" i="72"/>
  <c r="O70" i="72"/>
  <c r="O71" i="72"/>
  <c r="R62" i="72"/>
  <c r="R63" i="72"/>
  <c r="AX504" i="49"/>
  <c r="D30" i="110"/>
  <c r="D142" i="110" s="1"/>
  <c r="AF50" i="72"/>
  <c r="AF49" i="72"/>
  <c r="K15" i="68"/>
  <c r="K32" i="68" s="1"/>
  <c r="S504" i="49"/>
  <c r="U69" i="111"/>
  <c r="BC73" i="49"/>
  <c r="BC100" i="49"/>
  <c r="S25" i="94"/>
  <c r="S45" i="94" s="1"/>
  <c r="AR80" i="49"/>
  <c r="AR81" i="49" s="1"/>
  <c r="R49" i="94"/>
  <c r="R48" i="94"/>
  <c r="R53" i="94"/>
  <c r="N95" i="111"/>
  <c r="N122" i="111" s="1"/>
  <c r="O30" i="111" s="1"/>
  <c r="X70" i="72"/>
  <c r="X71" i="72"/>
  <c r="I24" i="68"/>
  <c r="I23" i="68"/>
  <c r="K116" i="111"/>
  <c r="L62" i="111"/>
  <c r="J15" i="68"/>
  <c r="J32" i="68" s="1"/>
  <c r="R504" i="49"/>
  <c r="T126" i="111"/>
  <c r="U34" i="111" s="1"/>
  <c r="M180" i="110" s="1"/>
  <c r="U72" i="111"/>
  <c r="I91" i="94"/>
  <c r="I82" i="94"/>
  <c r="I86" i="94"/>
  <c r="G30" i="110"/>
  <c r="G31" i="110"/>
  <c r="G32" i="110"/>
  <c r="G49" i="110"/>
  <c r="G55" i="110" s="1"/>
  <c r="M61" i="111"/>
  <c r="AV19" i="49"/>
  <c r="W12" i="94" s="1"/>
  <c r="AV291" i="49"/>
  <c r="Y19" i="94"/>
  <c r="Y18" i="94"/>
  <c r="Y34" i="94"/>
  <c r="Y36" i="94" s="1"/>
  <c r="Y24" i="94"/>
  <c r="Y72" i="94"/>
  <c r="D25" i="110"/>
  <c r="AC15" i="94"/>
  <c r="AC16" i="94" s="1"/>
  <c r="S59" i="49"/>
  <c r="S80" i="49" s="1"/>
  <c r="R15" i="68"/>
  <c r="R32" i="68" s="1"/>
  <c r="BC504" i="49"/>
  <c r="AR60" i="49"/>
  <c r="AR62" i="49" s="1"/>
  <c r="AR64" i="49" s="1"/>
  <c r="V180" i="49"/>
  <c r="V175" i="49"/>
  <c r="V183" i="49"/>
  <c r="V178" i="49"/>
  <c r="V174" i="49"/>
  <c r="V176" i="49"/>
  <c r="V177" i="49"/>
  <c r="V179" i="49"/>
  <c r="V202" i="49"/>
  <c r="V270" i="49"/>
  <c r="V181" i="49"/>
  <c r="V182" i="49"/>
  <c r="V184" i="49"/>
  <c r="V185" i="49"/>
  <c r="F60" i="49"/>
  <c r="F62" i="49" s="1"/>
  <c r="F64" i="49" s="1"/>
  <c r="R60" i="49"/>
  <c r="R62" i="49" s="1"/>
  <c r="R64" i="49" s="1"/>
  <c r="R65" i="49" s="1"/>
  <c r="R59" i="49"/>
  <c r="R80" i="49" s="1"/>
  <c r="P97" i="111"/>
  <c r="P124" i="111" s="1"/>
  <c r="Q32" i="111" s="1"/>
  <c r="N73" i="94"/>
  <c r="G51" i="111"/>
  <c r="G55" i="111"/>
  <c r="G57" i="111" s="1"/>
  <c r="G52" i="111"/>
  <c r="P68" i="111"/>
  <c r="AO86" i="49"/>
  <c r="P52" i="94" s="1"/>
  <c r="J22" i="68"/>
  <c r="J16" i="68"/>
  <c r="J31" i="68"/>
  <c r="J38" i="68"/>
  <c r="E60" i="49"/>
  <c r="E62" i="49" s="1"/>
  <c r="E64" i="49" s="1"/>
  <c r="I65" i="49" s="1"/>
  <c r="G75" i="49"/>
  <c r="G81" i="49"/>
  <c r="G86" i="49" s="1"/>
  <c r="X73" i="94"/>
  <c r="P73" i="94"/>
  <c r="R125" i="111"/>
  <c r="S71" i="111"/>
  <c r="L65" i="49"/>
  <c r="AB15" i="94"/>
  <c r="AB16" i="94" s="1"/>
  <c r="AY6" i="64"/>
  <c r="AY7" i="64" s="1"/>
  <c r="P100" i="49"/>
  <c r="AV75" i="49"/>
  <c r="AV74" i="49"/>
  <c r="AV81" i="49"/>
  <c r="D19" i="108"/>
  <c r="D21" i="108" s="1"/>
  <c r="D18" i="108"/>
  <c r="E19" i="108"/>
  <c r="E20" i="108" s="1"/>
  <c r="E18" i="108"/>
  <c r="F19" i="108"/>
  <c r="F20" i="108" s="1"/>
  <c r="G19" i="108"/>
  <c r="G18" i="108" s="1"/>
  <c r="H19" i="108"/>
  <c r="H18" i="108" s="1"/>
  <c r="I19" i="108"/>
  <c r="I21" i="108" s="1"/>
  <c r="D20" i="108"/>
  <c r="H20" i="108"/>
  <c r="I20" i="108"/>
  <c r="G21" i="108"/>
  <c r="E22" i="108"/>
  <c r="H22" i="108"/>
  <c r="I22" i="108"/>
  <c r="K77" i="94"/>
  <c r="K96" i="94"/>
  <c r="K103" i="94"/>
  <c r="K107" i="94"/>
  <c r="AY14" i="64"/>
  <c r="J23" i="108"/>
  <c r="K23" i="108"/>
  <c r="L23" i="108"/>
  <c r="AY15" i="64" l="1"/>
  <c r="AY17" i="64"/>
  <c r="D114" i="112"/>
  <c r="Z118" i="94"/>
  <c r="Z119" i="94" s="1"/>
  <c r="AY294" i="49"/>
  <c r="K108" i="94"/>
  <c r="F113" i="94"/>
  <c r="J111" i="94"/>
  <c r="H112" i="94"/>
  <c r="K104" i="94"/>
  <c r="K79" i="94"/>
  <c r="K101" i="94"/>
  <c r="K102" i="94" s="1"/>
  <c r="H175" i="110"/>
  <c r="P94" i="111"/>
  <c r="U96" i="111"/>
  <c r="U123" i="111" s="1"/>
  <c r="V31" i="111" s="1"/>
  <c r="M177" i="110"/>
  <c r="AF82" i="49"/>
  <c r="AF86" i="49"/>
  <c r="G52" i="94" s="1"/>
  <c r="AG82" i="49"/>
  <c r="BB62" i="49"/>
  <c r="AD82" i="49"/>
  <c r="AD86" i="49"/>
  <c r="E52" i="94" s="1"/>
  <c r="AE82" i="49"/>
  <c r="I68" i="110"/>
  <c r="AI82" i="49"/>
  <c r="AI86" i="49"/>
  <c r="J52" i="94" s="1"/>
  <c r="AJ82" i="49"/>
  <c r="I47" i="111"/>
  <c r="I87" i="111"/>
  <c r="F158" i="110"/>
  <c r="E157" i="110"/>
  <c r="E158" i="110"/>
  <c r="J178" i="110"/>
  <c r="M92" i="111"/>
  <c r="AN82" i="49"/>
  <c r="AN86" i="49"/>
  <c r="O52" i="94" s="1"/>
  <c r="AO82" i="49"/>
  <c r="F61" i="109"/>
  <c r="F18" i="109"/>
  <c r="AR82" i="49"/>
  <c r="AR86" i="49"/>
  <c r="S52" i="94" s="1"/>
  <c r="AS82" i="49"/>
  <c r="L86" i="49"/>
  <c r="G175" i="110"/>
  <c r="W40" i="94"/>
  <c r="W39" i="94"/>
  <c r="W47" i="94"/>
  <c r="X38" i="94"/>
  <c r="X66" i="94"/>
  <c r="T383" i="49"/>
  <c r="T385" i="49" s="1"/>
  <c r="U383" i="49" s="1"/>
  <c r="U385" i="49" s="1"/>
  <c r="V383" i="49" s="1"/>
  <c r="V385" i="49" s="1"/>
  <c r="BJ385" i="49"/>
  <c r="J39" i="94"/>
  <c r="J47" i="94"/>
  <c r="J40" i="94"/>
  <c r="K39" i="94"/>
  <c r="Z73" i="94"/>
  <c r="I57" i="110"/>
  <c r="I56" i="110"/>
  <c r="I63" i="110"/>
  <c r="I85" i="110"/>
  <c r="P186" i="109"/>
  <c r="P19" i="109"/>
  <c r="F175" i="109"/>
  <c r="I178" i="110"/>
  <c r="P66" i="111"/>
  <c r="N16" i="68"/>
  <c r="N22" i="68"/>
  <c r="N38" i="68"/>
  <c r="G22" i="108"/>
  <c r="N61" i="111"/>
  <c r="BJ73" i="49"/>
  <c r="BC74" i="49"/>
  <c r="BC75" i="49"/>
  <c r="F22" i="108"/>
  <c r="N32" i="68"/>
  <c r="J33" i="68"/>
  <c r="AR65" i="49"/>
  <c r="AS65" i="49"/>
  <c r="I82" i="49"/>
  <c r="I86" i="49"/>
  <c r="AA62" i="72"/>
  <c r="AA63" i="72"/>
  <c r="AG462" i="49"/>
  <c r="AG463" i="49" s="1"/>
  <c r="AD73" i="94"/>
  <c r="AB63" i="72"/>
  <c r="AB62" i="72"/>
  <c r="S26" i="94"/>
  <c r="S28" i="94" s="1"/>
  <c r="U99" i="111"/>
  <c r="J65" i="109"/>
  <c r="J18" i="109"/>
  <c r="Y495" i="49"/>
  <c r="Z496" i="49"/>
  <c r="M62" i="111"/>
  <c r="AZ6" i="64"/>
  <c r="AZ7" i="64" s="1"/>
  <c r="J24" i="68"/>
  <c r="J23" i="68"/>
  <c r="V216" i="49"/>
  <c r="V200" i="49"/>
  <c r="L24" i="111"/>
  <c r="E26" i="94"/>
  <c r="E28" i="94" s="1"/>
  <c r="R31" i="68"/>
  <c r="H33" i="68"/>
  <c r="AA73" i="94"/>
  <c r="J82" i="49"/>
  <c r="P80" i="49"/>
  <c r="BC59" i="49"/>
  <c r="AB38" i="94"/>
  <c r="AB66" i="94"/>
  <c r="X25" i="94"/>
  <c r="X45" i="94" s="1"/>
  <c r="AW80" i="49"/>
  <c r="N75" i="49"/>
  <c r="N81" i="49"/>
  <c r="N74" i="49"/>
  <c r="V49" i="94"/>
  <c r="V53" i="94"/>
  <c r="Q82" i="49"/>
  <c r="Q86" i="49"/>
  <c r="AT65" i="49"/>
  <c r="AU65" i="49"/>
  <c r="Y38" i="94"/>
  <c r="Y66" i="94"/>
  <c r="G56" i="110"/>
  <c r="G57" i="110"/>
  <c r="G85" i="110"/>
  <c r="G63" i="110"/>
  <c r="V69" i="111"/>
  <c r="D53" i="94"/>
  <c r="D88" i="94" s="1"/>
  <c r="D49" i="94"/>
  <c r="D50" i="94" s="1"/>
  <c r="D48" i="94"/>
  <c r="D87" i="94"/>
  <c r="D57" i="110"/>
  <c r="E56" i="110"/>
  <c r="D63" i="110"/>
  <c r="N39" i="94"/>
  <c r="N47" i="94"/>
  <c r="N40" i="94"/>
  <c r="H158" i="110"/>
  <c r="G157" i="110"/>
  <c r="Q176" i="109"/>
  <c r="R171" i="109"/>
  <c r="Q187" i="109"/>
  <c r="V217" i="49"/>
  <c r="V201" i="49"/>
  <c r="AF70" i="72"/>
  <c r="AF71" i="72"/>
  <c r="H24" i="68"/>
  <c r="H23" i="68"/>
  <c r="P30" i="94"/>
  <c r="P70" i="94"/>
  <c r="Z527" i="49"/>
  <c r="AA530" i="49"/>
  <c r="BB74" i="49"/>
  <c r="BI73" i="49"/>
  <c r="BB81" i="49"/>
  <c r="BB75" i="49"/>
  <c r="H142" i="110"/>
  <c r="H143" i="110"/>
  <c r="Q48" i="94"/>
  <c r="Q49" i="94"/>
  <c r="Q50" i="94" s="1"/>
  <c r="Q53" i="94"/>
  <c r="D75" i="49"/>
  <c r="BG73" i="49"/>
  <c r="H18" i="109"/>
  <c r="H63" i="109"/>
  <c r="P176" i="109"/>
  <c r="P175" i="109" s="1"/>
  <c r="Q171" i="109"/>
  <c r="P187" i="109"/>
  <c r="AX295" i="49"/>
  <c r="AX487" i="49"/>
  <c r="AX275" i="49"/>
  <c r="AX270" i="49"/>
  <c r="AB70" i="72"/>
  <c r="AB71" i="72"/>
  <c r="G30" i="94"/>
  <c r="G31" i="94" s="1"/>
  <c r="G70" i="94"/>
  <c r="F91" i="94"/>
  <c r="G86" i="94"/>
  <c r="I18" i="108"/>
  <c r="AC38" i="94"/>
  <c r="AC66" i="94"/>
  <c r="M64" i="111"/>
  <c r="AY86" i="49"/>
  <c r="L88" i="111"/>
  <c r="L115" i="111" s="1"/>
  <c r="M23" i="111" s="1"/>
  <c r="P49" i="94"/>
  <c r="P53" i="94"/>
  <c r="H74" i="49"/>
  <c r="H75" i="49"/>
  <c r="H81" i="49"/>
  <c r="L82" i="49" s="1"/>
  <c r="H57" i="110"/>
  <c r="H56" i="110"/>
  <c r="H63" i="110"/>
  <c r="H85" i="110"/>
  <c r="O30" i="94"/>
  <c r="O70" i="94"/>
  <c r="M176" i="109"/>
  <c r="M175" i="109" s="1"/>
  <c r="N171" i="109"/>
  <c r="N175" i="109" s="1"/>
  <c r="M187" i="109"/>
  <c r="V271" i="49"/>
  <c r="V273" i="49"/>
  <c r="V272" i="49"/>
  <c r="F21" i="108"/>
  <c r="T71" i="111"/>
  <c r="D33" i="110"/>
  <c r="D27" i="110"/>
  <c r="E26" i="110"/>
  <c r="L26" i="111"/>
  <c r="AE62" i="72"/>
  <c r="AE63" i="72"/>
  <c r="Q67" i="111"/>
  <c r="P121" i="111"/>
  <c r="Q29" i="111" s="1"/>
  <c r="I175" i="110" s="1"/>
  <c r="AG62" i="72"/>
  <c r="AG63" i="72"/>
  <c r="U30" i="94"/>
  <c r="U31" i="94" s="1"/>
  <c r="U70" i="94"/>
  <c r="T65" i="49"/>
  <c r="E19" i="109"/>
  <c r="E186" i="109"/>
  <c r="N95" i="109"/>
  <c r="N122" i="109" s="1"/>
  <c r="O30" i="109" s="1"/>
  <c r="M95" i="109"/>
  <c r="M122" i="109" s="1"/>
  <c r="N30" i="109" s="1"/>
  <c r="O95" i="109"/>
  <c r="O122" i="109" s="1"/>
  <c r="P30" i="109" s="1"/>
  <c r="AA70" i="72"/>
  <c r="AA71" i="72"/>
  <c r="N30" i="94"/>
  <c r="N31" i="94" s="1"/>
  <c r="N70" i="94"/>
  <c r="V198" i="49"/>
  <c r="V214" i="49"/>
  <c r="H49" i="94"/>
  <c r="H53" i="94"/>
  <c r="G92" i="94"/>
  <c r="H87" i="94"/>
  <c r="Q68" i="111"/>
  <c r="V211" i="49"/>
  <c r="V195" i="49"/>
  <c r="AC73" i="94"/>
  <c r="I85" i="94"/>
  <c r="I90" i="94"/>
  <c r="U82" i="49"/>
  <c r="U86" i="49"/>
  <c r="H31" i="94"/>
  <c r="I114" i="111"/>
  <c r="J60" i="111"/>
  <c r="O70" i="109"/>
  <c r="O18" i="109"/>
  <c r="Q19" i="109"/>
  <c r="AX18" i="64"/>
  <c r="D15" i="110"/>
  <c r="D15" i="108"/>
  <c r="AC25" i="94"/>
  <c r="AC45" i="94" s="1"/>
  <c r="BB80" i="49"/>
  <c r="BB66" i="49"/>
  <c r="H42" i="110"/>
  <c r="T82" i="49"/>
  <c r="T86" i="49"/>
  <c r="AD38" i="94"/>
  <c r="AD66" i="94"/>
  <c r="O40" i="94"/>
  <c r="O39" i="94"/>
  <c r="O47" i="94"/>
  <c r="L1" i="94"/>
  <c r="AF62" i="72"/>
  <c r="AF63" i="72"/>
  <c r="AX75" i="49"/>
  <c r="AX74" i="49"/>
  <c r="AX81" i="49"/>
  <c r="AY82" i="49" s="1"/>
  <c r="H21" i="108"/>
  <c r="V197" i="49"/>
  <c r="V213" i="49"/>
  <c r="S60" i="49"/>
  <c r="S62" i="49" s="1"/>
  <c r="S64" i="49" s="1"/>
  <c r="R81" i="49"/>
  <c r="R75" i="49"/>
  <c r="R74" i="49"/>
  <c r="E21" i="108"/>
  <c r="S33" i="111"/>
  <c r="V100" i="49"/>
  <c r="AW273" i="49"/>
  <c r="AW271" i="49"/>
  <c r="AW272" i="49"/>
  <c r="AE70" i="72"/>
  <c r="AE71" i="72"/>
  <c r="K81" i="49"/>
  <c r="K74" i="49"/>
  <c r="K75" i="49"/>
  <c r="AY74" i="49"/>
  <c r="AG70" i="72"/>
  <c r="AG71" i="72"/>
  <c r="F18" i="108"/>
  <c r="V193" i="49"/>
  <c r="V209" i="49"/>
  <c r="Y26" i="94"/>
  <c r="Y28" i="94" s="1"/>
  <c r="G176" i="110"/>
  <c r="P95" i="111"/>
  <c r="P122" i="111" s="1"/>
  <c r="Q30" i="111" s="1"/>
  <c r="O95" i="111"/>
  <c r="O122" i="111" s="1"/>
  <c r="P30" i="111" s="1"/>
  <c r="W26" i="94"/>
  <c r="W28" i="94" s="1"/>
  <c r="S74" i="49"/>
  <c r="S75" i="49"/>
  <c r="S81" i="49"/>
  <c r="Q38" i="68"/>
  <c r="AW276" i="49"/>
  <c r="AW277" i="49"/>
  <c r="AW278" i="49"/>
  <c r="M38" i="68"/>
  <c r="L26" i="94"/>
  <c r="L28" i="94" s="1"/>
  <c r="M63" i="111"/>
  <c r="BH73" i="49"/>
  <c r="BA74" i="49"/>
  <c r="BA75" i="49"/>
  <c r="AZ59" i="49"/>
  <c r="D80" i="49"/>
  <c r="D81" i="49" s="1"/>
  <c r="D86" i="49" s="1"/>
  <c r="AY65" i="49"/>
  <c r="K19" i="109"/>
  <c r="L19" i="109"/>
  <c r="K186" i="109"/>
  <c r="J93" i="94"/>
  <c r="J87" i="94"/>
  <c r="J91" i="94"/>
  <c r="J92" i="94"/>
  <c r="J82" i="94"/>
  <c r="J86" i="94"/>
  <c r="H33" i="110"/>
  <c r="H26" i="110"/>
  <c r="H27" i="110"/>
  <c r="R124" i="111"/>
  <c r="S70" i="111"/>
  <c r="E45" i="110"/>
  <c r="E43" i="110"/>
  <c r="E73" i="110"/>
  <c r="E74" i="110" s="1"/>
  <c r="E16" i="109"/>
  <c r="E173" i="109"/>
  <c r="P68" i="109"/>
  <c r="J64" i="109"/>
  <c r="I26" i="109"/>
  <c r="AM82" i="49"/>
  <c r="AM86" i="49"/>
  <c r="N52" i="94" s="1"/>
  <c r="AK82" i="49"/>
  <c r="AL82" i="49"/>
  <c r="AK86" i="49"/>
  <c r="L52" i="94" s="1"/>
  <c r="AT82" i="49"/>
  <c r="AT86" i="49"/>
  <c r="U52" i="94" s="1"/>
  <c r="AW81" i="49"/>
  <c r="AW74" i="49"/>
  <c r="AW75" i="49"/>
  <c r="V74" i="49"/>
  <c r="V75" i="49"/>
  <c r="I48" i="94"/>
  <c r="I49" i="94"/>
  <c r="I50" i="94" s="1"/>
  <c r="I53" i="94"/>
  <c r="H92" i="94"/>
  <c r="X451" i="49"/>
  <c r="Y458" i="49"/>
  <c r="O32" i="68"/>
  <c r="K33" i="68"/>
  <c r="E15" i="109"/>
  <c r="E17" i="109" s="1"/>
  <c r="E172" i="109"/>
  <c r="E175" i="109"/>
  <c r="V208" i="49"/>
  <c r="V192" i="49"/>
  <c r="P81" i="49"/>
  <c r="P75" i="49"/>
  <c r="P74" i="49"/>
  <c r="T74" i="49"/>
  <c r="V190" i="49"/>
  <c r="V206" i="49"/>
  <c r="O93" i="111"/>
  <c r="O120" i="111" s="1"/>
  <c r="P28" i="111" s="1"/>
  <c r="M24" i="68"/>
  <c r="M23" i="68"/>
  <c r="U40" i="94"/>
  <c r="U39" i="94"/>
  <c r="U47" i="94"/>
  <c r="V48" i="94" s="1"/>
  <c r="V59" i="49"/>
  <c r="V60" i="49" s="1"/>
  <c r="V62" i="49" s="1"/>
  <c r="V64" i="49" s="1"/>
  <c r="V65" i="49" s="1"/>
  <c r="H80" i="49"/>
  <c r="BA59" i="49"/>
  <c r="Y460" i="49"/>
  <c r="X453" i="49"/>
  <c r="X540" i="49"/>
  <c r="X541" i="49" s="1"/>
  <c r="W542" i="49"/>
  <c r="H176" i="109"/>
  <c r="H175" i="109" s="1"/>
  <c r="H187" i="109"/>
  <c r="I171" i="109"/>
  <c r="I175" i="109" s="1"/>
  <c r="L208" i="110"/>
  <c r="L211" i="110" s="1"/>
  <c r="M207" i="110"/>
  <c r="Y25" i="94"/>
  <c r="Y45" i="94" s="1"/>
  <c r="AX80" i="49"/>
  <c r="D42" i="110"/>
  <c r="K23" i="68"/>
  <c r="K24" i="68"/>
  <c r="V459" i="49"/>
  <c r="W459" i="49" s="1"/>
  <c r="V456" i="49"/>
  <c r="V457" i="49"/>
  <c r="W457" i="49" s="1"/>
  <c r="G18" i="109"/>
  <c r="G62" i="109"/>
  <c r="I160" i="110"/>
  <c r="I70" i="110" s="1"/>
  <c r="I143" i="110"/>
  <c r="I142" i="110"/>
  <c r="V210" i="49"/>
  <c r="V194" i="49"/>
  <c r="G20" i="108"/>
  <c r="V199" i="49"/>
  <c r="V215" i="49"/>
  <c r="Q31" i="94"/>
  <c r="R31" i="94"/>
  <c r="R97" i="111"/>
  <c r="Z47" i="94"/>
  <c r="Z40" i="94"/>
  <c r="AA39" i="94"/>
  <c r="J30" i="94"/>
  <c r="J31" i="94" s="1"/>
  <c r="J70" i="94"/>
  <c r="G47" i="94"/>
  <c r="G40" i="94"/>
  <c r="G39" i="94"/>
  <c r="N65" i="111"/>
  <c r="M119" i="111"/>
  <c r="N27" i="111" s="1"/>
  <c r="N92" i="111" s="1"/>
  <c r="I157" i="110"/>
  <c r="V207" i="49"/>
  <c r="V191" i="49"/>
  <c r="U126" i="111"/>
  <c r="V72" i="111"/>
  <c r="E40" i="94"/>
  <c r="E39" i="94"/>
  <c r="E47" i="94"/>
  <c r="F39" i="94"/>
  <c r="S40" i="94"/>
  <c r="S47" i="94"/>
  <c r="S39" i="94"/>
  <c r="T39" i="94"/>
  <c r="AH456" i="49"/>
  <c r="AH459" i="49"/>
  <c r="AH457" i="49"/>
  <c r="AB73" i="94"/>
  <c r="M82" i="49"/>
  <c r="M86" i="49"/>
  <c r="O60" i="49"/>
  <c r="O62" i="49" s="1"/>
  <c r="O64" i="49" s="1"/>
  <c r="O65" i="49" s="1"/>
  <c r="N15" i="68"/>
  <c r="V504" i="49"/>
  <c r="O74" i="49"/>
  <c r="O75" i="49"/>
  <c r="O81" i="49"/>
  <c r="AK65" i="49"/>
  <c r="AL65" i="49"/>
  <c r="AU82" i="49"/>
  <c r="H55" i="111"/>
  <c r="H57" i="111" s="1"/>
  <c r="H51" i="111"/>
  <c r="H52" i="111"/>
  <c r="N69" i="109"/>
  <c r="N18" i="109"/>
  <c r="I26" i="110"/>
  <c r="I33" i="110"/>
  <c r="I27" i="110"/>
  <c r="L171" i="109"/>
  <c r="L175" i="109" s="1"/>
  <c r="K187" i="109"/>
  <c r="K176" i="109"/>
  <c r="K175" i="109" s="1"/>
  <c r="G13" i="108"/>
  <c r="R50" i="94"/>
  <c r="AV82" i="49"/>
  <c r="AV86" i="49"/>
  <c r="W52" i="94" s="1"/>
  <c r="V196" i="49"/>
  <c r="V212" i="49"/>
  <c r="AI542" i="49"/>
  <c r="AJ540" i="49"/>
  <c r="AJ541" i="49" s="1"/>
  <c r="X26" i="94"/>
  <c r="X28" i="94" s="1"/>
  <c r="Z30" i="94"/>
  <c r="Z70" i="94"/>
  <c r="L39" i="94"/>
  <c r="L47" i="94"/>
  <c r="L40" i="94"/>
  <c r="M39" i="94"/>
  <c r="J77" i="110"/>
  <c r="U462" i="49"/>
  <c r="U463" i="49" s="1"/>
  <c r="K90" i="111"/>
  <c r="K117" i="111" s="1"/>
  <c r="L25" i="111" s="1"/>
  <c r="G158" i="110"/>
  <c r="F157" i="110"/>
  <c r="D29" i="108"/>
  <c r="D25" i="108"/>
  <c r="E29" i="108"/>
  <c r="E32" i="108" s="1"/>
  <c r="E25" i="108"/>
  <c r="E26" i="108" s="1"/>
  <c r="F29" i="108"/>
  <c r="F31" i="108" s="1"/>
  <c r="G29" i="108"/>
  <c r="G32" i="108" s="1"/>
  <c r="H29" i="108"/>
  <c r="I30" i="108" s="1"/>
  <c r="H25" i="108"/>
  <c r="H27" i="108" s="1"/>
  <c r="I29" i="108"/>
  <c r="I25" i="108"/>
  <c r="I27" i="108" s="1"/>
  <c r="D26" i="108"/>
  <c r="D27" i="108"/>
  <c r="E27" i="108"/>
  <c r="D30" i="108"/>
  <c r="D31" i="108"/>
  <c r="E31" i="108"/>
  <c r="H31" i="108"/>
  <c r="I31" i="108"/>
  <c r="I32" i="108"/>
  <c r="L77" i="94"/>
  <c r="L96" i="94"/>
  <c r="L103" i="94"/>
  <c r="L107" i="94"/>
  <c r="AZ14" i="64"/>
  <c r="J33" i="108"/>
  <c r="K33" i="108"/>
  <c r="L33" i="108"/>
  <c r="AZ15" i="64" l="1"/>
  <c r="E114" i="112"/>
  <c r="AZ17" i="64"/>
  <c r="AA118" i="94"/>
  <c r="AA119" i="94" s="1"/>
  <c r="AZ294" i="49"/>
  <c r="L108" i="94"/>
  <c r="K111" i="94"/>
  <c r="I112" i="94"/>
  <c r="L104" i="94"/>
  <c r="G113" i="94"/>
  <c r="L79" i="94"/>
  <c r="L101" i="94"/>
  <c r="L102" i="94" s="1"/>
  <c r="I176" i="110"/>
  <c r="Q95" i="111"/>
  <c r="Q122" i="111" s="1"/>
  <c r="R30" i="111" s="1"/>
  <c r="V96" i="111"/>
  <c r="N177" i="110"/>
  <c r="W96" i="111"/>
  <c r="P95" i="109"/>
  <c r="P122" i="109" s="1"/>
  <c r="Q30" i="109" s="1"/>
  <c r="P93" i="111"/>
  <c r="G31" i="108"/>
  <c r="G25" i="108"/>
  <c r="O82" i="49"/>
  <c r="O86" i="49"/>
  <c r="G49" i="94"/>
  <c r="G50" i="94" s="1"/>
  <c r="G53" i="94"/>
  <c r="G48" i="94"/>
  <c r="F92" i="94"/>
  <c r="G87" i="94"/>
  <c r="L30" i="94"/>
  <c r="L70" i="94"/>
  <c r="H176" i="110"/>
  <c r="H193" i="110" s="1"/>
  <c r="AC39" i="94"/>
  <c r="AC47" i="94"/>
  <c r="AC40" i="94"/>
  <c r="J27" i="109"/>
  <c r="K65" i="109"/>
  <c r="J48" i="94"/>
  <c r="J49" i="94"/>
  <c r="J53" i="94"/>
  <c r="K48" i="94"/>
  <c r="I92" i="94"/>
  <c r="E68" i="110"/>
  <c r="E69" i="110" s="1"/>
  <c r="E161" i="110"/>
  <c r="E160" i="110"/>
  <c r="E70" i="110" s="1"/>
  <c r="E80" i="110"/>
  <c r="R68" i="111"/>
  <c r="U71" i="111"/>
  <c r="I63" i="109"/>
  <c r="H25" i="109"/>
  <c r="BI81" i="49"/>
  <c r="BB86" i="49"/>
  <c r="F25" i="108"/>
  <c r="L53" i="94"/>
  <c r="K93" i="94" s="1"/>
  <c r="L48" i="94"/>
  <c r="L49" i="94"/>
  <c r="M48" i="94"/>
  <c r="E49" i="94"/>
  <c r="E53" i="94"/>
  <c r="E48" i="94"/>
  <c r="D92" i="94"/>
  <c r="E87" i="94"/>
  <c r="F48" i="94"/>
  <c r="AW82" i="49"/>
  <c r="AW86" i="49"/>
  <c r="X52" i="94" s="1"/>
  <c r="L18" i="109"/>
  <c r="L67" i="109"/>
  <c r="Q94" i="111"/>
  <c r="Q72" i="109"/>
  <c r="Q18" i="109"/>
  <c r="Q175" i="109"/>
  <c r="R33" i="68"/>
  <c r="S32" i="68"/>
  <c r="R38" i="68"/>
  <c r="S30" i="94"/>
  <c r="S70" i="94"/>
  <c r="F68" i="110"/>
  <c r="F69" i="110" s="1"/>
  <c r="F160" i="110"/>
  <c r="F70" i="110" s="1"/>
  <c r="F161" i="110"/>
  <c r="H82" i="49"/>
  <c r="H86" i="49"/>
  <c r="V123" i="111"/>
  <c r="W31" i="111" s="1"/>
  <c r="O177" i="110" s="1"/>
  <c r="W69" i="111"/>
  <c r="E30" i="94"/>
  <c r="E70" i="94"/>
  <c r="D91" i="94"/>
  <c r="E86" i="94"/>
  <c r="BI60" i="49"/>
  <c r="BI62" i="49"/>
  <c r="BB64" i="49"/>
  <c r="G24" i="109"/>
  <c r="H62" i="109"/>
  <c r="O49" i="94"/>
  <c r="O50" i="94" s="1"/>
  <c r="O53" i="94"/>
  <c r="O48" i="94"/>
  <c r="G64" i="110"/>
  <c r="G65" i="110"/>
  <c r="K179" i="110"/>
  <c r="S98" i="111"/>
  <c r="S125" i="111" s="1"/>
  <c r="T33" i="111" s="1"/>
  <c r="L179" i="110" s="1"/>
  <c r="M89" i="111"/>
  <c r="M116" i="111" s="1"/>
  <c r="N24" i="111" s="1"/>
  <c r="N89" i="111" s="1"/>
  <c r="L89" i="111"/>
  <c r="L116" i="111" s="1"/>
  <c r="M24" i="111" s="1"/>
  <c r="K82" i="94"/>
  <c r="K86" i="94"/>
  <c r="K87" i="94"/>
  <c r="K88" i="94"/>
  <c r="K91" i="94"/>
  <c r="K97" i="94" s="1"/>
  <c r="K92" i="94"/>
  <c r="P48" i="94"/>
  <c r="X47" i="94"/>
  <c r="X40" i="94"/>
  <c r="X39" i="94"/>
  <c r="Z31" i="94"/>
  <c r="X457" i="49"/>
  <c r="S32" i="111"/>
  <c r="O32" i="109"/>
  <c r="P70" i="109"/>
  <c r="AJ542" i="49"/>
  <c r="AK540" i="49"/>
  <c r="AK541" i="49" s="1"/>
  <c r="P31" i="94"/>
  <c r="N53" i="94"/>
  <c r="N48" i="94"/>
  <c r="N49" i="94"/>
  <c r="N50" i="94" s="1"/>
  <c r="N82" i="49"/>
  <c r="N86" i="49"/>
  <c r="I65" i="110"/>
  <c r="I64" i="110"/>
  <c r="W49" i="94"/>
  <c r="W50" i="94" s="1"/>
  <c r="W53" i="94"/>
  <c r="W48" i="94"/>
  <c r="F23" i="109"/>
  <c r="G61" i="109"/>
  <c r="E46" i="110"/>
  <c r="K66" i="109"/>
  <c r="K18" i="109"/>
  <c r="E18" i="109"/>
  <c r="E60" i="109"/>
  <c r="Y30" i="94"/>
  <c r="Y31" i="94" s="1"/>
  <c r="Y70" i="94"/>
  <c r="X517" i="49"/>
  <c r="V50" i="94"/>
  <c r="H30" i="108"/>
  <c r="X30" i="94"/>
  <c r="X70" i="94"/>
  <c r="V34" i="111"/>
  <c r="W456" i="49"/>
  <c r="V462" i="49"/>
  <c r="V463" i="49" s="1"/>
  <c r="Y453" i="49"/>
  <c r="Z460" i="49"/>
  <c r="AA25" i="94"/>
  <c r="AZ66" i="49"/>
  <c r="AZ80" i="49"/>
  <c r="AZ81" i="49" s="1"/>
  <c r="AZ60" i="49"/>
  <c r="F42" i="110"/>
  <c r="K60" i="111"/>
  <c r="G93" i="94"/>
  <c r="H88" i="94"/>
  <c r="G30" i="108"/>
  <c r="N31" i="109"/>
  <c r="O69" i="109"/>
  <c r="Z49" i="94"/>
  <c r="Z53" i="94"/>
  <c r="X459" i="49"/>
  <c r="AB25" i="94"/>
  <c r="BA66" i="49"/>
  <c r="BA80" i="49"/>
  <c r="BA81" i="49" s="1"/>
  <c r="G42" i="110"/>
  <c r="BA60" i="49"/>
  <c r="Y451" i="49"/>
  <c r="Z458" i="49"/>
  <c r="J22" i="111"/>
  <c r="H50" i="94"/>
  <c r="F30" i="108"/>
  <c r="AI457" i="49"/>
  <c r="AI456" i="49"/>
  <c r="AI462" i="49" s="1"/>
  <c r="AI463" i="49" s="1"/>
  <c r="AI459" i="49"/>
  <c r="X512" i="49"/>
  <c r="S82" i="49"/>
  <c r="S86" i="49"/>
  <c r="AD39" i="94"/>
  <c r="AD40" i="94"/>
  <c r="H48" i="94"/>
  <c r="O61" i="111"/>
  <c r="I52" i="111"/>
  <c r="I55" i="111"/>
  <c r="I57" i="111" s="1"/>
  <c r="I51" i="111"/>
  <c r="Y39" i="94"/>
  <c r="Y47" i="94"/>
  <c r="Z48" i="94" s="1"/>
  <c r="Y40" i="94"/>
  <c r="Y540" i="49"/>
  <c r="Y541" i="49" s="1"/>
  <c r="X542" i="49"/>
  <c r="T70" i="111"/>
  <c r="P18" i="109"/>
  <c r="P71" i="109"/>
  <c r="Z39" i="94"/>
  <c r="H32" i="108"/>
  <c r="E30" i="108"/>
  <c r="H93" i="94"/>
  <c r="I88" i="94"/>
  <c r="J90" i="94"/>
  <c r="J85" i="94"/>
  <c r="S65" i="49"/>
  <c r="Q121" i="111"/>
  <c r="R29" i="111" s="1"/>
  <c r="R67" i="111"/>
  <c r="AX278" i="49"/>
  <c r="AX276" i="49"/>
  <c r="AX277" i="49"/>
  <c r="AC26" i="94"/>
  <c r="AC28" i="94" s="1"/>
  <c r="E64" i="110"/>
  <c r="D65" i="110"/>
  <c r="BA6" i="64"/>
  <c r="BA7" i="64" s="1"/>
  <c r="K31" i="94"/>
  <c r="G193" i="110"/>
  <c r="M1" i="94"/>
  <c r="I26" i="108"/>
  <c r="H161" i="110"/>
  <c r="H68" i="110"/>
  <c r="H69" i="110" s="1"/>
  <c r="H26" i="108"/>
  <c r="W72" i="111"/>
  <c r="G68" i="110"/>
  <c r="G160" i="110"/>
  <c r="G70" i="110" s="1"/>
  <c r="G161" i="110"/>
  <c r="D43" i="110"/>
  <c r="D73" i="110"/>
  <c r="D74" i="110" s="1"/>
  <c r="D45" i="110"/>
  <c r="K64" i="109"/>
  <c r="W30" i="94"/>
  <c r="W31" i="94" s="1"/>
  <c r="W70" i="94"/>
  <c r="H43" i="110"/>
  <c r="H73" i="110"/>
  <c r="H74" i="110" s="1"/>
  <c r="H45" i="110"/>
  <c r="Z52" i="94"/>
  <c r="E79" i="110"/>
  <c r="H160" i="110"/>
  <c r="H70" i="110" s="1"/>
  <c r="V31" i="94"/>
  <c r="AY275" i="49"/>
  <c r="AY270" i="49"/>
  <c r="AY295" i="49"/>
  <c r="AY487" i="49"/>
  <c r="R82" i="49"/>
  <c r="R86" i="49"/>
  <c r="AX271" i="49"/>
  <c r="AX273" i="49"/>
  <c r="AX272" i="49"/>
  <c r="I91" i="109"/>
  <c r="I118" i="109" s="1"/>
  <c r="J26" i="109" s="1"/>
  <c r="F32" i="108"/>
  <c r="AH462" i="49"/>
  <c r="AH463" i="49" s="1"/>
  <c r="P82" i="49"/>
  <c r="P86" i="49"/>
  <c r="L90" i="111"/>
  <c r="L117" i="111" s="1"/>
  <c r="M25" i="111" s="1"/>
  <c r="AB39" i="94"/>
  <c r="AB40" i="94"/>
  <c r="N62" i="111"/>
  <c r="N24" i="68"/>
  <c r="N23" i="68"/>
  <c r="I193" i="110"/>
  <c r="V80" i="49"/>
  <c r="V81" i="49" s="1"/>
  <c r="N119" i="111"/>
  <c r="O27" i="111" s="1"/>
  <c r="O65" i="111"/>
  <c r="U49" i="94"/>
  <c r="U50" i="94" s="1"/>
  <c r="U53" i="94"/>
  <c r="U48" i="94"/>
  <c r="Q68" i="109"/>
  <c r="M88" i="111"/>
  <c r="M115" i="111" s="1"/>
  <c r="N23" i="111" s="1"/>
  <c r="N88" i="111" s="1"/>
  <c r="N115" i="111" s="1"/>
  <c r="O23" i="111" s="1"/>
  <c r="O88" i="111" s="1"/>
  <c r="L91" i="111"/>
  <c r="L118" i="111" s="1"/>
  <c r="M26" i="111" s="1"/>
  <c r="M91" i="111"/>
  <c r="M118" i="111" s="1"/>
  <c r="N26" i="111" s="1"/>
  <c r="O31" i="94"/>
  <c r="N64" i="111"/>
  <c r="AD25" i="94"/>
  <c r="BC66" i="49"/>
  <c r="BC80" i="49"/>
  <c r="BC81" i="49" s="1"/>
  <c r="I42" i="110"/>
  <c r="BC60" i="49"/>
  <c r="Z495" i="49"/>
  <c r="AA496" i="49"/>
  <c r="M208" i="110"/>
  <c r="M211" i="110" s="1"/>
  <c r="N207" i="110"/>
  <c r="N63" i="111"/>
  <c r="K82" i="49"/>
  <c r="K86" i="49"/>
  <c r="AX82" i="49"/>
  <c r="AX86" i="49"/>
  <c r="Q66" i="111"/>
  <c r="P120" i="111"/>
  <c r="Q28" i="111" s="1"/>
  <c r="I161" i="110"/>
  <c r="S49" i="94"/>
  <c r="S53" i="94"/>
  <c r="S48" i="94"/>
  <c r="T48" i="94"/>
  <c r="H65" i="110"/>
  <c r="H64" i="110"/>
  <c r="AY18" i="64"/>
  <c r="E15" i="110"/>
  <c r="E15" i="108"/>
  <c r="D35" i="108"/>
  <c r="D44" i="108" s="1"/>
  <c r="E35" i="108"/>
  <c r="E36" i="108" s="1"/>
  <c r="F35" i="108"/>
  <c r="G35" i="108"/>
  <c r="G36" i="108" s="1"/>
  <c r="H35" i="108"/>
  <c r="I35" i="108"/>
  <c r="I36" i="108" s="1"/>
  <c r="J35" i="108"/>
  <c r="J81" i="108"/>
  <c r="K84" i="108"/>
  <c r="L84" i="108"/>
  <c r="M84" i="108"/>
  <c r="N84" i="108"/>
  <c r="O84" i="108" s="1"/>
  <c r="P84" i="108" s="1"/>
  <c r="Q84" i="108" s="1"/>
  <c r="R84" i="108" s="1"/>
  <c r="S84" i="108" s="1"/>
  <c r="T84" i="108" s="1"/>
  <c r="D81" i="108"/>
  <c r="D82" i="108"/>
  <c r="D83" i="108"/>
  <c r="E81" i="108"/>
  <c r="E83" i="108" s="1"/>
  <c r="F36" i="108" s="1"/>
  <c r="E82" i="108"/>
  <c r="F81" i="108"/>
  <c r="F82" i="108"/>
  <c r="F83" i="108"/>
  <c r="G81" i="108"/>
  <c r="G83" i="108" s="1"/>
  <c r="H36" i="108" s="1"/>
  <c r="G82" i="108"/>
  <c r="H81" i="108"/>
  <c r="H82" i="108"/>
  <c r="H83" i="108"/>
  <c r="I81" i="108"/>
  <c r="I83" i="108" s="1"/>
  <c r="I82" i="108"/>
  <c r="K36" i="108"/>
  <c r="L36" i="108"/>
  <c r="M36" i="108"/>
  <c r="N36" i="108"/>
  <c r="O36" i="108" s="1"/>
  <c r="P36" i="108" s="1"/>
  <c r="Q36" i="108" s="1"/>
  <c r="R36" i="108" s="1"/>
  <c r="S36" i="108" s="1"/>
  <c r="T36" i="108" s="1"/>
  <c r="U36" i="108" s="1"/>
  <c r="D38" i="108"/>
  <c r="D39" i="108" s="1"/>
  <c r="E38" i="108"/>
  <c r="F38" i="108"/>
  <c r="F42" i="108" s="1"/>
  <c r="G38" i="108"/>
  <c r="H38" i="108"/>
  <c r="I38" i="108"/>
  <c r="I42" i="108" s="1"/>
  <c r="L39" i="108"/>
  <c r="M39" i="108"/>
  <c r="N39" i="108" s="1"/>
  <c r="O39" i="108" s="1"/>
  <c r="P39" i="108" s="1"/>
  <c r="Q39" i="108" s="1"/>
  <c r="R39" i="108" s="1"/>
  <c r="S39" i="108" s="1"/>
  <c r="T39" i="108" s="1"/>
  <c r="U39" i="108" s="1"/>
  <c r="E39" i="108"/>
  <c r="G39" i="108"/>
  <c r="H39" i="108"/>
  <c r="I39" i="108"/>
  <c r="D41" i="108"/>
  <c r="D42" i="108" s="1"/>
  <c r="E41" i="108"/>
  <c r="E42" i="108" s="1"/>
  <c r="F41" i="108"/>
  <c r="G41" i="108"/>
  <c r="H41" i="108"/>
  <c r="H42" i="108" s="1"/>
  <c r="I41" i="108"/>
  <c r="G42" i="108"/>
  <c r="G44" i="108"/>
  <c r="H44" i="108"/>
  <c r="H45" i="108" s="1"/>
  <c r="I44" i="108"/>
  <c r="I45" i="108" s="1"/>
  <c r="D48" i="108"/>
  <c r="E48" i="108"/>
  <c r="F48" i="108"/>
  <c r="F54" i="108" s="1"/>
  <c r="G48" i="108"/>
  <c r="G54" i="108" s="1"/>
  <c r="H48" i="108"/>
  <c r="H54" i="108" s="1"/>
  <c r="I48" i="108"/>
  <c r="D50" i="108"/>
  <c r="E50" i="108"/>
  <c r="E52" i="108" s="1"/>
  <c r="F50" i="108"/>
  <c r="F52" i="108" s="1"/>
  <c r="G50" i="108"/>
  <c r="G51" i="108" s="1"/>
  <c r="H50" i="108"/>
  <c r="H51" i="108" s="1"/>
  <c r="I50" i="108"/>
  <c r="I51" i="108" s="1"/>
  <c r="D51" i="108"/>
  <c r="E51" i="108"/>
  <c r="F51" i="108"/>
  <c r="D52" i="108"/>
  <c r="D54" i="108"/>
  <c r="D56" i="108" s="1"/>
  <c r="I54" i="108"/>
  <c r="I55" i="108" s="1"/>
  <c r="I56" i="108"/>
  <c r="D58" i="108"/>
  <c r="E58" i="108"/>
  <c r="E59" i="108" s="1"/>
  <c r="F58" i="108"/>
  <c r="F59" i="108" s="1"/>
  <c r="G58" i="108"/>
  <c r="G59" i="108" s="1"/>
  <c r="H58" i="108"/>
  <c r="H59" i="108" s="1"/>
  <c r="I58" i="108"/>
  <c r="I59" i="108" s="1"/>
  <c r="K59" i="108"/>
  <c r="O59" i="108"/>
  <c r="P59" i="108"/>
  <c r="Q59" i="108"/>
  <c r="R59" i="108"/>
  <c r="S59" i="108"/>
  <c r="T59" i="108" s="1"/>
  <c r="D59" i="108"/>
  <c r="BA14" i="64"/>
  <c r="M77" i="94"/>
  <c r="M96" i="94"/>
  <c r="M103" i="94"/>
  <c r="M107" i="94"/>
  <c r="J60" i="108"/>
  <c r="K60" i="108"/>
  <c r="L60" i="108"/>
  <c r="M108" i="94" l="1"/>
  <c r="L111" i="94"/>
  <c r="J112" i="94"/>
  <c r="M104" i="94"/>
  <c r="H113" i="94"/>
  <c r="M79" i="94"/>
  <c r="M101" i="94"/>
  <c r="M102" i="94" s="1"/>
  <c r="BA15" i="64"/>
  <c r="BA17" i="64"/>
  <c r="F114" i="112"/>
  <c r="AB118" i="94"/>
  <c r="AB119" i="94" s="1"/>
  <c r="BA294" i="49"/>
  <c r="G45" i="108"/>
  <c r="Q95" i="109"/>
  <c r="H55" i="108"/>
  <c r="H56" i="108"/>
  <c r="D80" i="110"/>
  <c r="E75" i="110"/>
  <c r="J176" i="110"/>
  <c r="R95" i="111"/>
  <c r="R122" i="111" s="1"/>
  <c r="S30" i="111" s="1"/>
  <c r="F56" i="108"/>
  <c r="G55" i="108"/>
  <c r="G56" i="108"/>
  <c r="V82" i="49"/>
  <c r="V86" i="49"/>
  <c r="I69" i="110"/>
  <c r="AB45" i="94"/>
  <c r="AB47" i="94" s="1"/>
  <c r="AB26" i="94"/>
  <c r="AB28" i="94" s="1"/>
  <c r="BG81" i="49"/>
  <c r="AZ82" i="49"/>
  <c r="AZ86" i="49"/>
  <c r="E22" i="109"/>
  <c r="F60" i="109"/>
  <c r="T98" i="111"/>
  <c r="T125" i="111" s="1"/>
  <c r="U33" i="111" s="1"/>
  <c r="M179" i="110" s="1"/>
  <c r="F44" i="108"/>
  <c r="F39" i="108"/>
  <c r="O63" i="111"/>
  <c r="N1" i="94"/>
  <c r="X49" i="94"/>
  <c r="X50" i="94" s="1"/>
  <c r="X53" i="94"/>
  <c r="X48" i="94"/>
  <c r="O92" i="111"/>
  <c r="BH81" i="49"/>
  <c r="BA82" i="49"/>
  <c r="BA86" i="49"/>
  <c r="X69" i="111"/>
  <c r="W123" i="111"/>
  <c r="X31" i="111" s="1"/>
  <c r="Y459" i="49"/>
  <c r="X452" i="49"/>
  <c r="AA45" i="94"/>
  <c r="AA47" i="94" s="1"/>
  <c r="AA26" i="94"/>
  <c r="AA28" i="94" s="1"/>
  <c r="I62" i="109"/>
  <c r="AC52" i="94"/>
  <c r="H79" i="110"/>
  <c r="H80" i="110" s="1"/>
  <c r="J175" i="110"/>
  <c r="R72" i="109"/>
  <c r="Q34" i="109"/>
  <c r="E44" i="108"/>
  <c r="E45" i="108" s="1"/>
  <c r="E54" i="108"/>
  <c r="O207" i="110"/>
  <c r="N208" i="110"/>
  <c r="N211" i="110" s="1"/>
  <c r="H46" i="110"/>
  <c r="Z453" i="49"/>
  <c r="AA460" i="49"/>
  <c r="L66" i="109"/>
  <c r="K28" i="109"/>
  <c r="G89" i="109"/>
  <c r="G116" i="109" s="1"/>
  <c r="H24" i="109" s="1"/>
  <c r="BB82" i="49"/>
  <c r="Q93" i="111"/>
  <c r="BI64" i="49"/>
  <c r="I93" i="94"/>
  <c r="J88" i="94"/>
  <c r="AD45" i="94"/>
  <c r="AD47" i="94" s="1"/>
  <c r="AD26" i="94"/>
  <c r="AD28" i="94" s="1"/>
  <c r="F43" i="110"/>
  <c r="F45" i="110"/>
  <c r="F46" i="110" s="1"/>
  <c r="F73" i="110"/>
  <c r="F74" i="110" s="1"/>
  <c r="BB6" i="64"/>
  <c r="BB7" i="64" s="1"/>
  <c r="J50" i="94"/>
  <c r="K50" i="94"/>
  <c r="Q120" i="111"/>
  <c r="R28" i="111" s="1"/>
  <c r="R66" i="111"/>
  <c r="Y542" i="49"/>
  <c r="Z540" i="49"/>
  <c r="Z541" i="49" s="1"/>
  <c r="X450" i="49"/>
  <c r="Y457" i="49"/>
  <c r="O64" i="111"/>
  <c r="P69" i="109"/>
  <c r="X456" i="49"/>
  <c r="W462" i="49"/>
  <c r="W463" i="49" s="1"/>
  <c r="H61" i="109"/>
  <c r="AJ459" i="49"/>
  <c r="AJ457" i="49"/>
  <c r="AJ456" i="49"/>
  <c r="AJ462" i="49" s="1"/>
  <c r="H90" i="109"/>
  <c r="H117" i="109" s="1"/>
  <c r="I25" i="109" s="1"/>
  <c r="I90" i="109"/>
  <c r="R93" i="111"/>
  <c r="L82" i="94"/>
  <c r="L86" i="94"/>
  <c r="L87" i="94"/>
  <c r="L88" i="94"/>
  <c r="L91" i="94"/>
  <c r="L97" i="94" s="1"/>
  <c r="L92" i="94"/>
  <c r="L93" i="94"/>
  <c r="Y52" i="94"/>
  <c r="D79" i="110"/>
  <c r="O115" i="111"/>
  <c r="P23" i="111" s="1"/>
  <c r="P88" i="111" s="1"/>
  <c r="P61" i="111"/>
  <c r="AK542" i="49"/>
  <c r="AL540" i="49"/>
  <c r="AL541" i="49" s="1"/>
  <c r="R94" i="111"/>
  <c r="R121" i="111" s="1"/>
  <c r="S29" i="111" s="1"/>
  <c r="P33" i="109"/>
  <c r="Q71" i="109"/>
  <c r="P50" i="94"/>
  <c r="N96" i="109"/>
  <c r="N123" i="109" s="1"/>
  <c r="O31" i="109" s="1"/>
  <c r="O96" i="109"/>
  <c r="O123" i="109" s="1"/>
  <c r="P31" i="109" s="1"/>
  <c r="N180" i="110"/>
  <c r="V99" i="111"/>
  <c r="V126" i="111" s="1"/>
  <c r="W34" i="111" s="1"/>
  <c r="O180" i="110" s="1"/>
  <c r="X99" i="111"/>
  <c r="W99" i="111"/>
  <c r="F88" i="109"/>
  <c r="F115" i="109" s="1"/>
  <c r="G23" i="109" s="1"/>
  <c r="G88" i="109"/>
  <c r="G115" i="109" s="1"/>
  <c r="H23" i="109" s="1"/>
  <c r="I117" i="109"/>
  <c r="J63" i="109"/>
  <c r="L65" i="109"/>
  <c r="L31" i="94"/>
  <c r="M31" i="94"/>
  <c r="N116" i="111"/>
  <c r="O24" i="111" s="1"/>
  <c r="O89" i="111" s="1"/>
  <c r="O62" i="111"/>
  <c r="I52" i="108"/>
  <c r="L50" i="94"/>
  <c r="M50" i="94"/>
  <c r="S67" i="111"/>
  <c r="Q122" i="109"/>
  <c r="R68" i="109"/>
  <c r="H52" i="108"/>
  <c r="S50" i="94"/>
  <c r="T50" i="94"/>
  <c r="G52" i="108"/>
  <c r="N91" i="111"/>
  <c r="N118" i="111" s="1"/>
  <c r="O26" i="111" s="1"/>
  <c r="J91" i="109"/>
  <c r="J118" i="109" s="1"/>
  <c r="K26" i="109" s="1"/>
  <c r="L64" i="109"/>
  <c r="Q70" i="109"/>
  <c r="K90" i="94"/>
  <c r="K85" i="94"/>
  <c r="S31" i="94"/>
  <c r="T31" i="94"/>
  <c r="BJ60" i="49"/>
  <c r="BC62" i="49"/>
  <c r="M90" i="111"/>
  <c r="M117" i="111" s="1"/>
  <c r="N25" i="111" s="1"/>
  <c r="AC30" i="94"/>
  <c r="AC70" i="94"/>
  <c r="J47" i="111"/>
  <c r="J87" i="111"/>
  <c r="J114" i="111" s="1"/>
  <c r="K22" i="111" s="1"/>
  <c r="X31" i="94"/>
  <c r="O97" i="109"/>
  <c r="O124" i="109" s="1"/>
  <c r="P32" i="109" s="1"/>
  <c r="P92" i="111"/>
  <c r="D93" i="94"/>
  <c r="E88" i="94"/>
  <c r="V71" i="111"/>
  <c r="J92" i="109"/>
  <c r="J119" i="109" s="1"/>
  <c r="K27" i="109" s="1"/>
  <c r="Y470" i="49"/>
  <c r="Y517" i="49"/>
  <c r="I43" i="110"/>
  <c r="I73" i="110"/>
  <c r="I74" i="110" s="1"/>
  <c r="I45" i="110"/>
  <c r="I46" i="110" s="1"/>
  <c r="G69" i="110"/>
  <c r="T124" i="111"/>
  <c r="U32" i="111" s="1"/>
  <c r="M178" i="110" s="1"/>
  <c r="U70" i="111"/>
  <c r="Z451" i="49"/>
  <c r="AA458" i="49"/>
  <c r="K178" i="110"/>
  <c r="T97" i="111"/>
  <c r="S97" i="111"/>
  <c r="S124" i="111" s="1"/>
  <c r="T32" i="111" s="1"/>
  <c r="L178" i="110" s="1"/>
  <c r="E50" i="94"/>
  <c r="F50" i="94"/>
  <c r="S68" i="111"/>
  <c r="AY278" i="49"/>
  <c r="AY276" i="49"/>
  <c r="AY277" i="49"/>
  <c r="BC82" i="49"/>
  <c r="BJ81" i="49"/>
  <c r="BC86" i="49"/>
  <c r="O119" i="111"/>
  <c r="P27" i="111" s="1"/>
  <c r="P65" i="111"/>
  <c r="AY272" i="49"/>
  <c r="AY271" i="49"/>
  <c r="AY273" i="49"/>
  <c r="W126" i="111"/>
  <c r="X34" i="111" s="1"/>
  <c r="P180" i="110" s="1"/>
  <c r="X72" i="111"/>
  <c r="Y468" i="49"/>
  <c r="Y512" i="49"/>
  <c r="AC49" i="94"/>
  <c r="AC53" i="94"/>
  <c r="F93" i="94"/>
  <c r="G88" i="94"/>
  <c r="AZ275" i="49"/>
  <c r="AZ295" i="49"/>
  <c r="AZ487" i="49"/>
  <c r="AZ270" i="49"/>
  <c r="G43" i="110"/>
  <c r="G73" i="110"/>
  <c r="G74" i="110" s="1"/>
  <c r="G45" i="110"/>
  <c r="G46" i="110" s="1"/>
  <c r="L60" i="111"/>
  <c r="E31" i="94"/>
  <c r="F31" i="94"/>
  <c r="BH60" i="49"/>
  <c r="BA62" i="49"/>
  <c r="Y48" i="94"/>
  <c r="Y49" i="94"/>
  <c r="Y50" i="94" s="1"/>
  <c r="Y53" i="94"/>
  <c r="BG60" i="49"/>
  <c r="AZ62" i="49"/>
  <c r="U98" i="111"/>
  <c r="U125" i="111" s="1"/>
  <c r="V33" i="111" s="1"/>
  <c r="F26" i="108"/>
  <c r="F27" i="108"/>
  <c r="G27" i="108"/>
  <c r="G26" i="108"/>
  <c r="L29" i="109"/>
  <c r="M67" i="109"/>
  <c r="AZ18" i="64"/>
  <c r="F15" i="110"/>
  <c r="F15" i="108"/>
  <c r="D62" i="108"/>
  <c r="D64" i="108" s="1"/>
  <c r="E62" i="108"/>
  <c r="E73" i="108" s="1"/>
  <c r="F62" i="108"/>
  <c r="G62" i="108"/>
  <c r="H62" i="108"/>
  <c r="I62" i="108"/>
  <c r="I64" i="108" s="1"/>
  <c r="G64" i="108"/>
  <c r="H64" i="108"/>
  <c r="D146" i="108"/>
  <c r="D147" i="108" s="1"/>
  <c r="D150" i="108"/>
  <c r="D152" i="108" s="1"/>
  <c r="D151" i="108"/>
  <c r="D155" i="108"/>
  <c r="D157" i="108" s="1"/>
  <c r="D67" i="108" s="1"/>
  <c r="E146" i="108"/>
  <c r="E150" i="108"/>
  <c r="E152" i="108" s="1"/>
  <c r="E155" i="108" s="1"/>
  <c r="E151" i="108"/>
  <c r="E153" i="108" s="1"/>
  <c r="E157" i="108"/>
  <c r="F146" i="108"/>
  <c r="F150" i="108"/>
  <c r="F151" i="108"/>
  <c r="F152" i="108"/>
  <c r="G146" i="108"/>
  <c r="G150" i="108"/>
  <c r="G151" i="108"/>
  <c r="G152" i="108"/>
  <c r="G155" i="108"/>
  <c r="H146" i="108"/>
  <c r="H150" i="108"/>
  <c r="H151" i="108"/>
  <c r="H152" i="108" s="1"/>
  <c r="I146" i="108"/>
  <c r="I155" i="108" s="1"/>
  <c r="I150" i="108"/>
  <c r="I152" i="108" s="1"/>
  <c r="I151" i="108"/>
  <c r="D140" i="108"/>
  <c r="D159" i="108"/>
  <c r="D69" i="108" s="1"/>
  <c r="E140" i="108"/>
  <c r="F140" i="108"/>
  <c r="F141" i="108" s="1"/>
  <c r="G140" i="108"/>
  <c r="G141" i="108" s="1"/>
  <c r="H140" i="108"/>
  <c r="H141" i="108" s="1"/>
  <c r="I140" i="108"/>
  <c r="L159" i="108"/>
  <c r="L69" i="108" s="1"/>
  <c r="D71" i="108"/>
  <c r="E71" i="108"/>
  <c r="F71" i="108"/>
  <c r="G71" i="108"/>
  <c r="H71" i="108"/>
  <c r="I71" i="108"/>
  <c r="J71" i="108"/>
  <c r="D72" i="108"/>
  <c r="E72" i="108"/>
  <c r="F72" i="108"/>
  <c r="G72" i="108"/>
  <c r="H72" i="108"/>
  <c r="H73" i="108" s="1"/>
  <c r="I72" i="108"/>
  <c r="F73" i="108"/>
  <c r="D76" i="108"/>
  <c r="E76" i="108"/>
  <c r="F76" i="108"/>
  <c r="G76" i="108"/>
  <c r="H76" i="108"/>
  <c r="I76" i="108"/>
  <c r="J76" i="108"/>
  <c r="D77" i="108"/>
  <c r="E77" i="108"/>
  <c r="F77" i="108"/>
  <c r="G77" i="108"/>
  <c r="H77" i="108"/>
  <c r="I77" i="108"/>
  <c r="D78" i="108"/>
  <c r="E78" i="108"/>
  <c r="G78" i="108"/>
  <c r="H78" i="108"/>
  <c r="I78" i="108"/>
  <c r="U84" i="108"/>
  <c r="K82" i="108"/>
  <c r="E84" i="108"/>
  <c r="F84" i="108"/>
  <c r="G84" i="108"/>
  <c r="H84" i="108"/>
  <c r="I84" i="108"/>
  <c r="E120" i="108"/>
  <c r="H94" i="108"/>
  <c r="I94" i="108"/>
  <c r="J94" i="108"/>
  <c r="H120" i="108"/>
  <c r="L120" i="108"/>
  <c r="L121" i="108"/>
  <c r="U127" i="108"/>
  <c r="B128" i="108"/>
  <c r="B129" i="108"/>
  <c r="U129" i="108"/>
  <c r="D137" i="108"/>
  <c r="D142" i="108" s="1"/>
  <c r="E137" i="108"/>
  <c r="F137" i="108"/>
  <c r="G137" i="108"/>
  <c r="G147" i="108" s="1"/>
  <c r="H137" i="108"/>
  <c r="I138" i="108" s="1"/>
  <c r="I137" i="108"/>
  <c r="D138" i="108"/>
  <c r="E138" i="108"/>
  <c r="F138" i="108"/>
  <c r="G138" i="108"/>
  <c r="D141" i="108"/>
  <c r="E141" i="108"/>
  <c r="I141" i="108"/>
  <c r="E142" i="108"/>
  <c r="G142" i="108"/>
  <c r="I142" i="108"/>
  <c r="E143" i="108"/>
  <c r="F143" i="108"/>
  <c r="H143" i="108"/>
  <c r="E147" i="108"/>
  <c r="D153" i="108"/>
  <c r="F153" i="108"/>
  <c r="H153" i="108"/>
  <c r="I153" i="108"/>
  <c r="D156" i="108"/>
  <c r="D165" i="108"/>
  <c r="E165" i="108"/>
  <c r="F165" i="108"/>
  <c r="F167" i="108" s="1"/>
  <c r="G165" i="108"/>
  <c r="H165" i="108"/>
  <c r="H167" i="108" s="1"/>
  <c r="H169" i="108" s="1"/>
  <c r="I165" i="108"/>
  <c r="D166" i="108"/>
  <c r="E166" i="108"/>
  <c r="F166" i="108"/>
  <c r="G166" i="108"/>
  <c r="G167" i="108" s="1"/>
  <c r="G169" i="108" s="1"/>
  <c r="H166" i="108"/>
  <c r="I166" i="108"/>
  <c r="J166" i="108"/>
  <c r="K166" i="108"/>
  <c r="L166" i="108"/>
  <c r="M166" i="108"/>
  <c r="N166" i="108"/>
  <c r="O166" i="108"/>
  <c r="P166" i="108"/>
  <c r="Q166" i="108"/>
  <c r="R166" i="108"/>
  <c r="S166" i="108"/>
  <c r="T166" i="108"/>
  <c r="U166" i="108"/>
  <c r="D167" i="108"/>
  <c r="E167" i="108"/>
  <c r="I167" i="108"/>
  <c r="I169" i="108" s="1"/>
  <c r="D168" i="108"/>
  <c r="E168" i="108"/>
  <c r="F168" i="108"/>
  <c r="F169" i="108" s="1"/>
  <c r="G168" i="108"/>
  <c r="H168" i="108"/>
  <c r="I168" i="108"/>
  <c r="D169" i="108"/>
  <c r="E169" i="108"/>
  <c r="D171" i="108"/>
  <c r="D174" i="108"/>
  <c r="D175" i="108"/>
  <c r="E175" i="108"/>
  <c r="F175" i="108"/>
  <c r="G175" i="108"/>
  <c r="H175" i="108"/>
  <c r="I175" i="108"/>
  <c r="D176" i="108"/>
  <c r="E176" i="108"/>
  <c r="F176" i="108"/>
  <c r="G176" i="108"/>
  <c r="D177" i="108"/>
  <c r="E177" i="108"/>
  <c r="F177" i="108"/>
  <c r="G177" i="108"/>
  <c r="D178" i="108"/>
  <c r="E178" i="108"/>
  <c r="F178" i="108"/>
  <c r="G178" i="108"/>
  <c r="H178" i="108"/>
  <c r="D179" i="108"/>
  <c r="E179" i="108"/>
  <c r="F179" i="108"/>
  <c r="G179" i="108"/>
  <c r="H179" i="108"/>
  <c r="I179" i="108"/>
  <c r="D180" i="108"/>
  <c r="E180" i="108"/>
  <c r="F180" i="108"/>
  <c r="G180" i="108"/>
  <c r="H180" i="108"/>
  <c r="I180" i="108"/>
  <c r="D181" i="108"/>
  <c r="E181" i="108"/>
  <c r="F181" i="108"/>
  <c r="G181" i="108"/>
  <c r="H181" i="108"/>
  <c r="I181" i="108"/>
  <c r="J181" i="108"/>
  <c r="D182" i="108"/>
  <c r="E182" i="108"/>
  <c r="F182" i="108"/>
  <c r="G182" i="108"/>
  <c r="H182" i="108"/>
  <c r="I182" i="108"/>
  <c r="J182" i="108"/>
  <c r="K182" i="108"/>
  <c r="D183" i="108"/>
  <c r="D192" i="108" s="1"/>
  <c r="E183" i="108"/>
  <c r="F183" i="108"/>
  <c r="G183" i="108"/>
  <c r="H183" i="108"/>
  <c r="I183" i="108"/>
  <c r="J183" i="108"/>
  <c r="K183" i="108"/>
  <c r="L183" i="108"/>
  <c r="D184" i="108"/>
  <c r="E184" i="108"/>
  <c r="F184" i="108"/>
  <c r="G184" i="108"/>
  <c r="H184" i="108"/>
  <c r="I184" i="108"/>
  <c r="J184" i="108"/>
  <c r="K184" i="108"/>
  <c r="L184" i="108"/>
  <c r="M184" i="108"/>
  <c r="D185" i="108"/>
  <c r="E185" i="108"/>
  <c r="F185" i="108"/>
  <c r="G185" i="108"/>
  <c r="H185" i="108"/>
  <c r="I185" i="108"/>
  <c r="J185" i="108"/>
  <c r="K185" i="108"/>
  <c r="L185" i="108"/>
  <c r="M185" i="108"/>
  <c r="N185" i="108"/>
  <c r="D186" i="108"/>
  <c r="E186" i="108"/>
  <c r="F186" i="108"/>
  <c r="G186" i="108"/>
  <c r="H186" i="108"/>
  <c r="I186" i="108"/>
  <c r="J186" i="108"/>
  <c r="K186" i="108"/>
  <c r="L186" i="108"/>
  <c r="M186" i="108"/>
  <c r="N186" i="108"/>
  <c r="O186" i="108"/>
  <c r="D187" i="108"/>
  <c r="E187" i="108"/>
  <c r="F187" i="108"/>
  <c r="G187" i="108"/>
  <c r="H187" i="108"/>
  <c r="I187" i="108"/>
  <c r="J187" i="108"/>
  <c r="K187" i="108"/>
  <c r="L187" i="108"/>
  <c r="M187" i="108"/>
  <c r="N187" i="108"/>
  <c r="O187" i="108"/>
  <c r="P187" i="108"/>
  <c r="D188" i="108"/>
  <c r="E188" i="108"/>
  <c r="F188" i="108"/>
  <c r="G188" i="108"/>
  <c r="H188" i="108"/>
  <c r="I188" i="108"/>
  <c r="J188" i="108"/>
  <c r="K188" i="108"/>
  <c r="L188" i="108"/>
  <c r="M188" i="108"/>
  <c r="N188" i="108"/>
  <c r="O188" i="108"/>
  <c r="P188" i="108"/>
  <c r="Q188" i="108"/>
  <c r="D189" i="108"/>
  <c r="E189" i="108"/>
  <c r="F189" i="108"/>
  <c r="G189" i="108"/>
  <c r="H189" i="108"/>
  <c r="I189" i="108"/>
  <c r="J189" i="108"/>
  <c r="K189" i="108"/>
  <c r="L189" i="108"/>
  <c r="M189" i="108"/>
  <c r="N189" i="108"/>
  <c r="O189" i="108"/>
  <c r="P189" i="108"/>
  <c r="Q189" i="108"/>
  <c r="R189" i="108"/>
  <c r="D190" i="108"/>
  <c r="E190" i="108"/>
  <c r="F190" i="108"/>
  <c r="G190" i="108"/>
  <c r="H190" i="108"/>
  <c r="I190" i="108"/>
  <c r="J190" i="108"/>
  <c r="K190" i="108"/>
  <c r="L190" i="108"/>
  <c r="M190" i="108"/>
  <c r="N190" i="108"/>
  <c r="O190" i="108"/>
  <c r="P190" i="108"/>
  <c r="Q190" i="108"/>
  <c r="R190" i="108"/>
  <c r="S190" i="108"/>
  <c r="D191" i="108"/>
  <c r="E191" i="108"/>
  <c r="F191" i="108"/>
  <c r="G191" i="108"/>
  <c r="H191" i="108"/>
  <c r="I191" i="108"/>
  <c r="J191" i="108"/>
  <c r="K191" i="108"/>
  <c r="L191" i="108"/>
  <c r="M191" i="108"/>
  <c r="N191" i="108"/>
  <c r="O191" i="108"/>
  <c r="P191" i="108"/>
  <c r="Q191" i="108"/>
  <c r="R191" i="108"/>
  <c r="S191" i="108"/>
  <c r="T191" i="108"/>
  <c r="D195" i="108"/>
  <c r="E195" i="108"/>
  <c r="F195" i="108"/>
  <c r="G195" i="108"/>
  <c r="H195" i="108"/>
  <c r="I195" i="108"/>
  <c r="D201" i="108"/>
  <c r="E201" i="108"/>
  <c r="F201" i="108"/>
  <c r="G201" i="108"/>
  <c r="H201" i="108"/>
  <c r="I201" i="108"/>
  <c r="E206" i="108"/>
  <c r="F206" i="108"/>
  <c r="G206" i="108" s="1"/>
  <c r="H206" i="108" s="1"/>
  <c r="I206" i="108" s="1"/>
  <c r="J206" i="108" s="1"/>
  <c r="K206" i="108" s="1"/>
  <c r="L206" i="108" s="1"/>
  <c r="J207" i="108"/>
  <c r="AC2" i="88"/>
  <c r="J12" i="88"/>
  <c r="E149" i="88"/>
  <c r="F152" i="88"/>
  <c r="D149" i="88"/>
  <c r="D150" i="88" s="1"/>
  <c r="E152" i="88"/>
  <c r="F15" i="88"/>
  <c r="F17" i="88" s="1"/>
  <c r="G15" i="88"/>
  <c r="G17" i="88" s="1"/>
  <c r="H15" i="88"/>
  <c r="H17" i="88" s="1"/>
  <c r="I15" i="88"/>
  <c r="J15" i="88"/>
  <c r="K15" i="88"/>
  <c r="K17" i="88" s="1"/>
  <c r="L15" i="88"/>
  <c r="M15" i="88"/>
  <c r="N15" i="88"/>
  <c r="O15" i="88"/>
  <c r="O17" i="88" s="1"/>
  <c r="P15" i="88"/>
  <c r="Q15" i="88"/>
  <c r="F16" i="88"/>
  <c r="G16" i="88"/>
  <c r="H16" i="88"/>
  <c r="I16" i="88"/>
  <c r="I17" i="88" s="1"/>
  <c r="J16" i="88"/>
  <c r="K16" i="88"/>
  <c r="L16" i="88"/>
  <c r="M16" i="88"/>
  <c r="N16" i="88"/>
  <c r="O16" i="88"/>
  <c r="P16" i="88"/>
  <c r="Q16" i="88"/>
  <c r="Q17" i="88" s="1"/>
  <c r="J17" i="88"/>
  <c r="L17" i="88"/>
  <c r="N17" i="88"/>
  <c r="P17" i="88"/>
  <c r="F149" i="88"/>
  <c r="F150" i="88" s="1"/>
  <c r="G149" i="88"/>
  <c r="G150" i="88" s="1"/>
  <c r="H19" i="88" s="1"/>
  <c r="H149" i="88"/>
  <c r="H185" i="88" s="1"/>
  <c r="H150" i="88"/>
  <c r="I149" i="88"/>
  <c r="I150" i="88" s="1"/>
  <c r="I19" i="88" s="1"/>
  <c r="J149" i="88"/>
  <c r="J150" i="88" s="1"/>
  <c r="J19" i="88"/>
  <c r="J18" i="88" s="1"/>
  <c r="K149" i="88"/>
  <c r="K150" i="88" s="1"/>
  <c r="K19" i="88" s="1"/>
  <c r="K66" i="88" s="1"/>
  <c r="L149" i="88"/>
  <c r="M152" i="88" s="1"/>
  <c r="L150" i="88"/>
  <c r="L19" i="88" s="1"/>
  <c r="M149" i="88"/>
  <c r="N149" i="88"/>
  <c r="N150" i="88" s="1"/>
  <c r="O149" i="88"/>
  <c r="O150" i="88" s="1"/>
  <c r="O19" i="88"/>
  <c r="P149" i="88"/>
  <c r="P167" i="88" s="1"/>
  <c r="Q149" i="88"/>
  <c r="J65" i="88"/>
  <c r="J27" i="88" s="1"/>
  <c r="J92" i="88" s="1"/>
  <c r="O70" i="88"/>
  <c r="E50" i="88"/>
  <c r="F50" i="88"/>
  <c r="G50" i="88"/>
  <c r="H50" i="88"/>
  <c r="I50" i="88"/>
  <c r="J50" i="88"/>
  <c r="K50" i="88"/>
  <c r="L50" i="88"/>
  <c r="M50" i="88"/>
  <c r="N50" i="88"/>
  <c r="O50" i="88"/>
  <c r="P50" i="88"/>
  <c r="Q50" i="88"/>
  <c r="E56" i="88"/>
  <c r="R154" i="88"/>
  <c r="Q152" i="88"/>
  <c r="S154" i="88"/>
  <c r="T154" i="88"/>
  <c r="U154" i="88"/>
  <c r="V154" i="88"/>
  <c r="W154" i="88"/>
  <c r="W173" i="88" s="1"/>
  <c r="X154" i="88"/>
  <c r="X173" i="88" s="1"/>
  <c r="Y154" i="88"/>
  <c r="Z154" i="88"/>
  <c r="Z173" i="88" s="1"/>
  <c r="AA154" i="88"/>
  <c r="AB154" i="88"/>
  <c r="AC154" i="88"/>
  <c r="G152" i="88"/>
  <c r="G155" i="88" s="1"/>
  <c r="I152" i="88"/>
  <c r="J152" i="88"/>
  <c r="K152" i="88"/>
  <c r="L152" i="88"/>
  <c r="O152" i="88"/>
  <c r="P152" i="88"/>
  <c r="F156" i="88"/>
  <c r="F155" i="88" s="1"/>
  <c r="G156" i="88"/>
  <c r="H156" i="88"/>
  <c r="I156" i="88"/>
  <c r="I155" i="88"/>
  <c r="J156" i="88"/>
  <c r="J155" i="88"/>
  <c r="K156" i="88"/>
  <c r="K155" i="88" s="1"/>
  <c r="L156" i="88"/>
  <c r="L155" i="88" s="1"/>
  <c r="O156" i="88"/>
  <c r="O155" i="88"/>
  <c r="P156" i="88"/>
  <c r="P155" i="88" s="1"/>
  <c r="Q164" i="88"/>
  <c r="R161" i="88"/>
  <c r="P164" i="88"/>
  <c r="Q161" i="88"/>
  <c r="Q163" i="88" s="1"/>
  <c r="R163" i="88" s="1"/>
  <c r="E161" i="88"/>
  <c r="E164" i="88"/>
  <c r="E163" i="88" s="1"/>
  <c r="F164" i="88"/>
  <c r="G164" i="88"/>
  <c r="H161" i="88" s="1"/>
  <c r="H164" i="88"/>
  <c r="I161" i="88"/>
  <c r="I164" i="88"/>
  <c r="I163" i="88" s="1"/>
  <c r="J164" i="88"/>
  <c r="K161" i="88"/>
  <c r="K163" i="88" s="1"/>
  <c r="K164" i="88"/>
  <c r="L161" i="88" s="1"/>
  <c r="L163" i="88" s="1"/>
  <c r="L164" i="88"/>
  <c r="M161" i="88"/>
  <c r="M164" i="88"/>
  <c r="N161" i="88"/>
  <c r="N164" i="88"/>
  <c r="N163" i="88" s="1"/>
  <c r="O164" i="88"/>
  <c r="P161" i="88" s="1"/>
  <c r="P163" i="88" s="1"/>
  <c r="H163" i="88"/>
  <c r="D167" i="88"/>
  <c r="E167" i="88"/>
  <c r="F167" i="88"/>
  <c r="G167" i="88"/>
  <c r="H167" i="88"/>
  <c r="I167" i="88"/>
  <c r="I169" i="88" s="1"/>
  <c r="J167" i="88"/>
  <c r="J169" i="88" s="1"/>
  <c r="L167" i="88"/>
  <c r="M167" i="88"/>
  <c r="N167" i="88"/>
  <c r="N169" i="88" s="1"/>
  <c r="O167" i="88"/>
  <c r="O169" i="88" s="1"/>
  <c r="D168" i="88"/>
  <c r="E168" i="88"/>
  <c r="F168" i="88"/>
  <c r="G168" i="88"/>
  <c r="H168" i="88"/>
  <c r="I168" i="88"/>
  <c r="J168" i="88"/>
  <c r="K168" i="88"/>
  <c r="L168" i="88"/>
  <c r="M168" i="88"/>
  <c r="M169" i="88" s="1"/>
  <c r="N168" i="88"/>
  <c r="O168" i="88"/>
  <c r="P168" i="88"/>
  <c r="Q168" i="88"/>
  <c r="D169" i="88"/>
  <c r="E169" i="88"/>
  <c r="F171" i="88" s="1"/>
  <c r="F169" i="88"/>
  <c r="G169" i="88"/>
  <c r="H171" i="88" s="1"/>
  <c r="H169" i="88"/>
  <c r="I171" i="88" s="1"/>
  <c r="E171" i="88"/>
  <c r="O171" i="88"/>
  <c r="P171" i="88"/>
  <c r="F172" i="88"/>
  <c r="G172" i="88"/>
  <c r="H172" i="88"/>
  <c r="I172" i="88"/>
  <c r="J172" i="88"/>
  <c r="K172" i="88"/>
  <c r="L172" i="88"/>
  <c r="M172" i="88"/>
  <c r="N172" i="88"/>
  <c r="O172" i="88"/>
  <c r="P172" i="88"/>
  <c r="Q172" i="88"/>
  <c r="F173" i="88"/>
  <c r="G173" i="88"/>
  <c r="H173" i="88"/>
  <c r="I173" i="88"/>
  <c r="J173" i="88"/>
  <c r="K173" i="88"/>
  <c r="L173" i="88"/>
  <c r="M173" i="88"/>
  <c r="N173" i="88"/>
  <c r="O173" i="88"/>
  <c r="P173" i="88"/>
  <c r="Q173" i="88"/>
  <c r="R173" i="88"/>
  <c r="S173" i="88"/>
  <c r="T173" i="88"/>
  <c r="U173" i="88"/>
  <c r="V173" i="88"/>
  <c r="Y173" i="88"/>
  <c r="AA173" i="88"/>
  <c r="AB173" i="88"/>
  <c r="AC173" i="88"/>
  <c r="E174" i="88"/>
  <c r="F174" i="88"/>
  <c r="G174" i="88"/>
  <c r="H174" i="88"/>
  <c r="I174" i="88"/>
  <c r="J174" i="88"/>
  <c r="K174" i="88"/>
  <c r="L174" i="88"/>
  <c r="M174" i="88"/>
  <c r="N174" i="88"/>
  <c r="O174" i="88"/>
  <c r="P174" i="88"/>
  <c r="Q174" i="88"/>
  <c r="E176" i="88"/>
  <c r="G176" i="88"/>
  <c r="H176" i="88"/>
  <c r="H175" i="88" s="1"/>
  <c r="O176" i="88"/>
  <c r="O175" i="88" s="1"/>
  <c r="E185" i="88"/>
  <c r="F185" i="88"/>
  <c r="I185" i="88"/>
  <c r="J185" i="88"/>
  <c r="K185" i="88"/>
  <c r="L185" i="88"/>
  <c r="N185" i="88"/>
  <c r="O185" i="88"/>
  <c r="P185" i="88"/>
  <c r="Q185" i="88"/>
  <c r="F186" i="88"/>
  <c r="G186" i="88"/>
  <c r="H186" i="88"/>
  <c r="I186" i="88"/>
  <c r="J186" i="88"/>
  <c r="K186" i="88"/>
  <c r="L186" i="88"/>
  <c r="N186" i="88"/>
  <c r="O186" i="88"/>
  <c r="E187" i="88"/>
  <c r="F187" i="88"/>
  <c r="G187" i="88"/>
  <c r="H187" i="88"/>
  <c r="O187" i="88"/>
  <c r="B3" i="89"/>
  <c r="D9" i="89"/>
  <c r="E9" i="89"/>
  <c r="F9" i="89"/>
  <c r="G9" i="89"/>
  <c r="H9" i="89"/>
  <c r="H12" i="89" s="1"/>
  <c r="I9" i="89"/>
  <c r="I12" i="89" s="1"/>
  <c r="D10" i="89"/>
  <c r="D12" i="89" s="1"/>
  <c r="E10" i="89"/>
  <c r="F10" i="89"/>
  <c r="G10" i="89"/>
  <c r="H10" i="89"/>
  <c r="I10" i="89"/>
  <c r="J10" i="89"/>
  <c r="D11" i="89"/>
  <c r="E11" i="89"/>
  <c r="E12" i="89" s="1"/>
  <c r="F11" i="89"/>
  <c r="G11" i="89"/>
  <c r="H11" i="89"/>
  <c r="I11" i="89"/>
  <c r="J11" i="89"/>
  <c r="F12" i="89"/>
  <c r="G12" i="89"/>
  <c r="F61" i="112" s="1"/>
  <c r="M148" i="89"/>
  <c r="M147" i="108" s="1"/>
  <c r="N148" i="89"/>
  <c r="N147" i="108" s="1"/>
  <c r="O148" i="89"/>
  <c r="P148" i="89"/>
  <c r="Q148" i="89"/>
  <c r="R148" i="89"/>
  <c r="S148" i="89"/>
  <c r="T148" i="89" s="1"/>
  <c r="D13" i="89"/>
  <c r="D14" i="89"/>
  <c r="E14" i="89"/>
  <c r="F14" i="89"/>
  <c r="G14" i="89"/>
  <c r="H14" i="89"/>
  <c r="I14" i="89"/>
  <c r="D15" i="89"/>
  <c r="E15" i="89"/>
  <c r="F15" i="89"/>
  <c r="G15" i="89"/>
  <c r="K15" i="89"/>
  <c r="L15" i="89"/>
  <c r="M15" i="89"/>
  <c r="N15" i="89"/>
  <c r="O15" i="89"/>
  <c r="P15" i="89"/>
  <c r="Q15" i="89"/>
  <c r="R15" i="89"/>
  <c r="S15" i="89"/>
  <c r="T15" i="89"/>
  <c r="U15" i="89"/>
  <c r="N77" i="94"/>
  <c r="N96" i="94"/>
  <c r="N103" i="94"/>
  <c r="N107" i="94"/>
  <c r="BB14" i="64"/>
  <c r="J16" i="89"/>
  <c r="K16" i="89"/>
  <c r="L16" i="89"/>
  <c r="BB15" i="64" l="1"/>
  <c r="BB17" i="64"/>
  <c r="G114" i="112"/>
  <c r="AC118" i="94"/>
  <c r="AC119" i="94" s="1"/>
  <c r="BB294" i="49"/>
  <c r="Q19" i="68"/>
  <c r="Q22" i="68"/>
  <c r="Q24" i="68" s="1"/>
  <c r="N108" i="94"/>
  <c r="N104" i="94"/>
  <c r="K112" i="94"/>
  <c r="M111" i="94"/>
  <c r="D114" i="94"/>
  <c r="I113" i="94"/>
  <c r="N101" i="94"/>
  <c r="N102" i="94" s="1"/>
  <c r="N79" i="94"/>
  <c r="M187" i="88"/>
  <c r="M176" i="88"/>
  <c r="N171" i="88"/>
  <c r="G61" i="112"/>
  <c r="H13" i="89"/>
  <c r="H61" i="112"/>
  <c r="I13" i="89"/>
  <c r="D61" i="112"/>
  <c r="E13" i="89"/>
  <c r="J176" i="88"/>
  <c r="J175" i="88" s="1"/>
  <c r="K171" i="88"/>
  <c r="J187" i="88"/>
  <c r="I187" i="88"/>
  <c r="J171" i="88"/>
  <c r="I176" i="88"/>
  <c r="I175" i="88" s="1"/>
  <c r="F55" i="112"/>
  <c r="F52" i="112"/>
  <c r="F54" i="112"/>
  <c r="F53" i="112"/>
  <c r="F59" i="112"/>
  <c r="F111" i="112" s="1"/>
  <c r="F57" i="112"/>
  <c r="F60" i="112"/>
  <c r="F56" i="112"/>
  <c r="F58" i="112"/>
  <c r="F163" i="88"/>
  <c r="I18" i="88"/>
  <c r="I64" i="88"/>
  <c r="O161" i="88"/>
  <c r="O163" i="88" s="1"/>
  <c r="F161" i="88"/>
  <c r="G19" i="88"/>
  <c r="M163" i="88"/>
  <c r="Q167" i="88"/>
  <c r="Q169" i="88" s="1"/>
  <c r="Q150" i="88"/>
  <c r="Q156" i="88"/>
  <c r="H18" i="88"/>
  <c r="H63" i="88"/>
  <c r="F19" i="88"/>
  <c r="E61" i="112"/>
  <c r="F13" i="89"/>
  <c r="O18" i="88"/>
  <c r="O147" i="108"/>
  <c r="P70" i="88"/>
  <c r="O32" i="88"/>
  <c r="M185" i="88"/>
  <c r="M150" i="88"/>
  <c r="N152" i="88"/>
  <c r="M156" i="88"/>
  <c r="M155" i="88" s="1"/>
  <c r="G171" i="88"/>
  <c r="G175" i="88" s="1"/>
  <c r="F176" i="88"/>
  <c r="F175" i="88" s="1"/>
  <c r="J161" i="88"/>
  <c r="J163" i="88" s="1"/>
  <c r="L18" i="88"/>
  <c r="L67" i="88"/>
  <c r="K18" i="88"/>
  <c r="K28" i="88"/>
  <c r="L66" i="88"/>
  <c r="N176" i="88"/>
  <c r="N187" i="88"/>
  <c r="H74" i="108"/>
  <c r="H79" i="108"/>
  <c r="G13" i="89"/>
  <c r="G161" i="88"/>
  <c r="G163" i="88" s="1"/>
  <c r="L169" i="88"/>
  <c r="E153" i="88"/>
  <c r="E154" i="88"/>
  <c r="P97" i="109"/>
  <c r="P124" i="109" s="1"/>
  <c r="Q32" i="109" s="1"/>
  <c r="I177" i="108" s="1"/>
  <c r="Q97" i="109"/>
  <c r="H177" i="108"/>
  <c r="K167" i="88"/>
  <c r="K169" i="88" s="1"/>
  <c r="K65" i="88"/>
  <c r="E150" i="88"/>
  <c r="E156" i="88"/>
  <c r="E155" i="88" s="1"/>
  <c r="K175" i="110"/>
  <c r="S94" i="111"/>
  <c r="J119" i="88"/>
  <c r="H152" i="88"/>
  <c r="H155" i="88" s="1"/>
  <c r="G185" i="88"/>
  <c r="K207" i="108"/>
  <c r="G63" i="108"/>
  <c r="H63" i="108"/>
  <c r="G73" i="108"/>
  <c r="K210" i="108"/>
  <c r="E79" i="108"/>
  <c r="P150" i="88"/>
  <c r="P169" i="88"/>
  <c r="E67" i="108"/>
  <c r="E68" i="108" s="1"/>
  <c r="E160" i="108"/>
  <c r="L207" i="108"/>
  <c r="L210" i="108" s="1"/>
  <c r="M206" i="108"/>
  <c r="N156" i="88"/>
  <c r="N155" i="88" s="1"/>
  <c r="F74" i="108"/>
  <c r="BJ62" i="49"/>
  <c r="BC64" i="49"/>
  <c r="M17" i="88"/>
  <c r="G143" i="108"/>
  <c r="G75" i="110"/>
  <c r="H75" i="110"/>
  <c r="AK456" i="49"/>
  <c r="AK457" i="49"/>
  <c r="AK459" i="49"/>
  <c r="F155" i="108"/>
  <c r="G156" i="108" s="1"/>
  <c r="I73" i="108"/>
  <c r="I63" i="108"/>
  <c r="N179" i="110"/>
  <c r="V98" i="111"/>
  <c r="V125" i="111" s="1"/>
  <c r="W33" i="111" s="1"/>
  <c r="K47" i="111"/>
  <c r="K87" i="111"/>
  <c r="K114" i="111" s="1"/>
  <c r="L22" i="111" s="1"/>
  <c r="AB48" i="94"/>
  <c r="AB49" i="94"/>
  <c r="AC48" i="94"/>
  <c r="BG62" i="49"/>
  <c r="AZ64" i="49"/>
  <c r="AZ271" i="49"/>
  <c r="AZ272" i="49"/>
  <c r="AZ273" i="49"/>
  <c r="F64" i="108"/>
  <c r="F63" i="108"/>
  <c r="AD52" i="94"/>
  <c r="I79" i="110"/>
  <c r="I80" i="110" s="1"/>
  <c r="L92" i="109"/>
  <c r="K92" i="109"/>
  <c r="K119" i="109" s="1"/>
  <c r="L27" i="109" s="1"/>
  <c r="E159" i="108"/>
  <c r="E69" i="108" s="1"/>
  <c r="F157" i="108"/>
  <c r="E156" i="108"/>
  <c r="E63" i="108"/>
  <c r="E64" i="108"/>
  <c r="Z468" i="49"/>
  <c r="Z512" i="49"/>
  <c r="D73" i="108"/>
  <c r="D79" i="108" s="1"/>
  <c r="W71" i="111"/>
  <c r="O91" i="111"/>
  <c r="O118" i="111" s="1"/>
  <c r="P26" i="111" s="1"/>
  <c r="H176" i="108"/>
  <c r="H155" i="108"/>
  <c r="H147" i="108"/>
  <c r="J55" i="111"/>
  <c r="J57" i="111" s="1"/>
  <c r="J52" i="111"/>
  <c r="J51" i="111"/>
  <c r="H138" i="108"/>
  <c r="I143" i="108"/>
  <c r="K176" i="110"/>
  <c r="S95" i="111"/>
  <c r="S122" i="111" s="1"/>
  <c r="T30" i="111" s="1"/>
  <c r="H142" i="108"/>
  <c r="K63" i="109"/>
  <c r="G153" i="108"/>
  <c r="J25" i="109"/>
  <c r="Z459" i="49"/>
  <c r="Y452" i="49"/>
  <c r="F147" i="108"/>
  <c r="F142" i="108"/>
  <c r="AD30" i="94"/>
  <c r="AD31" i="94" s="1"/>
  <c r="AD70" i="94"/>
  <c r="AZ278" i="49"/>
  <c r="AZ276" i="49"/>
  <c r="AZ277" i="49"/>
  <c r="I75" i="110"/>
  <c r="H89" i="109"/>
  <c r="H116" i="109" s="1"/>
  <c r="I24" i="109" s="1"/>
  <c r="S72" i="109"/>
  <c r="AB30" i="94"/>
  <c r="AB70" i="94"/>
  <c r="Y450" i="49"/>
  <c r="Z457" i="49"/>
  <c r="AD53" i="94"/>
  <c r="AD48" i="94"/>
  <c r="AD49" i="94"/>
  <c r="AD50" i="94" s="1"/>
  <c r="I147" i="108"/>
  <c r="N67" i="109"/>
  <c r="S121" i="111"/>
  <c r="T29" i="111" s="1"/>
  <c r="T67" i="111"/>
  <c r="P96" i="109"/>
  <c r="AJ463" i="49"/>
  <c r="X510" i="49"/>
  <c r="K93" i="109"/>
  <c r="K120" i="109" s="1"/>
  <c r="L28" i="109" s="1"/>
  <c r="P177" i="110"/>
  <c r="X96" i="111"/>
  <c r="L94" i="109"/>
  <c r="L121" i="109" s="1"/>
  <c r="M29" i="109" s="1"/>
  <c r="E174" i="108" s="1"/>
  <c r="E192" i="108" s="1"/>
  <c r="M94" i="109"/>
  <c r="M121" i="109" s="1"/>
  <c r="N29" i="109" s="1"/>
  <c r="BA64" i="49"/>
  <c r="BH62" i="49"/>
  <c r="AC50" i="94"/>
  <c r="U97" i="111"/>
  <c r="AC31" i="94"/>
  <c r="Q124" i="109"/>
  <c r="R32" i="109" s="1"/>
  <c r="J177" i="108" s="1"/>
  <c r="R70" i="109"/>
  <c r="AA540" i="49"/>
  <c r="AA541" i="49" s="1"/>
  <c r="AA542" i="49" s="1"/>
  <c r="Z542" i="49"/>
  <c r="M66" i="109"/>
  <c r="X123" i="111"/>
  <c r="Y31" i="111" s="1"/>
  <c r="Y69" i="111"/>
  <c r="BA270" i="49"/>
  <c r="BA295" i="49"/>
  <c r="BA487" i="49"/>
  <c r="BA275" i="49"/>
  <c r="M64" i="109"/>
  <c r="H88" i="109"/>
  <c r="H115" i="109" s="1"/>
  <c r="I23" i="109" s="1"/>
  <c r="R71" i="109"/>
  <c r="P63" i="111"/>
  <c r="N90" i="111"/>
  <c r="N117" i="111" s="1"/>
  <c r="O25" i="111" s="1"/>
  <c r="O90" i="111" s="1"/>
  <c r="O117" i="111" s="1"/>
  <c r="P25" i="111" s="1"/>
  <c r="P90" i="111" s="1"/>
  <c r="I61" i="109"/>
  <c r="S66" i="111"/>
  <c r="R120" i="111"/>
  <c r="S28" i="111" s="1"/>
  <c r="S93" i="111" s="1"/>
  <c r="Z470" i="49"/>
  <c r="Z517" i="49"/>
  <c r="G79" i="110"/>
  <c r="G80" i="110" s="1"/>
  <c r="AB52" i="94"/>
  <c r="AB53" i="94" s="1"/>
  <c r="W86" i="49"/>
  <c r="X86" i="49" s="1"/>
  <c r="BD86" i="49"/>
  <c r="T68" i="111"/>
  <c r="P98" i="109"/>
  <c r="P125" i="109" s="1"/>
  <c r="Q33" i="109" s="1"/>
  <c r="I178" i="108" s="1"/>
  <c r="M60" i="111"/>
  <c r="X126" i="111"/>
  <c r="Y34" i="111" s="1"/>
  <c r="Y72" i="111"/>
  <c r="L90" i="94"/>
  <c r="L85" i="94"/>
  <c r="J62" i="109"/>
  <c r="F45" i="108"/>
  <c r="BA18" i="64"/>
  <c r="G15" i="110"/>
  <c r="G15" i="108"/>
  <c r="V70" i="111"/>
  <c r="U124" i="111"/>
  <c r="V32" i="111" s="1"/>
  <c r="V97" i="111" s="1"/>
  <c r="X449" i="49"/>
  <c r="Y456" i="49"/>
  <c r="X462" i="49"/>
  <c r="X463" i="49" s="1"/>
  <c r="Z50" i="94"/>
  <c r="AA30" i="94"/>
  <c r="AA31" i="94" s="1"/>
  <c r="AA70" i="94"/>
  <c r="G60" i="109"/>
  <c r="M92" i="94"/>
  <c r="M93" i="94"/>
  <c r="M82" i="94"/>
  <c r="M87" i="94"/>
  <c r="M88" i="94"/>
  <c r="M91" i="94"/>
  <c r="M97" i="94" s="1"/>
  <c r="M86" i="94"/>
  <c r="O116" i="111"/>
  <c r="P24" i="111" s="1"/>
  <c r="P89" i="111" s="1"/>
  <c r="P62" i="111"/>
  <c r="BC6" i="64"/>
  <c r="BC7" i="64" s="1"/>
  <c r="P207" i="110"/>
  <c r="O208" i="110"/>
  <c r="O211" i="110" s="1"/>
  <c r="AA49" i="94"/>
  <c r="AA50" i="94" s="1"/>
  <c r="AA48" i="94"/>
  <c r="E47" i="109"/>
  <c r="E87" i="109"/>
  <c r="E114" i="109" s="1"/>
  <c r="F22" i="109" s="1"/>
  <c r="F47" i="109" s="1"/>
  <c r="AM540" i="49"/>
  <c r="AM541" i="49" s="1"/>
  <c r="AL542" i="49"/>
  <c r="P123" i="109"/>
  <c r="Q69" i="109"/>
  <c r="E55" i="108"/>
  <c r="E56" i="108"/>
  <c r="X516" i="49"/>
  <c r="X518" i="49" s="1"/>
  <c r="X519" i="49" s="1"/>
  <c r="AA52" i="94"/>
  <c r="AA53" i="94" s="1"/>
  <c r="F79" i="110"/>
  <c r="F80" i="110" s="1"/>
  <c r="P119" i="111"/>
  <c r="Q27" i="111" s="1"/>
  <c r="Q65" i="111"/>
  <c r="S68" i="109"/>
  <c r="P115" i="111"/>
  <c r="Q23" i="111" s="1"/>
  <c r="Q88" i="111" s="1"/>
  <c r="Q61" i="111"/>
  <c r="F75" i="110"/>
  <c r="F55" i="108"/>
  <c r="F78" i="108"/>
  <c r="F79" i="108" s="1"/>
  <c r="R30" i="109"/>
  <c r="L119" i="109"/>
  <c r="M27" i="109" s="1"/>
  <c r="M65" i="109"/>
  <c r="P64" i="111"/>
  <c r="Q99" i="109"/>
  <c r="Q126" i="109" s="1"/>
  <c r="R34" i="109" s="1"/>
  <c r="J179" i="108" s="1"/>
  <c r="K91" i="109"/>
  <c r="K118" i="109" s="1"/>
  <c r="L26" i="109" s="1"/>
  <c r="O1" i="94"/>
  <c r="D19" i="89"/>
  <c r="D18" i="89"/>
  <c r="E19" i="89"/>
  <c r="E22" i="89" s="1"/>
  <c r="E18" i="89"/>
  <c r="F19" i="89"/>
  <c r="F21" i="89" s="1"/>
  <c r="F18" i="89"/>
  <c r="G19" i="89"/>
  <c r="G21" i="89" s="1"/>
  <c r="G18" i="89"/>
  <c r="H19" i="89"/>
  <c r="H21" i="89" s="1"/>
  <c r="H18" i="89"/>
  <c r="I19" i="89"/>
  <c r="I18" i="89"/>
  <c r="D20" i="89"/>
  <c r="F20" i="89"/>
  <c r="G20" i="89"/>
  <c r="D21" i="89"/>
  <c r="E21" i="89"/>
  <c r="I21" i="89"/>
  <c r="G22" i="89"/>
  <c r="H22" i="89"/>
  <c r="I22" i="89"/>
  <c r="O77" i="94"/>
  <c r="O96" i="94"/>
  <c r="O103" i="94"/>
  <c r="O107" i="94"/>
  <c r="BC14" i="64"/>
  <c r="J23" i="89"/>
  <c r="K23" i="89"/>
  <c r="L23" i="89"/>
  <c r="BC15" i="64" l="1"/>
  <c r="BC17" i="64"/>
  <c r="H114" i="112"/>
  <c r="AD118" i="94"/>
  <c r="BC294" i="49"/>
  <c r="R19" i="68"/>
  <c r="R20" i="68" s="1"/>
  <c r="R22" i="68"/>
  <c r="O108" i="94"/>
  <c r="N111" i="94"/>
  <c r="L112" i="94"/>
  <c r="J113" i="94"/>
  <c r="E114" i="94"/>
  <c r="O104" i="94"/>
  <c r="O101" i="94"/>
  <c r="O102" i="94" s="1"/>
  <c r="O79" i="94"/>
  <c r="O179" i="110"/>
  <c r="W98" i="111"/>
  <c r="P91" i="111"/>
  <c r="I88" i="109"/>
  <c r="L176" i="110"/>
  <c r="T95" i="111"/>
  <c r="T122" i="111" s="1"/>
  <c r="U30" i="111" s="1"/>
  <c r="F174" i="108"/>
  <c r="F192" i="108" s="1"/>
  <c r="N94" i="109"/>
  <c r="Y469" i="49"/>
  <c r="Y516" i="49"/>
  <c r="Y518" i="49" s="1"/>
  <c r="Y519" i="49" s="1"/>
  <c r="Y467" i="49"/>
  <c r="Y510" i="49"/>
  <c r="P186" i="88"/>
  <c r="P19" i="88"/>
  <c r="L29" i="88"/>
  <c r="M67" i="88"/>
  <c r="R99" i="109"/>
  <c r="R126" i="109" s="1"/>
  <c r="S34" i="109" s="1"/>
  <c r="BA273" i="49"/>
  <c r="BA272" i="49"/>
  <c r="BA271" i="49"/>
  <c r="AB31" i="94"/>
  <c r="E74" i="108"/>
  <c r="R97" i="109"/>
  <c r="K90" i="109"/>
  <c r="K117" i="109" s="1"/>
  <c r="L25" i="109" s="1"/>
  <c r="I26" i="88"/>
  <c r="J64" i="88"/>
  <c r="N86" i="94"/>
  <c r="N92" i="94"/>
  <c r="N82" i="94"/>
  <c r="N87" i="94"/>
  <c r="N88" i="94"/>
  <c r="N91" i="94"/>
  <c r="N97" i="94" s="1"/>
  <c r="N93" i="94"/>
  <c r="M90" i="94"/>
  <c r="M85" i="94"/>
  <c r="P117" i="111"/>
  <c r="Q25" i="111" s="1"/>
  <c r="Q90" i="111" s="1"/>
  <c r="Q63" i="111"/>
  <c r="Q177" i="110"/>
  <c r="Y96" i="111"/>
  <c r="Y123" i="111" s="1"/>
  <c r="Z31" i="111" s="1"/>
  <c r="E54" i="112"/>
  <c r="E73" i="112"/>
  <c r="E57" i="112"/>
  <c r="E58" i="112"/>
  <c r="F70" i="112" s="1"/>
  <c r="E56" i="112"/>
  <c r="E60" i="112"/>
  <c r="E55" i="112"/>
  <c r="E53" i="112"/>
  <c r="E59" i="112"/>
  <c r="E52" i="112"/>
  <c r="U67" i="111"/>
  <c r="F87" i="109"/>
  <c r="F114" i="109" s="1"/>
  <c r="G22" i="109" s="1"/>
  <c r="V124" i="111"/>
  <c r="W32" i="111" s="1"/>
  <c r="W70" i="111"/>
  <c r="T72" i="109"/>
  <c r="F18" i="88"/>
  <c r="F61" i="88"/>
  <c r="Z69" i="111"/>
  <c r="N178" i="110"/>
  <c r="L175" i="110"/>
  <c r="T94" i="111"/>
  <c r="T121" i="111" s="1"/>
  <c r="U29" i="111" s="1"/>
  <c r="R69" i="109"/>
  <c r="S120" i="111"/>
  <c r="T28" i="111" s="1"/>
  <c r="T93" i="111" s="1"/>
  <c r="T66" i="111"/>
  <c r="BH64" i="49"/>
  <c r="BA65" i="49"/>
  <c r="BB65" i="49"/>
  <c r="Q31" i="109"/>
  <c r="H60" i="109"/>
  <c r="J61" i="109"/>
  <c r="I115" i="109"/>
  <c r="J23" i="109" s="1"/>
  <c r="L93" i="109"/>
  <c r="L120" i="109" s="1"/>
  <c r="M28" i="109" s="1"/>
  <c r="I74" i="108"/>
  <c r="I79" i="108"/>
  <c r="BC65" i="49"/>
  <c r="BJ64" i="49"/>
  <c r="F110" i="112"/>
  <c r="AZ65" i="49"/>
  <c r="BG64" i="49"/>
  <c r="G157" i="108"/>
  <c r="F156" i="108"/>
  <c r="N175" i="88"/>
  <c r="N19" i="88"/>
  <c r="M19" i="88"/>
  <c r="M186" i="88"/>
  <c r="F108" i="112"/>
  <c r="F153" i="112" s="1"/>
  <c r="F68" i="112"/>
  <c r="H156" i="108"/>
  <c r="I157" i="108"/>
  <c r="H157" i="108"/>
  <c r="I156" i="108"/>
  <c r="W125" i="111"/>
  <c r="X33" i="111" s="1"/>
  <c r="X71" i="111"/>
  <c r="I20" i="89"/>
  <c r="Q115" i="111"/>
  <c r="R23" i="111" s="1"/>
  <c r="R88" i="111" s="1"/>
  <c r="R61" i="111"/>
  <c r="E55" i="109"/>
  <c r="E57" i="109" s="1"/>
  <c r="E51" i="109"/>
  <c r="E52" i="109"/>
  <c r="Y126" i="111"/>
  <c r="Z34" i="111" s="1"/>
  <c r="Z72" i="111"/>
  <c r="S71" i="109"/>
  <c r="N66" i="109"/>
  <c r="N121" i="109"/>
  <c r="O67" i="109"/>
  <c r="H20" i="89"/>
  <c r="Q180" i="110"/>
  <c r="Y99" i="111"/>
  <c r="I89" i="109"/>
  <c r="I116" i="109" s="1"/>
  <c r="J24" i="109" s="1"/>
  <c r="J89" i="109"/>
  <c r="J116" i="109" s="1"/>
  <c r="K24" i="109" s="1"/>
  <c r="E19" i="88"/>
  <c r="E186" i="88"/>
  <c r="L120" i="88"/>
  <c r="M66" i="88"/>
  <c r="I63" i="88"/>
  <c r="H25" i="88"/>
  <c r="F112" i="112"/>
  <c r="D52" i="112"/>
  <c r="D104" i="112" s="1"/>
  <c r="D54" i="112"/>
  <c r="D106" i="112" s="1"/>
  <c r="D166" i="112" s="1"/>
  <c r="D56" i="112"/>
  <c r="D108" i="112" s="1"/>
  <c r="D153" i="112" s="1"/>
  <c r="D58" i="112"/>
  <c r="D110" i="112" s="1"/>
  <c r="D53" i="112"/>
  <c r="D105" i="112" s="1"/>
  <c r="D55" i="112"/>
  <c r="D107" i="112" s="1"/>
  <c r="D190" i="112" s="1"/>
  <c r="D60" i="112"/>
  <c r="D112" i="112" s="1"/>
  <c r="D59" i="112"/>
  <c r="D111" i="112" s="1"/>
  <c r="D57" i="112"/>
  <c r="D109" i="112" s="1"/>
  <c r="D214" i="112" s="1"/>
  <c r="L65" i="88"/>
  <c r="F109" i="112"/>
  <c r="F214" i="112" s="1"/>
  <c r="Z452" i="49"/>
  <c r="AA459" i="49"/>
  <c r="AK462" i="49"/>
  <c r="AK463" i="49" s="1"/>
  <c r="N206" i="108"/>
  <c r="M207" i="108"/>
  <c r="M210" i="108" s="1"/>
  <c r="G74" i="108"/>
  <c r="G79" i="108"/>
  <c r="K187" i="88"/>
  <c r="K176" i="88"/>
  <c r="K175" i="88" s="1"/>
  <c r="L171" i="88"/>
  <c r="K93" i="88"/>
  <c r="K120" i="88" s="1"/>
  <c r="L28" i="88" s="1"/>
  <c r="L93" i="88"/>
  <c r="O97" i="88"/>
  <c r="O124" i="88" s="1"/>
  <c r="P32" i="88" s="1"/>
  <c r="R152" i="88"/>
  <c r="Q155" i="88"/>
  <c r="R155" i="88" s="1"/>
  <c r="AM542" i="49"/>
  <c r="AN540" i="49"/>
  <c r="AN541" i="49" s="1"/>
  <c r="N60" i="111"/>
  <c r="T68" i="109"/>
  <c r="P208" i="110"/>
  <c r="P211" i="110" s="1"/>
  <c r="Q207" i="110"/>
  <c r="K62" i="109"/>
  <c r="Q98" i="109"/>
  <c r="Q125" i="109" s="1"/>
  <c r="R33" i="109" s="1"/>
  <c r="AB50" i="94"/>
  <c r="Q70" i="88"/>
  <c r="Q186" i="88"/>
  <c r="Q19" i="88"/>
  <c r="F105" i="112"/>
  <c r="F65" i="112"/>
  <c r="F22" i="89"/>
  <c r="E20" i="89"/>
  <c r="P118" i="111"/>
  <c r="Q26" i="111" s="1"/>
  <c r="Q91" i="111" s="1"/>
  <c r="Q64" i="111"/>
  <c r="BD6" i="64"/>
  <c r="BD7" i="64" s="1"/>
  <c r="BE6" i="64" s="1"/>
  <c r="BE7" i="64" s="1"/>
  <c r="BF6" i="64" s="1"/>
  <c r="BF7" i="64" s="1"/>
  <c r="BG6" i="64" s="1"/>
  <c r="BG7" i="64" s="1"/>
  <c r="BH6" i="64" s="1"/>
  <c r="BH7" i="64" s="1"/>
  <c r="BI6" i="64" s="1"/>
  <c r="BI7" i="64" s="1"/>
  <c r="BJ6" i="64" s="1"/>
  <c r="BJ7" i="64" s="1"/>
  <c r="BK6" i="64" s="1"/>
  <c r="BK7" i="64" s="1"/>
  <c r="BL6" i="64" s="1"/>
  <c r="BL7" i="64" s="1"/>
  <c r="BM6" i="64" s="1"/>
  <c r="BM7" i="64" s="1"/>
  <c r="BN6" i="64" s="1"/>
  <c r="BN7" i="64" s="1"/>
  <c r="BO6" i="64" s="1"/>
  <c r="BO7" i="64" s="1"/>
  <c r="Y449" i="49"/>
  <c r="Z456" i="49"/>
  <c r="Y462" i="49"/>
  <c r="Y463" i="49" s="1"/>
  <c r="U68" i="111"/>
  <c r="N64" i="109"/>
  <c r="M92" i="109"/>
  <c r="E16" i="88"/>
  <c r="E173" i="88"/>
  <c r="R171" i="88"/>
  <c r="Q176" i="88"/>
  <c r="Q187" i="88"/>
  <c r="F73" i="112"/>
  <c r="H57" i="112"/>
  <c r="H54" i="112"/>
  <c r="H56" i="112"/>
  <c r="H60" i="112"/>
  <c r="H73" i="112"/>
  <c r="H52" i="112"/>
  <c r="H53" i="112"/>
  <c r="H58" i="112"/>
  <c r="H59" i="112"/>
  <c r="H55" i="112"/>
  <c r="P1" i="94"/>
  <c r="Q119" i="111"/>
  <c r="R27" i="111" s="1"/>
  <c r="R92" i="111" s="1"/>
  <c r="R65" i="111"/>
  <c r="P116" i="111"/>
  <c r="Q24" i="111" s="1"/>
  <c r="Q89" i="111" s="1"/>
  <c r="Q62" i="111"/>
  <c r="X511" i="49"/>
  <c r="X513" i="49" s="1"/>
  <c r="J90" i="109"/>
  <c r="J117" i="109" s="1"/>
  <c r="K25" i="109" s="1"/>
  <c r="E15" i="88"/>
  <c r="E172" i="88"/>
  <c r="F106" i="112"/>
  <c r="F166" i="112" s="1"/>
  <c r="F66" i="112"/>
  <c r="BB270" i="49"/>
  <c r="BB295" i="49"/>
  <c r="BB487" i="49"/>
  <c r="BB275" i="49"/>
  <c r="Q92" i="111"/>
  <c r="L47" i="111"/>
  <c r="L87" i="111"/>
  <c r="L114" i="111" s="1"/>
  <c r="M22" i="111" s="1"/>
  <c r="G18" i="88"/>
  <c r="G62" i="88"/>
  <c r="F104" i="112"/>
  <c r="F64" i="112"/>
  <c r="J79" i="110"/>
  <c r="J78" i="108"/>
  <c r="F160" i="108"/>
  <c r="F67" i="108"/>
  <c r="F68" i="108" s="1"/>
  <c r="F159" i="108"/>
  <c r="F69" i="108" s="1"/>
  <c r="L176" i="88"/>
  <c r="L187" i="88"/>
  <c r="M171" i="88"/>
  <c r="M175" i="88" s="1"/>
  <c r="M119" i="109"/>
  <c r="N65" i="109"/>
  <c r="Y86" i="49"/>
  <c r="Z86" i="49" s="1"/>
  <c r="AA86" i="49" s="1"/>
  <c r="BA278" i="49"/>
  <c r="BA276" i="49"/>
  <c r="BA277" i="49"/>
  <c r="S70" i="109"/>
  <c r="R124" i="109"/>
  <c r="S32" i="109" s="1"/>
  <c r="K177" i="108" s="1"/>
  <c r="Z450" i="49"/>
  <c r="AA457" i="49"/>
  <c r="L63" i="109"/>
  <c r="K52" i="111"/>
  <c r="K55" i="111"/>
  <c r="K57" i="111" s="1"/>
  <c r="K51" i="111"/>
  <c r="P176" i="88"/>
  <c r="P175" i="88" s="1"/>
  <c r="P187" i="88"/>
  <c r="Q171" i="88"/>
  <c r="P147" i="108"/>
  <c r="F107" i="112"/>
  <c r="F190" i="112" s="1"/>
  <c r="G53" i="112"/>
  <c r="G55" i="112"/>
  <c r="G57" i="112"/>
  <c r="G59" i="112"/>
  <c r="G54" i="112"/>
  <c r="G56" i="112"/>
  <c r="G58" i="112"/>
  <c r="G60" i="112"/>
  <c r="G73" i="112"/>
  <c r="G52" i="112"/>
  <c r="AL459" i="49"/>
  <c r="AL457" i="49"/>
  <c r="AL456" i="49"/>
  <c r="AL462" i="49" s="1"/>
  <c r="AL463" i="49" s="1"/>
  <c r="L91" i="109"/>
  <c r="L118" i="109" s="1"/>
  <c r="M26" i="109" s="1"/>
  <c r="M91" i="109" s="1"/>
  <c r="M118" i="109" s="1"/>
  <c r="N26" i="109" s="1"/>
  <c r="R98" i="109"/>
  <c r="R125" i="109" s="1"/>
  <c r="S33" i="109" s="1"/>
  <c r="F51" i="109"/>
  <c r="F55" i="109"/>
  <c r="F57" i="109" s="1"/>
  <c r="F52" i="109"/>
  <c r="S95" i="109"/>
  <c r="S122" i="109" s="1"/>
  <c r="T30" i="109" s="1"/>
  <c r="R95" i="109"/>
  <c r="R122" i="109" s="1"/>
  <c r="S30" i="109" s="1"/>
  <c r="K175" i="108" s="1"/>
  <c r="J175" i="108"/>
  <c r="K27" i="88"/>
  <c r="BB18" i="64"/>
  <c r="H15" i="110"/>
  <c r="H15" i="108"/>
  <c r="H15" i="89"/>
  <c r="D29" i="89"/>
  <c r="D32" i="89" s="1"/>
  <c r="D25" i="89"/>
  <c r="D27" i="89" s="1"/>
  <c r="E29" i="89"/>
  <c r="E30" i="89" s="1"/>
  <c r="E31" i="89" s="1"/>
  <c r="E25" i="89"/>
  <c r="E26" i="89" s="1"/>
  <c r="F29" i="89"/>
  <c r="F25" i="89"/>
  <c r="F27" i="89" s="1"/>
  <c r="G29" i="89"/>
  <c r="H30" i="89" s="1"/>
  <c r="H31" i="89" s="1"/>
  <c r="G25" i="89"/>
  <c r="G27" i="89" s="1"/>
  <c r="H29" i="89"/>
  <c r="H25" i="89"/>
  <c r="H26" i="89" s="1"/>
  <c r="I29" i="89"/>
  <c r="I25" i="89"/>
  <c r="D26" i="89"/>
  <c r="E27" i="89"/>
  <c r="I27" i="89"/>
  <c r="D30" i="89"/>
  <c r="D31" i="89" s="1"/>
  <c r="G30" i="89"/>
  <c r="G31" i="89" s="1"/>
  <c r="I30" i="89"/>
  <c r="I31" i="89" s="1"/>
  <c r="F32" i="89"/>
  <c r="H32" i="89"/>
  <c r="I32" i="89"/>
  <c r="E33" i="89"/>
  <c r="F33" i="89"/>
  <c r="H33" i="89"/>
  <c r="I33" i="89"/>
  <c r="P77" i="94"/>
  <c r="P96" i="94"/>
  <c r="P103" i="94"/>
  <c r="P107" i="94"/>
  <c r="J34" i="89"/>
  <c r="K34" i="89"/>
  <c r="L34" i="89"/>
  <c r="P108" i="94" l="1"/>
  <c r="O111" i="94"/>
  <c r="K113" i="94"/>
  <c r="M112" i="94"/>
  <c r="F114" i="94"/>
  <c r="P104" i="94"/>
  <c r="P79" i="94"/>
  <c r="P101" i="94"/>
  <c r="P102" i="94" s="1"/>
  <c r="K178" i="108"/>
  <c r="S98" i="109"/>
  <c r="S125" i="109" s="1"/>
  <c r="T33" i="109" s="1"/>
  <c r="M176" i="110"/>
  <c r="U95" i="111"/>
  <c r="R177" i="110"/>
  <c r="Z96" i="111"/>
  <c r="N91" i="109"/>
  <c r="K89" i="109"/>
  <c r="K116" i="109" s="1"/>
  <c r="L24" i="109" s="1"/>
  <c r="M175" i="110"/>
  <c r="U94" i="111"/>
  <c r="X514" i="49"/>
  <c r="X521" i="49"/>
  <c r="L175" i="108"/>
  <c r="T95" i="109"/>
  <c r="H110" i="112"/>
  <c r="H70" i="112"/>
  <c r="E60" i="88"/>
  <c r="O66" i="109"/>
  <c r="I160" i="108"/>
  <c r="I67" i="108"/>
  <c r="I68" i="108" s="1"/>
  <c r="I159" i="108"/>
  <c r="I69" i="108" s="1"/>
  <c r="E71" i="112"/>
  <c r="E111" i="112"/>
  <c r="K92" i="88"/>
  <c r="K119" i="88" s="1"/>
  <c r="L27" i="88" s="1"/>
  <c r="L92" i="88" s="1"/>
  <c r="L119" i="88" s="1"/>
  <c r="M27" i="88" s="1"/>
  <c r="O178" i="110"/>
  <c r="W97" i="111"/>
  <c r="W124" i="111" s="1"/>
  <c r="X32" i="111" s="1"/>
  <c r="G26" i="89"/>
  <c r="G70" i="112"/>
  <c r="G110" i="112"/>
  <c r="G24" i="88"/>
  <c r="H62" i="88"/>
  <c r="H105" i="112"/>
  <c r="H65" i="112"/>
  <c r="R64" i="111"/>
  <c r="Q118" i="111"/>
  <c r="R26" i="111" s="1"/>
  <c r="R91" i="111" s="1"/>
  <c r="L62" i="109"/>
  <c r="P97" i="88"/>
  <c r="P124" i="88" s="1"/>
  <c r="Q32" i="88" s="1"/>
  <c r="D191" i="112"/>
  <c r="D224" i="112"/>
  <c r="T71" i="109"/>
  <c r="I176" i="108"/>
  <c r="R96" i="109"/>
  <c r="R123" i="109" s="1"/>
  <c r="S31" i="109" s="1"/>
  <c r="Q96" i="109"/>
  <c r="Q123" i="109" s="1"/>
  <c r="R31" i="109" s="1"/>
  <c r="J176" i="108" s="1"/>
  <c r="E65" i="112"/>
  <c r="E105" i="112"/>
  <c r="O87" i="94"/>
  <c r="O86" i="94"/>
  <c r="O92" i="94"/>
  <c r="O82" i="94"/>
  <c r="O88" i="94"/>
  <c r="O91" i="94"/>
  <c r="O97" i="94" s="1"/>
  <c r="O93" i="94"/>
  <c r="N67" i="88"/>
  <c r="AA456" i="49"/>
  <c r="Z449" i="49"/>
  <c r="Z462" i="49"/>
  <c r="Z463" i="49" s="1"/>
  <c r="F30" i="89"/>
  <c r="F31" i="89" s="1"/>
  <c r="F115" i="112"/>
  <c r="F136" i="112"/>
  <c r="F113" i="112"/>
  <c r="F227" i="112" s="1"/>
  <c r="R207" i="110"/>
  <c r="Q208" i="110"/>
  <c r="Q211" i="110" s="1"/>
  <c r="E67" i="112"/>
  <c r="E107" i="112"/>
  <c r="E190" i="112" s="1"/>
  <c r="E193" i="112" s="1"/>
  <c r="E32" i="89"/>
  <c r="O91" i="109"/>
  <c r="M63" i="109"/>
  <c r="L117" i="109"/>
  <c r="M25" i="109" s="1"/>
  <c r="M47" i="111"/>
  <c r="M87" i="111"/>
  <c r="M114" i="111" s="1"/>
  <c r="N22" i="111" s="1"/>
  <c r="F155" i="112"/>
  <c r="F222" i="112"/>
  <c r="G156" i="112"/>
  <c r="F154" i="112"/>
  <c r="AA69" i="111"/>
  <c r="Z123" i="111"/>
  <c r="AA31" i="111" s="1"/>
  <c r="E72" i="112"/>
  <c r="E112" i="112"/>
  <c r="F167" i="112"/>
  <c r="F223" i="112"/>
  <c r="G169" i="112"/>
  <c r="F26" i="89"/>
  <c r="G72" i="112"/>
  <c r="G112" i="112"/>
  <c r="H104" i="112"/>
  <c r="H64" i="112"/>
  <c r="G66" i="112"/>
  <c r="G106" i="112"/>
  <c r="G166" i="112" s="1"/>
  <c r="O65" i="109"/>
  <c r="G71" i="112"/>
  <c r="G111" i="112"/>
  <c r="N27" i="109"/>
  <c r="L52" i="111"/>
  <c r="D198" i="110" s="1"/>
  <c r="L55" i="111"/>
  <c r="L51" i="111"/>
  <c r="D197" i="110" s="1"/>
  <c r="L90" i="109"/>
  <c r="H72" i="112"/>
  <c r="H112" i="112"/>
  <c r="M93" i="88"/>
  <c r="D154" i="112"/>
  <c r="D222" i="112"/>
  <c r="Z126" i="111"/>
  <c r="AA34" i="111" s="1"/>
  <c r="AA72" i="111"/>
  <c r="F23" i="88"/>
  <c r="G61" i="88"/>
  <c r="E68" i="112"/>
  <c r="E108" i="112"/>
  <c r="E153" i="112" s="1"/>
  <c r="E156" i="112" s="1"/>
  <c r="R70" i="88"/>
  <c r="G32" i="89"/>
  <c r="G68" i="112"/>
  <c r="G108" i="112"/>
  <c r="G153" i="112" s="1"/>
  <c r="G69" i="112"/>
  <c r="G109" i="112"/>
  <c r="G214" i="112" s="1"/>
  <c r="H108" i="112"/>
  <c r="H153" i="112" s="1"/>
  <c r="H68" i="112"/>
  <c r="T122" i="109"/>
  <c r="U30" i="109" s="1"/>
  <c r="M175" i="108" s="1"/>
  <c r="U68" i="109"/>
  <c r="N207" i="108"/>
  <c r="N210" i="108" s="1"/>
  <c r="O206" i="108"/>
  <c r="D167" i="112"/>
  <c r="D223" i="112"/>
  <c r="R180" i="110"/>
  <c r="Z99" i="111"/>
  <c r="M18" i="88"/>
  <c r="M68" i="88"/>
  <c r="E70" i="112"/>
  <c r="E110" i="112"/>
  <c r="N85" i="94"/>
  <c r="N90" i="94"/>
  <c r="Z467" i="49"/>
  <c r="Z510" i="49"/>
  <c r="H106" i="112"/>
  <c r="H166" i="112" s="1"/>
  <c r="H66" i="112"/>
  <c r="N118" i="109"/>
  <c r="O26" i="109" s="1"/>
  <c r="O64" i="109"/>
  <c r="D113" i="112"/>
  <c r="D227" i="112" s="1"/>
  <c r="D136" i="112"/>
  <c r="D115" i="112"/>
  <c r="Q147" i="108"/>
  <c r="S65" i="111"/>
  <c r="R119" i="111"/>
  <c r="S27" i="111" s="1"/>
  <c r="S92" i="111" s="1"/>
  <c r="I117" i="88"/>
  <c r="J25" i="88" s="1"/>
  <c r="J63" i="88"/>
  <c r="M65" i="88"/>
  <c r="H27" i="89"/>
  <c r="U66" i="111"/>
  <c r="T120" i="111"/>
  <c r="U28" i="111" s="1"/>
  <c r="U93" i="111" s="1"/>
  <c r="G107" i="112"/>
  <c r="G190" i="112" s="1"/>
  <c r="G67" i="112"/>
  <c r="N18" i="88"/>
  <c r="N69" i="88"/>
  <c r="E69" i="112"/>
  <c r="E109" i="112"/>
  <c r="E214" i="112" s="1"/>
  <c r="J88" i="109"/>
  <c r="G105" i="112"/>
  <c r="G65" i="112"/>
  <c r="BB277" i="49"/>
  <c r="BB278" i="49"/>
  <c r="BB276" i="49"/>
  <c r="Q116" i="111"/>
  <c r="R24" i="111" s="1"/>
  <c r="R89" i="111" s="1"/>
  <c r="R62" i="111"/>
  <c r="H69" i="112"/>
  <c r="H109" i="112"/>
  <c r="H214" i="112" s="1"/>
  <c r="U122" i="111"/>
  <c r="V30" i="111" s="1"/>
  <c r="V68" i="111"/>
  <c r="O60" i="111"/>
  <c r="U72" i="109"/>
  <c r="F67" i="112"/>
  <c r="L175" i="88"/>
  <c r="Z469" i="49"/>
  <c r="Z516" i="49"/>
  <c r="Z518" i="49" s="1"/>
  <c r="Z519" i="49" s="1"/>
  <c r="F72" i="112"/>
  <c r="M93" i="109"/>
  <c r="M120" i="109" s="1"/>
  <c r="N28" i="109" s="1"/>
  <c r="E66" i="112"/>
  <c r="E106" i="112"/>
  <c r="E166" i="112" s="1"/>
  <c r="F168" i="112" s="1"/>
  <c r="K64" i="88"/>
  <c r="K179" i="108"/>
  <c r="S99" i="109"/>
  <c r="S126" i="109" s="1"/>
  <c r="T34" i="109" s="1"/>
  <c r="R23" i="68"/>
  <c r="R24" i="68"/>
  <c r="AN542" i="49"/>
  <c r="AO540" i="49"/>
  <c r="AO541" i="49" s="1"/>
  <c r="F225" i="112"/>
  <c r="F215" i="112"/>
  <c r="R115" i="111"/>
  <c r="S23" i="111" s="1"/>
  <c r="S88" i="111" s="1"/>
  <c r="S61" i="111"/>
  <c r="G33" i="89"/>
  <c r="T70" i="109"/>
  <c r="BB271" i="49"/>
  <c r="BB273" i="49"/>
  <c r="BB272" i="49"/>
  <c r="Q175" i="88"/>
  <c r="Q18" i="88"/>
  <c r="Q72" i="88"/>
  <c r="AM459" i="49"/>
  <c r="AM457" i="49"/>
  <c r="AM456" i="49"/>
  <c r="AM462" i="49" s="1"/>
  <c r="AM463" i="49" s="1"/>
  <c r="F69" i="112"/>
  <c r="H90" i="88"/>
  <c r="H117" i="88" s="1"/>
  <c r="I25" i="88" s="1"/>
  <c r="I90" i="88"/>
  <c r="J90" i="88"/>
  <c r="G67" i="108"/>
  <c r="G68" i="108" s="1"/>
  <c r="G160" i="108"/>
  <c r="G159" i="108"/>
  <c r="G69" i="108" s="1"/>
  <c r="S69" i="109"/>
  <c r="X70" i="111"/>
  <c r="I91" i="88"/>
  <c r="I118" i="88" s="1"/>
  <c r="J26" i="88" s="1"/>
  <c r="J91" i="88"/>
  <c r="J118" i="88" s="1"/>
  <c r="K26" i="88" s="1"/>
  <c r="BC270" i="49"/>
  <c r="BC295" i="49"/>
  <c r="BC487" i="49"/>
  <c r="BC275" i="49"/>
  <c r="BD295" i="49"/>
  <c r="N66" i="88"/>
  <c r="M120" i="88"/>
  <c r="N28" i="88" s="1"/>
  <c r="P67" i="109"/>
  <c r="X125" i="111"/>
  <c r="Y33" i="111" s="1"/>
  <c r="Y71" i="111"/>
  <c r="J115" i="109"/>
  <c r="K23" i="109" s="1"/>
  <c r="K61" i="109"/>
  <c r="G47" i="109"/>
  <c r="G87" i="109"/>
  <c r="G114" i="109" s="1"/>
  <c r="H22" i="109" s="1"/>
  <c r="L94" i="88"/>
  <c r="L121" i="88" s="1"/>
  <c r="M29" i="88" s="1"/>
  <c r="M94" i="88"/>
  <c r="M121" i="88" s="1"/>
  <c r="N29" i="88" s="1"/>
  <c r="AD119" i="94"/>
  <c r="AE119" i="94"/>
  <c r="G193" i="112"/>
  <c r="F191" i="112"/>
  <c r="F224" i="112"/>
  <c r="F192" i="112"/>
  <c r="I26" i="89"/>
  <c r="E175" i="88"/>
  <c r="Q1" i="94"/>
  <c r="Y466" i="49"/>
  <c r="Y471" i="49" s="1"/>
  <c r="Y511" i="49"/>
  <c r="Y513" i="49" s="1"/>
  <c r="M28" i="88"/>
  <c r="O29" i="109"/>
  <c r="Q117" i="111"/>
  <c r="R25" i="111" s="1"/>
  <c r="R90" i="111" s="1"/>
  <c r="R63" i="111"/>
  <c r="S97" i="109"/>
  <c r="S124" i="109" s="1"/>
  <c r="T32" i="109" s="1"/>
  <c r="P179" i="110"/>
  <c r="X98" i="111"/>
  <c r="U121" i="111"/>
  <c r="V29" i="111" s="1"/>
  <c r="V67" i="111"/>
  <c r="G64" i="112"/>
  <c r="G104" i="112"/>
  <c r="BE86" i="49"/>
  <c r="E17" i="88"/>
  <c r="E18" i="88" s="1"/>
  <c r="H107" i="112"/>
  <c r="H190" i="112" s="1"/>
  <c r="H67" i="112"/>
  <c r="D225" i="112"/>
  <c r="D215" i="112"/>
  <c r="I60" i="109"/>
  <c r="P18" i="88"/>
  <c r="P71" i="88"/>
  <c r="H111" i="112"/>
  <c r="H71" i="112"/>
  <c r="J178" i="108"/>
  <c r="H67" i="108"/>
  <c r="H160" i="108"/>
  <c r="H159" i="108"/>
  <c r="H69" i="108" s="1"/>
  <c r="E104" i="112"/>
  <c r="E64" i="112"/>
  <c r="BC18" i="64"/>
  <c r="I15" i="110"/>
  <c r="J15" i="110"/>
  <c r="I15" i="108"/>
  <c r="J15" i="108"/>
  <c r="I15" i="89"/>
  <c r="J15" i="89"/>
  <c r="D36" i="89"/>
  <c r="D43" i="89" s="1"/>
  <c r="E36" i="89"/>
  <c r="F36" i="89"/>
  <c r="G36" i="89"/>
  <c r="H36" i="89"/>
  <c r="I36" i="89"/>
  <c r="J36" i="89"/>
  <c r="J82" i="89"/>
  <c r="L85" i="89"/>
  <c r="M85" i="89"/>
  <c r="N85" i="89" s="1"/>
  <c r="O85" i="89" s="1"/>
  <c r="P85" i="89" s="1"/>
  <c r="Q85" i="89" s="1"/>
  <c r="R85" i="89" s="1"/>
  <c r="S85" i="89" s="1"/>
  <c r="T85" i="89" s="1"/>
  <c r="D82" i="89"/>
  <c r="D83" i="89"/>
  <c r="D84" i="89"/>
  <c r="E82" i="89"/>
  <c r="E83" i="89"/>
  <c r="E84" i="89"/>
  <c r="E37" i="89"/>
  <c r="F82" i="89"/>
  <c r="F84" i="89" s="1"/>
  <c r="F83" i="89"/>
  <c r="G82" i="89"/>
  <c r="G83" i="89"/>
  <c r="G84" i="89"/>
  <c r="H82" i="89"/>
  <c r="H84" i="89" s="1"/>
  <c r="H83" i="89"/>
  <c r="I82" i="89"/>
  <c r="I83" i="89"/>
  <c r="I84" i="89"/>
  <c r="L37" i="89"/>
  <c r="M37" i="89" s="1"/>
  <c r="N37" i="89" s="1"/>
  <c r="O37" i="89" s="1"/>
  <c r="P37" i="89" s="1"/>
  <c r="Q37" i="89" s="1"/>
  <c r="R37" i="89" s="1"/>
  <c r="S37" i="89" s="1"/>
  <c r="T37" i="89" s="1"/>
  <c r="U37" i="89" s="1"/>
  <c r="D39" i="89"/>
  <c r="D40" i="89" s="1"/>
  <c r="E39" i="89"/>
  <c r="F39" i="89"/>
  <c r="G39" i="89"/>
  <c r="H39" i="89"/>
  <c r="H45" i="89" s="1"/>
  <c r="H46" i="89" s="1"/>
  <c r="I39" i="89"/>
  <c r="I43" i="89" s="1"/>
  <c r="M40" i="89"/>
  <c r="N40" i="89" s="1"/>
  <c r="O40" i="89" s="1"/>
  <c r="P40" i="89" s="1"/>
  <c r="Q40" i="89" s="1"/>
  <c r="R40" i="89" s="1"/>
  <c r="S40" i="89" s="1"/>
  <c r="T40" i="89" s="1"/>
  <c r="U40" i="89" s="1"/>
  <c r="E40" i="89"/>
  <c r="F40" i="89"/>
  <c r="G40" i="89"/>
  <c r="H40" i="89"/>
  <c r="I40" i="89"/>
  <c r="D42" i="89"/>
  <c r="E42" i="89"/>
  <c r="F42" i="89"/>
  <c r="G42" i="89"/>
  <c r="H42" i="89"/>
  <c r="H43" i="89" s="1"/>
  <c r="I42" i="89"/>
  <c r="E43" i="89"/>
  <c r="F43" i="89"/>
  <c r="G43" i="89"/>
  <c r="E45" i="89"/>
  <c r="F45" i="89"/>
  <c r="F46" i="89" s="1"/>
  <c r="G45" i="89"/>
  <c r="G46" i="89" s="1"/>
  <c r="D49" i="89"/>
  <c r="E49" i="89"/>
  <c r="F49" i="89"/>
  <c r="G49" i="89"/>
  <c r="G55" i="89" s="1"/>
  <c r="H49" i="89"/>
  <c r="H55" i="89" s="1"/>
  <c r="I49" i="89"/>
  <c r="I55" i="89" s="1"/>
  <c r="D51" i="89"/>
  <c r="E51" i="89"/>
  <c r="F51" i="89"/>
  <c r="F53" i="89" s="1"/>
  <c r="G51" i="89"/>
  <c r="G53" i="89" s="1"/>
  <c r="H51" i="89"/>
  <c r="H52" i="89" s="1"/>
  <c r="I51" i="89"/>
  <c r="I53" i="89" s="1"/>
  <c r="D52" i="89"/>
  <c r="E52" i="89"/>
  <c r="F52" i="89"/>
  <c r="G52" i="89"/>
  <c r="D53" i="89"/>
  <c r="E53" i="89"/>
  <c r="D55" i="89"/>
  <c r="D57" i="89" s="1"/>
  <c r="E55" i="89"/>
  <c r="E57" i="89" s="1"/>
  <c r="F55" i="89"/>
  <c r="F57" i="89" s="1"/>
  <c r="D59" i="89"/>
  <c r="E59" i="89"/>
  <c r="F59" i="89"/>
  <c r="G59" i="89"/>
  <c r="G60" i="89" s="1"/>
  <c r="H59" i="89"/>
  <c r="I59" i="89"/>
  <c r="L60" i="89"/>
  <c r="M60" i="89"/>
  <c r="N60" i="89"/>
  <c r="O60" i="89"/>
  <c r="P60" i="89"/>
  <c r="Q60" i="89" s="1"/>
  <c r="R60" i="89" s="1"/>
  <c r="S60" i="89" s="1"/>
  <c r="T60" i="89" s="1"/>
  <c r="D60" i="89"/>
  <c r="E60" i="89"/>
  <c r="F60" i="89"/>
  <c r="H60" i="89"/>
  <c r="I60" i="89"/>
  <c r="Q77" i="94"/>
  <c r="Q96" i="94"/>
  <c r="Q103" i="94"/>
  <c r="Q107" i="94"/>
  <c r="J61" i="89"/>
  <c r="K61" i="89"/>
  <c r="L61" i="89"/>
  <c r="Q108" i="94" l="1"/>
  <c r="P111" i="94"/>
  <c r="N112" i="94"/>
  <c r="G114" i="94"/>
  <c r="L113" i="94"/>
  <c r="Q104" i="94"/>
  <c r="Q79" i="94"/>
  <c r="Q101" i="94"/>
  <c r="Q102" i="94" s="1"/>
  <c r="Y514" i="49"/>
  <c r="Y521" i="49"/>
  <c r="K176" i="108"/>
  <c r="S96" i="109"/>
  <c r="I56" i="89"/>
  <c r="I57" i="89"/>
  <c r="L89" i="109"/>
  <c r="H56" i="89"/>
  <c r="H57" i="89"/>
  <c r="P178" i="110"/>
  <c r="X97" i="111"/>
  <c r="G56" i="89"/>
  <c r="G57" i="89"/>
  <c r="H37" i="89"/>
  <c r="I37" i="89"/>
  <c r="L178" i="108"/>
  <c r="T98" i="109"/>
  <c r="K91" i="88"/>
  <c r="F37" i="89"/>
  <c r="G37" i="89"/>
  <c r="N94" i="88"/>
  <c r="N121" i="88" s="1"/>
  <c r="O29" i="88" s="1"/>
  <c r="L177" i="108"/>
  <c r="T97" i="109"/>
  <c r="F217" i="112"/>
  <c r="E225" i="112"/>
  <c r="E215" i="112"/>
  <c r="E216" i="112"/>
  <c r="AB72" i="111"/>
  <c r="F56" i="89"/>
  <c r="E217" i="112"/>
  <c r="E56" i="89"/>
  <c r="X124" i="111"/>
  <c r="Y32" i="111" s="1"/>
  <c r="Y70" i="111"/>
  <c r="F216" i="112"/>
  <c r="S119" i="111"/>
  <c r="T27" i="111" s="1"/>
  <c r="T92" i="111" s="1"/>
  <c r="T65" i="111"/>
  <c r="R117" i="111"/>
  <c r="S25" i="111" s="1"/>
  <c r="S90" i="111" s="1"/>
  <c r="S63" i="111"/>
  <c r="S123" i="109"/>
  <c r="T31" i="109" s="1"/>
  <c r="L176" i="108" s="1"/>
  <c r="T69" i="109"/>
  <c r="H68" i="108"/>
  <c r="Q67" i="109"/>
  <c r="R72" i="88"/>
  <c r="Q34" i="88"/>
  <c r="M90" i="109"/>
  <c r="M117" i="109" s="1"/>
  <c r="N25" i="109" s="1"/>
  <c r="R147" i="108"/>
  <c r="M30" i="88"/>
  <c r="N68" i="88"/>
  <c r="G155" i="112"/>
  <c r="G222" i="112"/>
  <c r="H156" i="112"/>
  <c r="I155" i="112" s="1"/>
  <c r="J155" i="112" s="1"/>
  <c r="G154" i="112"/>
  <c r="L57" i="111"/>
  <c r="D201" i="110"/>
  <c r="D203" i="110" s="1"/>
  <c r="H87" i="109"/>
  <c r="H114" i="109" s="1"/>
  <c r="I22" i="109" s="1"/>
  <c r="E113" i="112"/>
  <c r="E227" i="112" s="1"/>
  <c r="F228" i="112" s="1"/>
  <c r="E136" i="112"/>
  <c r="I45" i="89"/>
  <c r="I46" i="89" s="1"/>
  <c r="R116" i="111"/>
  <c r="S24" i="111" s="1"/>
  <c r="S89" i="111" s="1"/>
  <c r="S62" i="111"/>
  <c r="T125" i="109"/>
  <c r="U33" i="109" s="1"/>
  <c r="M178" i="108" s="1"/>
  <c r="U71" i="109"/>
  <c r="S115" i="111"/>
  <c r="T23" i="111" s="1"/>
  <c r="T88" i="111" s="1"/>
  <c r="T61" i="111"/>
  <c r="I156" i="112"/>
  <c r="H155" i="112"/>
  <c r="H222" i="112"/>
  <c r="I153" i="112"/>
  <c r="H154" i="112"/>
  <c r="G174" i="108"/>
  <c r="G192" i="108" s="1"/>
  <c r="O94" i="109"/>
  <c r="O121" i="109" s="1"/>
  <c r="P29" i="109" s="1"/>
  <c r="H174" i="108" s="1"/>
  <c r="H192" i="108" s="1"/>
  <c r="G191" i="112"/>
  <c r="G224" i="112"/>
  <c r="H193" i="112"/>
  <c r="I192" i="112" s="1"/>
  <c r="J192" i="112" s="1"/>
  <c r="G192" i="112"/>
  <c r="I193" i="112"/>
  <c r="I190" i="112"/>
  <c r="H224" i="112"/>
  <c r="H191" i="112"/>
  <c r="N93" i="88"/>
  <c r="N120" i="88" s="1"/>
  <c r="O28" i="88" s="1"/>
  <c r="O66" i="88"/>
  <c r="AO542" i="49"/>
  <c r="AP540" i="49"/>
  <c r="AP541" i="49" s="1"/>
  <c r="L64" i="88"/>
  <c r="K118" i="88"/>
  <c r="D137" i="112"/>
  <c r="D221" i="112"/>
  <c r="D231" i="112" s="1"/>
  <c r="E139" i="112"/>
  <c r="O92" i="109"/>
  <c r="N92" i="109"/>
  <c r="N119" i="109" s="1"/>
  <c r="O27" i="109" s="1"/>
  <c r="P92" i="109"/>
  <c r="N47" i="111"/>
  <c r="N87" i="111"/>
  <c r="N114" i="111" s="1"/>
  <c r="O22" i="111" s="1"/>
  <c r="Z466" i="49"/>
  <c r="Z471" i="49" s="1"/>
  <c r="Z511" i="49"/>
  <c r="Z513" i="49" s="1"/>
  <c r="AN457" i="49"/>
  <c r="AN456" i="49"/>
  <c r="AN462" i="49" s="1"/>
  <c r="AN463" i="49" s="1"/>
  <c r="AN459" i="49"/>
  <c r="D226" i="112"/>
  <c r="S70" i="88"/>
  <c r="M55" i="111"/>
  <c r="M51" i="111"/>
  <c r="E197" i="110" s="1"/>
  <c r="M52" i="111"/>
  <c r="E198" i="110" s="1"/>
  <c r="AA462" i="49"/>
  <c r="AA463" i="49" s="1"/>
  <c r="U95" i="109"/>
  <c r="U122" i="109" s="1"/>
  <c r="V30" i="109" s="1"/>
  <c r="P66" i="109"/>
  <c r="Y85" i="49"/>
  <c r="Y472" i="49"/>
  <c r="R1" i="94"/>
  <c r="N63" i="109"/>
  <c r="O67" i="88"/>
  <c r="N93" i="109"/>
  <c r="N120" i="109" s="1"/>
  <c r="O28" i="109" s="1"/>
  <c r="V72" i="109"/>
  <c r="Q97" i="88"/>
  <c r="Q124" i="88" s="1"/>
  <c r="R32" i="88" s="1"/>
  <c r="Q71" i="88"/>
  <c r="P33" i="88"/>
  <c r="BC271" i="49"/>
  <c r="BC273" i="49"/>
  <c r="BC272" i="49"/>
  <c r="U70" i="109"/>
  <c r="T124" i="109"/>
  <c r="U32" i="109" s="1"/>
  <c r="M177" i="108" s="1"/>
  <c r="F156" i="112"/>
  <c r="E154" i="112"/>
  <c r="E222" i="112"/>
  <c r="L116" i="109"/>
  <c r="M24" i="109" s="1"/>
  <c r="M62" i="109"/>
  <c r="D45" i="89"/>
  <c r="E46" i="89" s="1"/>
  <c r="U120" i="111"/>
  <c r="V28" i="111" s="1"/>
  <c r="V93" i="111" s="1"/>
  <c r="V66" i="111"/>
  <c r="H223" i="112"/>
  <c r="H167" i="112"/>
  <c r="P206" i="108"/>
  <c r="O207" i="108"/>
  <c r="O210" i="108" s="1"/>
  <c r="P65" i="109"/>
  <c r="O119" i="109"/>
  <c r="P27" i="109" s="1"/>
  <c r="K88" i="109"/>
  <c r="M92" i="88"/>
  <c r="W67" i="111"/>
  <c r="H47" i="109"/>
  <c r="V68" i="109"/>
  <c r="G167" i="112"/>
  <c r="G223" i="112"/>
  <c r="H169" i="112"/>
  <c r="I168" i="112" s="1"/>
  <c r="J168" i="112" s="1"/>
  <c r="G168" i="112"/>
  <c r="E224" i="112"/>
  <c r="F193" i="112"/>
  <c r="E191" i="112"/>
  <c r="E192" i="112"/>
  <c r="P86" i="94"/>
  <c r="P87" i="94"/>
  <c r="P92" i="94"/>
  <c r="P82" i="94"/>
  <c r="P88" i="94"/>
  <c r="P91" i="94"/>
  <c r="P97" i="94" s="1"/>
  <c r="P93" i="94"/>
  <c r="E168" i="112"/>
  <c r="F169" i="112"/>
  <c r="E167" i="112"/>
  <c r="E223" i="112"/>
  <c r="O118" i="109"/>
  <c r="P26" i="109" s="1"/>
  <c r="P91" i="109" s="1"/>
  <c r="P64" i="109"/>
  <c r="G113" i="112"/>
  <c r="G227" i="112" s="1"/>
  <c r="G136" i="112"/>
  <c r="G115" i="112"/>
  <c r="G55" i="109"/>
  <c r="G57" i="109" s="1"/>
  <c r="G52" i="109"/>
  <c r="G51" i="109"/>
  <c r="M119" i="88"/>
  <c r="N65" i="88"/>
  <c r="H61" i="88"/>
  <c r="O85" i="94"/>
  <c r="O90" i="94"/>
  <c r="R118" i="111"/>
  <c r="S26" i="111" s="1"/>
  <c r="S91" i="111" s="1"/>
  <c r="S64" i="111"/>
  <c r="F60" i="88"/>
  <c r="E22" i="88"/>
  <c r="E169" i="112"/>
  <c r="H53" i="89"/>
  <c r="J60" i="109"/>
  <c r="I52" i="89"/>
  <c r="N175" i="110"/>
  <c r="V94" i="111"/>
  <c r="V121" i="111" s="1"/>
  <c r="W29" i="111" s="1"/>
  <c r="K115" i="109"/>
  <c r="L23" i="109" s="1"/>
  <c r="L61" i="109"/>
  <c r="P60" i="111"/>
  <c r="K63" i="88"/>
  <c r="J117" i="88"/>
  <c r="K25" i="88" s="1"/>
  <c r="F88" i="88"/>
  <c r="F115" i="88" s="1"/>
  <c r="G23" i="88" s="1"/>
  <c r="L88" i="109"/>
  <c r="S177" i="110"/>
  <c r="AA96" i="111"/>
  <c r="AA123" i="111" s="1"/>
  <c r="AB31" i="111" s="1"/>
  <c r="R208" i="110"/>
  <c r="R211" i="110" s="1"/>
  <c r="S207" i="110"/>
  <c r="Z71" i="111"/>
  <c r="L179" i="108"/>
  <c r="T99" i="109"/>
  <c r="T126" i="109" s="1"/>
  <c r="U34" i="109" s="1"/>
  <c r="V122" i="111"/>
  <c r="W30" i="111" s="1"/>
  <c r="W68" i="111"/>
  <c r="S180" i="110"/>
  <c r="AA99" i="111"/>
  <c r="AA126" i="111" s="1"/>
  <c r="AB34" i="111" s="1"/>
  <c r="H113" i="112"/>
  <c r="H227" i="112" s="1"/>
  <c r="H115" i="112"/>
  <c r="H136" i="112"/>
  <c r="AB69" i="111"/>
  <c r="I62" i="88"/>
  <c r="X522" i="49"/>
  <c r="X523" i="49"/>
  <c r="BC278" i="49"/>
  <c r="BC276" i="49"/>
  <c r="BC277" i="49"/>
  <c r="Q179" i="110"/>
  <c r="Y98" i="111"/>
  <c r="Y125" i="111" s="1"/>
  <c r="Z33" i="111" s="1"/>
  <c r="N176" i="110"/>
  <c r="V95" i="111"/>
  <c r="O69" i="88"/>
  <c r="N31" i="88"/>
  <c r="G215" i="112"/>
  <c r="H217" i="112"/>
  <c r="I216" i="112" s="1"/>
  <c r="J216" i="112" s="1"/>
  <c r="G225" i="112"/>
  <c r="G216" i="112"/>
  <c r="F137" i="112"/>
  <c r="F221" i="112"/>
  <c r="F226" i="112" s="1"/>
  <c r="F138" i="112"/>
  <c r="G217" i="112"/>
  <c r="H215" i="112"/>
  <c r="H225" i="112"/>
  <c r="H216" i="112"/>
  <c r="G89" i="88"/>
  <c r="G116" i="88" s="1"/>
  <c r="H24" i="88" s="1"/>
  <c r="D63" i="89"/>
  <c r="E64" i="89" s="1"/>
  <c r="E63" i="89"/>
  <c r="F63" i="89"/>
  <c r="F65" i="89" s="1"/>
  <c r="G63" i="89"/>
  <c r="G65" i="89" s="1"/>
  <c r="H63" i="89"/>
  <c r="H64" i="89" s="1"/>
  <c r="I63" i="89"/>
  <c r="I74" i="89" s="1"/>
  <c r="F64" i="89"/>
  <c r="D65" i="89"/>
  <c r="E65" i="89"/>
  <c r="H65" i="89"/>
  <c r="D147" i="89"/>
  <c r="D151" i="89"/>
  <c r="D152" i="89"/>
  <c r="D153" i="89" s="1"/>
  <c r="D156" i="89" s="1"/>
  <c r="E147" i="89"/>
  <c r="E151" i="89"/>
  <c r="E153" i="89" s="1"/>
  <c r="E156" i="89" s="1"/>
  <c r="E152" i="89"/>
  <c r="E154" i="89" s="1"/>
  <c r="F147" i="89"/>
  <c r="F148" i="89" s="1"/>
  <c r="F151" i="89"/>
  <c r="F152" i="89"/>
  <c r="F153" i="89"/>
  <c r="G147" i="89"/>
  <c r="G156" i="89" s="1"/>
  <c r="G151" i="89"/>
  <c r="G152" i="89"/>
  <c r="G153" i="89"/>
  <c r="H147" i="89"/>
  <c r="H148" i="89" s="1"/>
  <c r="H151" i="89"/>
  <c r="H153" i="89" s="1"/>
  <c r="H152" i="89"/>
  <c r="H154" i="89" s="1"/>
  <c r="I147" i="89"/>
  <c r="I151" i="89"/>
  <c r="I152" i="89"/>
  <c r="I154" i="89" s="1"/>
  <c r="D141" i="89"/>
  <c r="E141" i="89"/>
  <c r="F141" i="89"/>
  <c r="G141" i="89"/>
  <c r="G143" i="89" s="1"/>
  <c r="H141" i="89"/>
  <c r="I141" i="89"/>
  <c r="L70" i="89"/>
  <c r="M160" i="89"/>
  <c r="M159" i="108" s="1"/>
  <c r="M69" i="108" s="1"/>
  <c r="N160" i="89"/>
  <c r="N159" i="108" s="1"/>
  <c r="D72" i="89"/>
  <c r="E72" i="89"/>
  <c r="F72" i="89"/>
  <c r="G72" i="89"/>
  <c r="H72" i="89"/>
  <c r="I72" i="89"/>
  <c r="J72" i="89"/>
  <c r="D73" i="89"/>
  <c r="E73" i="89"/>
  <c r="E74" i="89" s="1"/>
  <c r="F73" i="89"/>
  <c r="G73" i="89"/>
  <c r="H73" i="89"/>
  <c r="I73" i="89"/>
  <c r="D74" i="89"/>
  <c r="D80" i="89" s="1"/>
  <c r="H74" i="89"/>
  <c r="D77" i="89"/>
  <c r="E77" i="89"/>
  <c r="F77" i="89"/>
  <c r="G77" i="89"/>
  <c r="H77" i="89"/>
  <c r="I77" i="89"/>
  <c r="J77" i="89"/>
  <c r="K77" i="89"/>
  <c r="K76" i="108" s="1"/>
  <c r="D78" i="89"/>
  <c r="E78" i="89"/>
  <c r="F78" i="89"/>
  <c r="G78" i="89"/>
  <c r="H78" i="89"/>
  <c r="I78" i="89"/>
  <c r="U148" i="89"/>
  <c r="D79" i="89"/>
  <c r="E79" i="89"/>
  <c r="F79" i="89"/>
  <c r="G79" i="89"/>
  <c r="H79" i="89"/>
  <c r="I79" i="89"/>
  <c r="J79" i="89"/>
  <c r="K79" i="89"/>
  <c r="K78" i="108" s="1"/>
  <c r="U85" i="89"/>
  <c r="E85" i="89"/>
  <c r="F85" i="89"/>
  <c r="G85" i="89"/>
  <c r="H85" i="89"/>
  <c r="I85" i="89"/>
  <c r="E126" i="89"/>
  <c r="D121" i="89" s="1"/>
  <c r="H95" i="89"/>
  <c r="I95" i="89"/>
  <c r="J95" i="89"/>
  <c r="D122" i="89"/>
  <c r="D126" i="89"/>
  <c r="G123" i="89" s="1"/>
  <c r="J123" i="89" s="1"/>
  <c r="K123" i="89" s="1"/>
  <c r="D123" i="89"/>
  <c r="D124" i="89"/>
  <c r="E122" i="89"/>
  <c r="U128" i="89"/>
  <c r="B129" i="89"/>
  <c r="B130" i="89"/>
  <c r="U130" i="89"/>
  <c r="D138" i="89"/>
  <c r="D148" i="89" s="1"/>
  <c r="E138" i="89"/>
  <c r="E148" i="89" s="1"/>
  <c r="F138" i="89"/>
  <c r="G138" i="89"/>
  <c r="G154" i="89" s="1"/>
  <c r="H138" i="89"/>
  <c r="I138" i="89"/>
  <c r="I139" i="89" s="1"/>
  <c r="D139" i="89"/>
  <c r="E139" i="89"/>
  <c r="F139" i="89"/>
  <c r="H139" i="89"/>
  <c r="D142" i="89"/>
  <c r="E142" i="89"/>
  <c r="F142" i="89"/>
  <c r="G142" i="89"/>
  <c r="E143" i="89"/>
  <c r="F143" i="89"/>
  <c r="H143" i="89"/>
  <c r="F144" i="89"/>
  <c r="H144" i="89"/>
  <c r="I144" i="89"/>
  <c r="G148" i="89"/>
  <c r="I148" i="89"/>
  <c r="F154" i="89"/>
  <c r="D157" i="89"/>
  <c r="D166" i="89"/>
  <c r="D168" i="89" s="1"/>
  <c r="D170" i="89" s="1"/>
  <c r="E166" i="89"/>
  <c r="F166" i="89"/>
  <c r="F168" i="89" s="1"/>
  <c r="F170" i="89" s="1"/>
  <c r="G166" i="89"/>
  <c r="H166" i="89"/>
  <c r="I166" i="89"/>
  <c r="D167" i="89"/>
  <c r="E167" i="89"/>
  <c r="F167" i="89"/>
  <c r="G167" i="89"/>
  <c r="H167" i="89"/>
  <c r="H168" i="89" s="1"/>
  <c r="H170" i="89" s="1"/>
  <c r="I167" i="89"/>
  <c r="J167" i="89"/>
  <c r="K167" i="89"/>
  <c r="L167" i="89"/>
  <c r="M167" i="89"/>
  <c r="N167" i="89"/>
  <c r="O167" i="89"/>
  <c r="P167" i="89"/>
  <c r="Q167" i="89"/>
  <c r="R167" i="89"/>
  <c r="S167" i="89"/>
  <c r="T167" i="89"/>
  <c r="U167" i="89"/>
  <c r="E168" i="89"/>
  <c r="G168" i="89"/>
  <c r="G170" i="89" s="1"/>
  <c r="I168" i="89"/>
  <c r="I170" i="89" s="1"/>
  <c r="D169" i="89"/>
  <c r="E169" i="89"/>
  <c r="F169" i="89"/>
  <c r="G169" i="89"/>
  <c r="H169" i="89"/>
  <c r="I169" i="89"/>
  <c r="E170" i="89"/>
  <c r="D172" i="89"/>
  <c r="D175" i="89"/>
  <c r="E175" i="89"/>
  <c r="F175" i="89"/>
  <c r="D176" i="89"/>
  <c r="D177" i="89"/>
  <c r="E177" i="89"/>
  <c r="D178" i="89"/>
  <c r="E178" i="89"/>
  <c r="F178" i="89"/>
  <c r="G178" i="89"/>
  <c r="H178" i="89"/>
  <c r="I178" i="89"/>
  <c r="J178" i="89"/>
  <c r="D179" i="89"/>
  <c r="E179" i="89"/>
  <c r="F179" i="89"/>
  <c r="G179" i="89"/>
  <c r="H179" i="89"/>
  <c r="D180" i="89"/>
  <c r="E180" i="89"/>
  <c r="F180" i="89"/>
  <c r="G180" i="89"/>
  <c r="H180" i="89"/>
  <c r="I180" i="89"/>
  <c r="D181" i="89"/>
  <c r="E181" i="89"/>
  <c r="F181" i="89"/>
  <c r="G181" i="89"/>
  <c r="H181" i="89"/>
  <c r="I181" i="89"/>
  <c r="D182" i="89"/>
  <c r="D193" i="89" s="1"/>
  <c r="E182" i="89"/>
  <c r="F182" i="89"/>
  <c r="G182" i="89"/>
  <c r="H182" i="89"/>
  <c r="I182" i="89"/>
  <c r="J182" i="89"/>
  <c r="D183" i="89"/>
  <c r="E183" i="89"/>
  <c r="F183" i="89"/>
  <c r="G183" i="89"/>
  <c r="H183" i="89"/>
  <c r="I183" i="89"/>
  <c r="J183" i="89"/>
  <c r="K183" i="89"/>
  <c r="D184" i="89"/>
  <c r="E184" i="89"/>
  <c r="F184" i="89"/>
  <c r="G184" i="89"/>
  <c r="H184" i="89"/>
  <c r="I184" i="89"/>
  <c r="J184" i="89"/>
  <c r="K184" i="89"/>
  <c r="L184" i="89"/>
  <c r="D185" i="89"/>
  <c r="E185" i="89"/>
  <c r="F185" i="89"/>
  <c r="G185" i="89"/>
  <c r="H185" i="89"/>
  <c r="I185" i="89"/>
  <c r="J185" i="89"/>
  <c r="K185" i="89"/>
  <c r="L185" i="89"/>
  <c r="M185" i="89"/>
  <c r="D186" i="89"/>
  <c r="E186" i="89"/>
  <c r="F186" i="89"/>
  <c r="G186" i="89"/>
  <c r="H186" i="89"/>
  <c r="I186" i="89"/>
  <c r="J186" i="89"/>
  <c r="K186" i="89"/>
  <c r="L186" i="89"/>
  <c r="M186" i="89"/>
  <c r="N186" i="89"/>
  <c r="D187" i="89"/>
  <c r="E187" i="89"/>
  <c r="F187" i="89"/>
  <c r="G187" i="89"/>
  <c r="H187" i="89"/>
  <c r="I187" i="89"/>
  <c r="J187" i="89"/>
  <c r="K187" i="89"/>
  <c r="L187" i="89"/>
  <c r="M187" i="89"/>
  <c r="N187" i="89"/>
  <c r="O187" i="89"/>
  <c r="D188" i="89"/>
  <c r="E188" i="89"/>
  <c r="F188" i="89"/>
  <c r="G188" i="89"/>
  <c r="H188" i="89"/>
  <c r="I188" i="89"/>
  <c r="J188" i="89"/>
  <c r="K188" i="89"/>
  <c r="L188" i="89"/>
  <c r="M188" i="89"/>
  <c r="N188" i="89"/>
  <c r="O188" i="89"/>
  <c r="P188" i="89"/>
  <c r="D189" i="89"/>
  <c r="E189" i="89"/>
  <c r="F189" i="89"/>
  <c r="G189" i="89"/>
  <c r="H189" i="89"/>
  <c r="I189" i="89"/>
  <c r="J189" i="89"/>
  <c r="K189" i="89"/>
  <c r="L189" i="89"/>
  <c r="M189" i="89"/>
  <c r="N189" i="89"/>
  <c r="O189" i="89"/>
  <c r="P189" i="89"/>
  <c r="Q189" i="89"/>
  <c r="D190" i="89"/>
  <c r="E190" i="89"/>
  <c r="F190" i="89"/>
  <c r="G190" i="89"/>
  <c r="H190" i="89"/>
  <c r="I190" i="89"/>
  <c r="J190" i="89"/>
  <c r="K190" i="89"/>
  <c r="L190" i="89"/>
  <c r="M190" i="89"/>
  <c r="N190" i="89"/>
  <c r="O190" i="89"/>
  <c r="P190" i="89"/>
  <c r="Q190" i="89"/>
  <c r="R190" i="89"/>
  <c r="D191" i="89"/>
  <c r="E191" i="89"/>
  <c r="F191" i="89"/>
  <c r="G191" i="89"/>
  <c r="H191" i="89"/>
  <c r="I191" i="89"/>
  <c r="J191" i="89"/>
  <c r="K191" i="89"/>
  <c r="L191" i="89"/>
  <c r="M191" i="89"/>
  <c r="N191" i="89"/>
  <c r="O191" i="89"/>
  <c r="P191" i="89"/>
  <c r="Q191" i="89"/>
  <c r="R191" i="89"/>
  <c r="S191" i="89"/>
  <c r="D192" i="89"/>
  <c r="E192" i="89"/>
  <c r="F192" i="89"/>
  <c r="G192" i="89"/>
  <c r="H192" i="89"/>
  <c r="I192" i="89"/>
  <c r="J192" i="89"/>
  <c r="K192" i="89"/>
  <c r="L192" i="89"/>
  <c r="M192" i="89"/>
  <c r="N192" i="89"/>
  <c r="O192" i="89"/>
  <c r="P192" i="89"/>
  <c r="Q192" i="89"/>
  <c r="R192" i="89"/>
  <c r="S192" i="89"/>
  <c r="T192" i="89"/>
  <c r="D196" i="89"/>
  <c r="E196" i="89"/>
  <c r="F196" i="89"/>
  <c r="G196" i="89"/>
  <c r="H196" i="89"/>
  <c r="I196" i="89"/>
  <c r="D202" i="89"/>
  <c r="E202" i="89"/>
  <c r="F202" i="89"/>
  <c r="G202" i="89"/>
  <c r="H202" i="89"/>
  <c r="I202" i="89"/>
  <c r="E207" i="89"/>
  <c r="F207" i="89" s="1"/>
  <c r="G207" i="89" s="1"/>
  <c r="H207" i="89" s="1"/>
  <c r="I207" i="89" s="1"/>
  <c r="J207" i="89" s="1"/>
  <c r="K207" i="89" s="1"/>
  <c r="J217" i="89"/>
  <c r="R77" i="94"/>
  <c r="R96" i="94"/>
  <c r="R103" i="94"/>
  <c r="R107" i="94"/>
  <c r="G124" i="89" l="1"/>
  <c r="J124" i="89" s="1"/>
  <c r="J98" i="89" s="1"/>
  <c r="G122" i="89"/>
  <c r="J122" i="89" s="1"/>
  <c r="H97" i="89"/>
  <c r="I97" i="89" s="1"/>
  <c r="R108" i="94"/>
  <c r="R104" i="94"/>
  <c r="Q111" i="94"/>
  <c r="O112" i="94"/>
  <c r="H114" i="94"/>
  <c r="M113" i="94"/>
  <c r="R101" i="94"/>
  <c r="R102" i="94" s="1"/>
  <c r="R79" i="94"/>
  <c r="N94" i="89"/>
  <c r="O94" i="89"/>
  <c r="P94" i="89"/>
  <c r="Q94" i="89"/>
  <c r="R94" i="89"/>
  <c r="S94" i="89"/>
  <c r="T94" i="89"/>
  <c r="U94" i="89"/>
  <c r="H94" i="89"/>
  <c r="H96" i="89" s="1"/>
  <c r="I94" i="89"/>
  <c r="I96" i="89" s="1"/>
  <c r="J94" i="89"/>
  <c r="J96" i="89" s="1"/>
  <c r="K94" i="89"/>
  <c r="J113" i="89"/>
  <c r="L94" i="89"/>
  <c r="D125" i="89"/>
  <c r="M94" i="89"/>
  <c r="T180" i="110"/>
  <c r="AB99" i="111"/>
  <c r="O175" i="110"/>
  <c r="W94" i="111"/>
  <c r="G175" i="89"/>
  <c r="O94" i="88"/>
  <c r="E75" i="89"/>
  <c r="E80" i="89"/>
  <c r="Z106" i="89"/>
  <c r="Z107" i="89" s="1"/>
  <c r="R179" i="110"/>
  <c r="Z98" i="111"/>
  <c r="T98" i="89"/>
  <c r="U98" i="89"/>
  <c r="K124" i="89"/>
  <c r="H98" i="89"/>
  <c r="I98" i="89"/>
  <c r="E157" i="89"/>
  <c r="E158" i="89"/>
  <c r="D158" i="89"/>
  <c r="L207" i="89"/>
  <c r="K208" i="89"/>
  <c r="K211" i="89" s="1"/>
  <c r="O93" i="88"/>
  <c r="T177" i="110"/>
  <c r="AB96" i="111"/>
  <c r="Z521" i="49"/>
  <c r="Z514" i="49"/>
  <c r="N90" i="109"/>
  <c r="N117" i="109" s="1"/>
  <c r="O25" i="109" s="1"/>
  <c r="H75" i="89"/>
  <c r="I80" i="89"/>
  <c r="I75" i="89"/>
  <c r="N175" i="108"/>
  <c r="V95" i="109"/>
  <c r="G74" i="89"/>
  <c r="M64" i="88"/>
  <c r="I142" i="89"/>
  <c r="F74" i="89"/>
  <c r="O160" i="89"/>
  <c r="O176" i="110"/>
  <c r="W95" i="111"/>
  <c r="M61" i="109"/>
  <c r="L115" i="109"/>
  <c r="M23" i="109" s="1"/>
  <c r="W66" i="111"/>
  <c r="V120" i="111"/>
  <c r="W28" i="111" s="1"/>
  <c r="W93" i="111" s="1"/>
  <c r="AP542" i="49"/>
  <c r="AQ540" i="49"/>
  <c r="AQ541" i="49" s="1"/>
  <c r="Q99" i="88"/>
  <c r="Q126" i="88" s="1"/>
  <c r="R34" i="88" s="1"/>
  <c r="J180" i="89" s="1"/>
  <c r="D154" i="89"/>
  <c r="H142" i="89"/>
  <c r="N70" i="89"/>
  <c r="I153" i="89"/>
  <c r="I156" i="89" s="1"/>
  <c r="S118" i="111"/>
  <c r="T26" i="111" s="1"/>
  <c r="T91" i="111" s="1"/>
  <c r="T64" i="111"/>
  <c r="AO457" i="49"/>
  <c r="AO459" i="49"/>
  <c r="AO456" i="49"/>
  <c r="AO462" i="49" s="1"/>
  <c r="AO463" i="49" s="1"/>
  <c r="T115" i="111"/>
  <c r="U23" i="111" s="1"/>
  <c r="U88" i="111" s="1"/>
  <c r="U61" i="111"/>
  <c r="S72" i="88"/>
  <c r="Z70" i="111"/>
  <c r="Y124" i="111"/>
  <c r="Z32" i="111" s="1"/>
  <c r="T96" i="109"/>
  <c r="T123" i="109" s="1"/>
  <c r="U31" i="109" s="1"/>
  <c r="N69" i="108"/>
  <c r="O159" i="108"/>
  <c r="I64" i="89"/>
  <c r="M179" i="108"/>
  <c r="G137" i="112"/>
  <c r="G221" i="112"/>
  <c r="H139" i="112"/>
  <c r="I138" i="112" s="1"/>
  <c r="J138" i="112" s="1"/>
  <c r="G138" i="112"/>
  <c r="G144" i="89"/>
  <c r="E124" i="89"/>
  <c r="D124" i="110"/>
  <c r="D123" i="108"/>
  <c r="M70" i="89"/>
  <c r="H89" i="88"/>
  <c r="H116" i="88" s="1"/>
  <c r="I24" i="88" s="1"/>
  <c r="I89" i="88"/>
  <c r="G228" i="112"/>
  <c r="V70" i="109"/>
  <c r="Q66" i="109"/>
  <c r="O120" i="88"/>
  <c r="P28" i="88" s="1"/>
  <c r="P66" i="88"/>
  <c r="I47" i="109"/>
  <c r="I87" i="109"/>
  <c r="I114" i="109" s="1"/>
  <c r="J22" i="109" s="1"/>
  <c r="J87" i="109"/>
  <c r="Q178" i="110"/>
  <c r="Y97" i="111"/>
  <c r="G64" i="89"/>
  <c r="I116" i="88"/>
  <c r="J24" i="88" s="1"/>
  <c r="J62" i="88"/>
  <c r="P118" i="109"/>
  <c r="Q26" i="109" s="1"/>
  <c r="Q91" i="109" s="1"/>
  <c r="Q64" i="109"/>
  <c r="R67" i="109"/>
  <c r="H55" i="109"/>
  <c r="H57" i="109" s="1"/>
  <c r="H52" i="109"/>
  <c r="H51" i="109"/>
  <c r="K90" i="88"/>
  <c r="I224" i="112"/>
  <c r="I191" i="112"/>
  <c r="J193" i="112"/>
  <c r="J190" i="112"/>
  <c r="V71" i="109"/>
  <c r="U98" i="109"/>
  <c r="U125" i="109" s="1"/>
  <c r="V33" i="109" s="1"/>
  <c r="Y522" i="49"/>
  <c r="Y523" i="49"/>
  <c r="F156" i="89"/>
  <c r="G157" i="89" s="1"/>
  <c r="E123" i="89"/>
  <c r="E125" i="89" s="1"/>
  <c r="H80" i="89"/>
  <c r="N96" i="88"/>
  <c r="N123" i="88" s="1"/>
  <c r="O31" i="88" s="1"/>
  <c r="G177" i="89" s="1"/>
  <c r="O96" i="88"/>
  <c r="O123" i="88" s="1"/>
  <c r="P31" i="88" s="1"/>
  <c r="G88" i="88"/>
  <c r="G115" i="88" s="1"/>
  <c r="H23" i="88" s="1"/>
  <c r="I61" i="88"/>
  <c r="W121" i="111"/>
  <c r="X29" i="111" s="1"/>
  <c r="X67" i="111"/>
  <c r="W72" i="109"/>
  <c r="Z85" i="49"/>
  <c r="Z472" i="49"/>
  <c r="P94" i="109"/>
  <c r="P121" i="109" s="1"/>
  <c r="Q29" i="109" s="1"/>
  <c r="S116" i="111"/>
  <c r="T24" i="111" s="1"/>
  <c r="T89" i="111" s="1"/>
  <c r="T62" i="111"/>
  <c r="AB126" i="111"/>
  <c r="AC34" i="111" s="1"/>
  <c r="AC72" i="111"/>
  <c r="K87" i="109"/>
  <c r="E144" i="89"/>
  <c r="Z125" i="111"/>
  <c r="AA33" i="111" s="1"/>
  <c r="AA71" i="111"/>
  <c r="K60" i="109"/>
  <c r="J114" i="109"/>
  <c r="K22" i="109" s="1"/>
  <c r="K47" i="109" s="1"/>
  <c r="K122" i="89"/>
  <c r="H156" i="89"/>
  <c r="H158" i="89" s="1"/>
  <c r="P69" i="88"/>
  <c r="J219" i="89"/>
  <c r="I143" i="89"/>
  <c r="I214" i="112"/>
  <c r="P67" i="88"/>
  <c r="O121" i="88"/>
  <c r="P29" i="88" s="1"/>
  <c r="H175" i="89" s="1"/>
  <c r="O47" i="111"/>
  <c r="O87" i="111"/>
  <c r="O114" i="111" s="1"/>
  <c r="P22" i="111" s="1"/>
  <c r="P207" i="108"/>
  <c r="P210" i="108" s="1"/>
  <c r="Q206" i="108"/>
  <c r="N55" i="111"/>
  <c r="N52" i="111"/>
  <c r="F198" i="110" s="1"/>
  <c r="N51" i="111"/>
  <c r="F197" i="110" s="1"/>
  <c r="Q94" i="109"/>
  <c r="Q121" i="109" s="1"/>
  <c r="R29" i="109" s="1"/>
  <c r="U69" i="109"/>
  <c r="Q91" i="94"/>
  <c r="Q97" i="94" s="1"/>
  <c r="Q93" i="94"/>
  <c r="Q82" i="94"/>
  <c r="Q86" i="94"/>
  <c r="Q87" i="94"/>
  <c r="Q88" i="94"/>
  <c r="Q92" i="94"/>
  <c r="E126" i="110"/>
  <c r="E125" i="108"/>
  <c r="AB123" i="111"/>
  <c r="AC31" i="111" s="1"/>
  <c r="AC69" i="111"/>
  <c r="S208" i="110"/>
  <c r="S211" i="110" s="1"/>
  <c r="T207" i="110"/>
  <c r="O65" i="88"/>
  <c r="F177" i="89"/>
  <c r="G139" i="89"/>
  <c r="Y106" i="89"/>
  <c r="Y107" i="89" s="1"/>
  <c r="D123" i="110"/>
  <c r="D122" i="108"/>
  <c r="I65" i="89"/>
  <c r="I139" i="112"/>
  <c r="H221" i="112"/>
  <c r="I136" i="112"/>
  <c r="H137" i="112"/>
  <c r="N27" i="88"/>
  <c r="N62" i="109"/>
  <c r="O63" i="109"/>
  <c r="N122" i="88"/>
  <c r="O68" i="88"/>
  <c r="O93" i="109"/>
  <c r="O120" i="109" s="1"/>
  <c r="P28" i="109" s="1"/>
  <c r="M57" i="111"/>
  <c r="E201" i="110"/>
  <c r="E203" i="110" s="1"/>
  <c r="M95" i="88"/>
  <c r="M122" i="88" s="1"/>
  <c r="N30" i="88" s="1"/>
  <c r="F176" i="89" s="1"/>
  <c r="F193" i="89" s="1"/>
  <c r="N95" i="88"/>
  <c r="E87" i="88"/>
  <c r="E114" i="88" s="1"/>
  <c r="F22" i="88" s="1"/>
  <c r="F47" i="88" s="1"/>
  <c r="F87" i="88"/>
  <c r="F114" i="88" s="1"/>
  <c r="G22" i="88" s="1"/>
  <c r="E47" i="88"/>
  <c r="U99" i="109"/>
  <c r="U126" i="109" s="1"/>
  <c r="V34" i="109" s="1"/>
  <c r="N179" i="108" s="1"/>
  <c r="I166" i="112"/>
  <c r="P98" i="88"/>
  <c r="P125" i="88" s="1"/>
  <c r="Q33" i="88" s="1"/>
  <c r="I179" i="89" s="1"/>
  <c r="Q98" i="88"/>
  <c r="Q125" i="88" s="1"/>
  <c r="R33" i="88" s="1"/>
  <c r="S1" i="94"/>
  <c r="I222" i="112"/>
  <c r="I154" i="112"/>
  <c r="J156" i="112"/>
  <c r="J153" i="112"/>
  <c r="E221" i="112"/>
  <c r="F139" i="112"/>
  <c r="E137" i="112"/>
  <c r="E138" i="112"/>
  <c r="S117" i="111"/>
  <c r="T25" i="111" s="1"/>
  <c r="T90" i="111" s="1"/>
  <c r="T63" i="111"/>
  <c r="H226" i="112"/>
  <c r="H228" i="112"/>
  <c r="K117" i="88"/>
  <c r="L25" i="88" s="1"/>
  <c r="L63" i="88"/>
  <c r="E176" i="89"/>
  <c r="E193" i="89" s="1"/>
  <c r="D143" i="89"/>
  <c r="H126" i="89"/>
  <c r="D126" i="110"/>
  <c r="D125" i="108"/>
  <c r="Q60" i="111"/>
  <c r="G60" i="88"/>
  <c r="P85" i="94"/>
  <c r="P90" i="94"/>
  <c r="R71" i="88"/>
  <c r="T70" i="88"/>
  <c r="E115" i="112"/>
  <c r="U97" i="109"/>
  <c r="U124" i="109" s="1"/>
  <c r="V32" i="109" s="1"/>
  <c r="D122" i="110"/>
  <c r="D121" i="108"/>
  <c r="G139" i="112"/>
  <c r="V122" i="109"/>
  <c r="W30" i="109" s="1"/>
  <c r="W68" i="109"/>
  <c r="R97" i="88"/>
  <c r="R124" i="88" s="1"/>
  <c r="S32" i="88" s="1"/>
  <c r="L26" i="88"/>
  <c r="E228" i="112"/>
  <c r="S147" i="108"/>
  <c r="T119" i="111"/>
  <c r="U27" i="111" s="1"/>
  <c r="U92" i="111" s="1"/>
  <c r="U65" i="111"/>
  <c r="M89" i="109"/>
  <c r="M116" i="109" s="1"/>
  <c r="N24" i="109" s="1"/>
  <c r="N89" i="109" s="1"/>
  <c r="F229" i="112"/>
  <c r="F231" i="112"/>
  <c r="W122" i="111"/>
  <c r="X30" i="111" s="1"/>
  <c r="X68" i="111"/>
  <c r="Q65" i="109"/>
  <c r="P119" i="109"/>
  <c r="Q27" i="109" s="1"/>
  <c r="S77" i="94"/>
  <c r="S96" i="94"/>
  <c r="S103" i="94"/>
  <c r="S107" i="94"/>
  <c r="H122" i="89" l="1"/>
  <c r="Q98" i="89"/>
  <c r="R98" i="89"/>
  <c r="P98" i="89"/>
  <c r="O98" i="89"/>
  <c r="S98" i="89"/>
  <c r="N98" i="89"/>
  <c r="M98" i="89"/>
  <c r="L98" i="89"/>
  <c r="K98" i="89"/>
  <c r="S108" i="94"/>
  <c r="S104" i="94"/>
  <c r="R111" i="94"/>
  <c r="P112" i="94"/>
  <c r="I114" i="94"/>
  <c r="N113" i="94"/>
  <c r="S79" i="94"/>
  <c r="S101" i="94"/>
  <c r="S102" i="94" s="1"/>
  <c r="J179" i="89"/>
  <c r="N178" i="108"/>
  <c r="V98" i="109"/>
  <c r="V125" i="109" s="1"/>
  <c r="W33" i="109" s="1"/>
  <c r="N177" i="108"/>
  <c r="V97" i="109"/>
  <c r="G47" i="88"/>
  <c r="G87" i="88"/>
  <c r="J174" i="108"/>
  <c r="R94" i="109"/>
  <c r="R121" i="109" s="1"/>
  <c r="S29" i="109" s="1"/>
  <c r="I157" i="89"/>
  <c r="H68" i="89"/>
  <c r="H160" i="89"/>
  <c r="H70" i="89" s="1"/>
  <c r="H177" i="89"/>
  <c r="P96" i="88"/>
  <c r="M176" i="108"/>
  <c r="U96" i="109"/>
  <c r="O90" i="109"/>
  <c r="U123" i="109"/>
  <c r="V31" i="109" s="1"/>
  <c r="V69" i="109"/>
  <c r="J191" i="112"/>
  <c r="J224" i="112"/>
  <c r="R66" i="109"/>
  <c r="G75" i="89"/>
  <c r="G80" i="89"/>
  <c r="AB106" i="89"/>
  <c r="AB107" i="89" s="1"/>
  <c r="M207" i="89"/>
  <c r="L208" i="89"/>
  <c r="L211" i="89" s="1"/>
  <c r="F55" i="88"/>
  <c r="F57" i="88" s="1"/>
  <c r="F51" i="88"/>
  <c r="F52" i="88"/>
  <c r="P65" i="88"/>
  <c r="W71" i="109"/>
  <c r="S97" i="88"/>
  <c r="S124" i="88" s="1"/>
  <c r="T32" i="88" s="1"/>
  <c r="K178" i="89"/>
  <c r="X122" i="111"/>
  <c r="Y30" i="111" s="1"/>
  <c r="Y68" i="111"/>
  <c r="T97" i="88"/>
  <c r="O92" i="88"/>
  <c r="O119" i="88" s="1"/>
  <c r="P27" i="88" s="1"/>
  <c r="N92" i="88"/>
  <c r="N119" i="88" s="1"/>
  <c r="O27" i="88" s="1"/>
  <c r="H88" i="88"/>
  <c r="H115" i="88" s="1"/>
  <c r="I23" i="88" s="1"/>
  <c r="T118" i="111"/>
  <c r="U26" i="111" s="1"/>
  <c r="U91" i="111" s="1"/>
  <c r="U64" i="111"/>
  <c r="W120" i="111"/>
  <c r="X28" i="111" s="1"/>
  <c r="X93" i="111" s="1"/>
  <c r="X66" i="111"/>
  <c r="D160" i="89"/>
  <c r="D70" i="89" s="1"/>
  <c r="D68" i="89"/>
  <c r="U177" i="110"/>
  <c r="AC96" i="111"/>
  <c r="AC123" i="111" s="1"/>
  <c r="I225" i="112"/>
  <c r="J214" i="112"/>
  <c r="I215" i="112"/>
  <c r="J217" i="112"/>
  <c r="I217" i="112"/>
  <c r="E68" i="89"/>
  <c r="E69" i="89" s="1"/>
  <c r="E160" i="89"/>
  <c r="E70" i="89" s="1"/>
  <c r="E161" i="89"/>
  <c r="T1" i="94"/>
  <c r="J166" i="112"/>
  <c r="J169" i="112"/>
  <c r="I167" i="112"/>
  <c r="I223" i="112"/>
  <c r="I169" i="112"/>
  <c r="I137" i="112"/>
  <c r="J136" i="112"/>
  <c r="J139" i="112"/>
  <c r="I221" i="112"/>
  <c r="H125" i="108"/>
  <c r="G120" i="108" s="1"/>
  <c r="J218" i="108"/>
  <c r="D120" i="108"/>
  <c r="M88" i="109"/>
  <c r="M115" i="109" s="1"/>
  <c r="N23" i="109" s="1"/>
  <c r="N88" i="109" s="1"/>
  <c r="X68" i="109"/>
  <c r="P93" i="109"/>
  <c r="P120" i="109" s="1"/>
  <c r="Q28" i="109" s="1"/>
  <c r="H229" i="112"/>
  <c r="H231" i="112"/>
  <c r="J219" i="110"/>
  <c r="H126" i="110"/>
  <c r="G121" i="110" s="1"/>
  <c r="D121" i="110"/>
  <c r="D125" i="110" s="1"/>
  <c r="N57" i="111"/>
  <c r="F201" i="110"/>
  <c r="F203" i="110" s="1"/>
  <c r="U180" i="110"/>
  <c r="AC99" i="111"/>
  <c r="AC126" i="111" s="1"/>
  <c r="L90" i="88"/>
  <c r="V124" i="109"/>
  <c r="W32" i="109" s="1"/>
  <c r="W70" i="109"/>
  <c r="G231" i="112"/>
  <c r="G229" i="112"/>
  <c r="N61" i="109"/>
  <c r="F158" i="89"/>
  <c r="P68" i="88"/>
  <c r="T116" i="111"/>
  <c r="U24" i="111" s="1"/>
  <c r="U89" i="111" s="1"/>
  <c r="U62" i="111"/>
  <c r="H123" i="89"/>
  <c r="Q118" i="109"/>
  <c r="R26" i="109" s="1"/>
  <c r="R91" i="109" s="1"/>
  <c r="R64" i="109"/>
  <c r="V99" i="109"/>
  <c r="V126" i="109" s="1"/>
  <c r="W34" i="109" s="1"/>
  <c r="O179" i="108" s="1"/>
  <c r="T72" i="88"/>
  <c r="T117" i="111"/>
  <c r="U25" i="111" s="1"/>
  <c r="U90" i="111" s="1"/>
  <c r="U63" i="111"/>
  <c r="R98" i="88"/>
  <c r="R125" i="88" s="1"/>
  <c r="S33" i="88" s="1"/>
  <c r="G114" i="88"/>
  <c r="H60" i="88"/>
  <c r="G158" i="89"/>
  <c r="H161" i="89" s="1"/>
  <c r="F157" i="89"/>
  <c r="P93" i="88"/>
  <c r="Q85" i="94"/>
  <c r="Q90" i="94"/>
  <c r="O69" i="108"/>
  <c r="P159" i="108"/>
  <c r="P176" i="110"/>
  <c r="X95" i="111"/>
  <c r="S71" i="88"/>
  <c r="O175" i="108"/>
  <c r="W95" i="109"/>
  <c r="W122" i="109" s="1"/>
  <c r="X30" i="109" s="1"/>
  <c r="R206" i="108"/>
  <c r="Q207" i="108"/>
  <c r="Q210" i="108" s="1"/>
  <c r="U119" i="111"/>
  <c r="V27" i="111" s="1"/>
  <c r="V92" i="111" s="1"/>
  <c r="V65" i="111"/>
  <c r="E121" i="108"/>
  <c r="E124" i="108" s="1"/>
  <c r="G121" i="108"/>
  <c r="J216" i="108"/>
  <c r="I174" i="108"/>
  <c r="I192" i="108" s="1"/>
  <c r="G226" i="112"/>
  <c r="G230" i="112" s="1"/>
  <c r="V61" i="111"/>
  <c r="U115" i="111"/>
  <c r="V23" i="111" s="1"/>
  <c r="V88" i="111" s="1"/>
  <c r="E122" i="110"/>
  <c r="E125" i="110" s="1"/>
  <c r="J217" i="110"/>
  <c r="G122" i="110"/>
  <c r="G122" i="108"/>
  <c r="E122" i="108"/>
  <c r="P123" i="88"/>
  <c r="Q31" i="88" s="1"/>
  <c r="I177" i="89" s="1"/>
  <c r="Q69" i="88"/>
  <c r="J47" i="109"/>
  <c r="J89" i="88"/>
  <c r="J116" i="88" s="1"/>
  <c r="K24" i="88" s="1"/>
  <c r="R88" i="94"/>
  <c r="R93" i="94"/>
  <c r="R82" i="94"/>
  <c r="R86" i="94"/>
  <c r="R87" i="94"/>
  <c r="R91" i="94"/>
  <c r="R97" i="94" s="1"/>
  <c r="R92" i="94"/>
  <c r="AR540" i="49"/>
  <c r="AR541" i="49" s="1"/>
  <c r="AQ542" i="49"/>
  <c r="G123" i="110"/>
  <c r="E123" i="110"/>
  <c r="K62" i="88"/>
  <c r="H157" i="89"/>
  <c r="I158" i="89"/>
  <c r="X72" i="109"/>
  <c r="I52" i="109"/>
  <c r="I51" i="109"/>
  <c r="I55" i="109"/>
  <c r="I57" i="109" s="1"/>
  <c r="AP459" i="49"/>
  <c r="AP457" i="49"/>
  <c r="AP456" i="49"/>
  <c r="P160" i="89"/>
  <c r="O70" i="89"/>
  <c r="Z523" i="49"/>
  <c r="Z522" i="49"/>
  <c r="E229" i="112"/>
  <c r="E231" i="112"/>
  <c r="F75" i="89"/>
  <c r="F80" i="89"/>
  <c r="AA106" i="89"/>
  <c r="AA107" i="89" s="1"/>
  <c r="U113" i="89"/>
  <c r="J114" i="89"/>
  <c r="T147" i="108"/>
  <c r="E226" i="112"/>
  <c r="G121" i="89"/>
  <c r="H124" i="89"/>
  <c r="J222" i="112"/>
  <c r="J154" i="112"/>
  <c r="E51" i="88"/>
  <c r="E55" i="88"/>
  <c r="E57" i="88" s="1"/>
  <c r="E52" i="88"/>
  <c r="P47" i="111"/>
  <c r="P87" i="111"/>
  <c r="P114" i="111" s="1"/>
  <c r="Q22" i="111" s="1"/>
  <c r="K55" i="109"/>
  <c r="K57" i="109" s="1"/>
  <c r="K51" i="109"/>
  <c r="K52" i="109"/>
  <c r="Q66" i="88"/>
  <c r="P120" i="88"/>
  <c r="Q28" i="88" s="1"/>
  <c r="Q93" i="88" s="1"/>
  <c r="R99" i="88"/>
  <c r="R126" i="88" s="1"/>
  <c r="S34" i="88" s="1"/>
  <c r="P94" i="88"/>
  <c r="P121" i="88" s="1"/>
  <c r="Q29" i="88" s="1"/>
  <c r="R60" i="111"/>
  <c r="O55" i="111"/>
  <c r="O52" i="111"/>
  <c r="G198" i="110" s="1"/>
  <c r="O51" i="111"/>
  <c r="G197" i="110" s="1"/>
  <c r="K114" i="109"/>
  <c r="L22" i="109" s="1"/>
  <c r="L60" i="109"/>
  <c r="Y67" i="111"/>
  <c r="G123" i="108"/>
  <c r="E123" i="108"/>
  <c r="N64" i="88"/>
  <c r="I106" i="89"/>
  <c r="I99" i="89"/>
  <c r="I107" i="89"/>
  <c r="O30" i="88"/>
  <c r="O117" i="109"/>
  <c r="P25" i="109" s="1"/>
  <c r="P90" i="109" s="1"/>
  <c r="P63" i="109"/>
  <c r="Q92" i="109"/>
  <c r="L91" i="88"/>
  <c r="L118" i="88" s="1"/>
  <c r="M26" i="88" s="1"/>
  <c r="M91" i="88"/>
  <c r="M118" i="88" s="1"/>
  <c r="N26" i="88" s="1"/>
  <c r="T124" i="88"/>
  <c r="U32" i="88" s="1"/>
  <c r="M178" i="89" s="1"/>
  <c r="U70" i="88"/>
  <c r="AB71" i="111"/>
  <c r="P175" i="110"/>
  <c r="X94" i="111"/>
  <c r="X121" i="111" s="1"/>
  <c r="Y29" i="111" s="1"/>
  <c r="S67" i="109"/>
  <c r="E124" i="110"/>
  <c r="G124" i="110"/>
  <c r="R178" i="110"/>
  <c r="Z97" i="111"/>
  <c r="Z124" i="111" s="1"/>
  <c r="AA32" i="111" s="1"/>
  <c r="Q119" i="109"/>
  <c r="R27" i="109" s="1"/>
  <c r="R92" i="109" s="1"/>
  <c r="R65" i="109"/>
  <c r="M63" i="88"/>
  <c r="L117" i="88"/>
  <c r="M25" i="88" s="1"/>
  <c r="N116" i="109"/>
  <c r="O24" i="109" s="1"/>
  <c r="O89" i="109" s="1"/>
  <c r="O62" i="109"/>
  <c r="U207" i="110"/>
  <c r="U208" i="110" s="1"/>
  <c r="U211" i="110" s="1"/>
  <c r="T208" i="110"/>
  <c r="T211" i="110" s="1"/>
  <c r="Q67" i="88"/>
  <c r="S179" i="110"/>
  <c r="AA98" i="111"/>
  <c r="AA125" i="111" s="1"/>
  <c r="AB33" i="111" s="1"/>
  <c r="J61" i="88"/>
  <c r="AA70" i="111"/>
  <c r="H106" i="89"/>
  <c r="H99" i="89"/>
  <c r="H107" i="89"/>
  <c r="T77" i="94"/>
  <c r="T96" i="94"/>
  <c r="T103" i="94"/>
  <c r="T107" i="94"/>
  <c r="H125" i="89" l="1"/>
  <c r="T108" i="94"/>
  <c r="Q112" i="94"/>
  <c r="J114" i="94"/>
  <c r="O113" i="94"/>
  <c r="S111" i="94"/>
  <c r="T104" i="94"/>
  <c r="T79" i="94"/>
  <c r="T101" i="94"/>
  <c r="T102" i="94" s="1"/>
  <c r="K89" i="88"/>
  <c r="K116" i="88" s="1"/>
  <c r="L24" i="88" s="1"/>
  <c r="K179" i="89"/>
  <c r="S98" i="88"/>
  <c r="P175" i="108"/>
  <c r="X95" i="109"/>
  <c r="T179" i="110"/>
  <c r="AB98" i="111"/>
  <c r="AB125" i="111" s="1"/>
  <c r="AC33" i="111" s="1"/>
  <c r="K174" i="108"/>
  <c r="S94" i="109"/>
  <c r="S178" i="110"/>
  <c r="AA97" i="111"/>
  <c r="AA124" i="111" s="1"/>
  <c r="AB32" i="111" s="1"/>
  <c r="O178" i="108"/>
  <c r="W98" i="109"/>
  <c r="Q175" i="110"/>
  <c r="Y94" i="111"/>
  <c r="I175" i="89"/>
  <c r="Q94" i="88"/>
  <c r="P92" i="88"/>
  <c r="P119" i="88" s="1"/>
  <c r="Q27" i="88" s="1"/>
  <c r="H124" i="110"/>
  <c r="J124" i="110"/>
  <c r="L87" i="109"/>
  <c r="J221" i="112"/>
  <c r="J137" i="112"/>
  <c r="H102" i="89"/>
  <c r="H103" i="89"/>
  <c r="H104" i="89"/>
  <c r="H105" i="89"/>
  <c r="G176" i="89"/>
  <c r="G193" i="89" s="1"/>
  <c r="P95" i="88"/>
  <c r="P122" i="88" s="1"/>
  <c r="Q30" i="88" s="1"/>
  <c r="O95" i="88"/>
  <c r="O122" i="88" s="1"/>
  <c r="P30" i="88" s="1"/>
  <c r="H176" i="89" s="1"/>
  <c r="H193" i="89" s="1"/>
  <c r="Q120" i="88"/>
  <c r="R28" i="88" s="1"/>
  <c r="R66" i="88"/>
  <c r="J55" i="109"/>
  <c r="J57" i="109" s="1"/>
  <c r="J52" i="109"/>
  <c r="J51" i="109"/>
  <c r="U72" i="88"/>
  <c r="Y66" i="111"/>
  <c r="X120" i="111"/>
  <c r="Y28" i="111" s="1"/>
  <c r="Y93" i="111" s="1"/>
  <c r="Q176" i="110"/>
  <c r="Y95" i="111"/>
  <c r="AC106" i="89"/>
  <c r="AC107" i="89" s="1"/>
  <c r="AC109" i="89"/>
  <c r="T67" i="109"/>
  <c r="S121" i="109"/>
  <c r="T29" i="109" s="1"/>
  <c r="H123" i="108"/>
  <c r="J123" i="108"/>
  <c r="G125" i="89"/>
  <c r="J121" i="89"/>
  <c r="L62" i="88"/>
  <c r="V115" i="111"/>
  <c r="W23" i="111" s="1"/>
  <c r="W88" i="111" s="1"/>
  <c r="W61" i="111"/>
  <c r="K180" i="89"/>
  <c r="W69" i="109"/>
  <c r="P62" i="109"/>
  <c r="O116" i="109"/>
  <c r="P24" i="109" s="1"/>
  <c r="P89" i="109" s="1"/>
  <c r="I102" i="89"/>
  <c r="I103" i="89"/>
  <c r="I104" i="89"/>
  <c r="I105" i="89"/>
  <c r="R118" i="109"/>
  <c r="S26" i="109" s="1"/>
  <c r="S91" i="109" s="1"/>
  <c r="S64" i="109"/>
  <c r="Y121" i="111"/>
  <c r="Z29" i="111" s="1"/>
  <c r="Z67" i="111"/>
  <c r="E230" i="112"/>
  <c r="F230" i="112"/>
  <c r="AD106" i="89"/>
  <c r="AD107" i="89" s="1"/>
  <c r="AD109" i="89"/>
  <c r="R93" i="88"/>
  <c r="Q96" i="88"/>
  <c r="F160" i="89"/>
  <c r="F70" i="89" s="1"/>
  <c r="F68" i="89"/>
  <c r="F69" i="89" s="1"/>
  <c r="F161" i="89"/>
  <c r="G125" i="110"/>
  <c r="J121" i="110"/>
  <c r="U118" i="111"/>
  <c r="V26" i="111" s="1"/>
  <c r="V91" i="111" s="1"/>
  <c r="V64" i="111"/>
  <c r="L178" i="89"/>
  <c r="U97" i="88"/>
  <c r="U147" i="108"/>
  <c r="H123" i="110"/>
  <c r="J123" i="110"/>
  <c r="K123" i="110" s="1"/>
  <c r="R69" i="88"/>
  <c r="Q123" i="88"/>
  <c r="R31" i="88" s="1"/>
  <c r="R207" i="108"/>
  <c r="R210" i="108" s="1"/>
  <c r="S206" i="108"/>
  <c r="G68" i="89"/>
  <c r="G69" i="89" s="1"/>
  <c r="G161" i="89"/>
  <c r="G160" i="89"/>
  <c r="G70" i="89" s="1"/>
  <c r="AC71" i="111"/>
  <c r="I60" i="88"/>
  <c r="X71" i="109"/>
  <c r="W125" i="109"/>
  <c r="X33" i="109" s="1"/>
  <c r="H22" i="88"/>
  <c r="I88" i="88"/>
  <c r="I115" i="88" s="1"/>
  <c r="J23" i="88" s="1"/>
  <c r="S66" i="109"/>
  <c r="R67" i="88"/>
  <c r="Q121" i="88"/>
  <c r="R29" i="88" s="1"/>
  <c r="J175" i="89" s="1"/>
  <c r="L47" i="109"/>
  <c r="U116" i="111"/>
  <c r="V24" i="111" s="1"/>
  <c r="V89" i="111" s="1"/>
  <c r="V62" i="111"/>
  <c r="O61" i="109"/>
  <c r="N115" i="109"/>
  <c r="O23" i="109" s="1"/>
  <c r="O88" i="109" s="1"/>
  <c r="Q47" i="111"/>
  <c r="Q87" i="111"/>
  <c r="Q114" i="111" s="1"/>
  <c r="R22" i="111" s="1"/>
  <c r="N91" i="88"/>
  <c r="N118" i="88" s="1"/>
  <c r="O26" i="88" s="1"/>
  <c r="S99" i="88"/>
  <c r="S126" i="88" s="1"/>
  <c r="T34" i="88" s="1"/>
  <c r="L180" i="89" s="1"/>
  <c r="J167" i="112"/>
  <c r="J223" i="112"/>
  <c r="Q65" i="88"/>
  <c r="AB70" i="111"/>
  <c r="N63" i="88"/>
  <c r="P55" i="111"/>
  <c r="P52" i="111"/>
  <c r="H198" i="110" s="1"/>
  <c r="P51" i="111"/>
  <c r="H197" i="110" s="1"/>
  <c r="AQ459" i="49"/>
  <c r="AQ456" i="49"/>
  <c r="AQ462" i="49" s="1"/>
  <c r="AQ463" i="49" s="1"/>
  <c r="AQ457" i="49"/>
  <c r="H122" i="108"/>
  <c r="J122" i="108"/>
  <c r="K122" i="108" s="1"/>
  <c r="J225" i="112"/>
  <c r="J215" i="112"/>
  <c r="V70" i="88"/>
  <c r="U124" i="88"/>
  <c r="V32" i="88" s="1"/>
  <c r="O57" i="111"/>
  <c r="G201" i="110"/>
  <c r="G203" i="110" s="1"/>
  <c r="P70" i="89"/>
  <c r="Q160" i="89"/>
  <c r="AS540" i="49"/>
  <c r="AS541" i="49" s="1"/>
  <c r="AR542" i="49"/>
  <c r="S125" i="88"/>
  <c r="T71" i="88"/>
  <c r="H230" i="112"/>
  <c r="M90" i="88"/>
  <c r="M117" i="88" s="1"/>
  <c r="N25" i="88" s="1"/>
  <c r="Q93" i="109"/>
  <c r="Q120" i="109" s="1"/>
  <c r="R28" i="109" s="1"/>
  <c r="R119" i="109"/>
  <c r="S27" i="109" s="1"/>
  <c r="S92" i="109" s="1"/>
  <c r="S65" i="109"/>
  <c r="AP462" i="49"/>
  <c r="AP463" i="49" s="1"/>
  <c r="Q68" i="88"/>
  <c r="U1" i="94"/>
  <c r="S93" i="94"/>
  <c r="S82" i="94"/>
  <c r="S86" i="94"/>
  <c r="S87" i="94"/>
  <c r="S88" i="94"/>
  <c r="S91" i="94"/>
  <c r="S97" i="94" s="1"/>
  <c r="S92" i="94"/>
  <c r="L114" i="109"/>
  <c r="M22" i="109" s="1"/>
  <c r="M60" i="109"/>
  <c r="K61" i="88"/>
  <c r="S60" i="111"/>
  <c r="X122" i="109"/>
  <c r="Y30" i="109" s="1"/>
  <c r="Y68" i="109"/>
  <c r="P93" i="108"/>
  <c r="U93" i="108"/>
  <c r="J93" i="108"/>
  <c r="J95" i="108" s="1"/>
  <c r="K93" i="108"/>
  <c r="L93" i="108"/>
  <c r="J112" i="108"/>
  <c r="O93" i="108"/>
  <c r="D124" i="108"/>
  <c r="H93" i="108"/>
  <c r="H95" i="108" s="1"/>
  <c r="I93" i="108"/>
  <c r="I95" i="108" s="1"/>
  <c r="M93" i="108"/>
  <c r="N93" i="108"/>
  <c r="Q93" i="108"/>
  <c r="S93" i="108"/>
  <c r="T93" i="108"/>
  <c r="R93" i="108"/>
  <c r="G55" i="88"/>
  <c r="G57" i="88" s="1"/>
  <c r="G51" i="88"/>
  <c r="G52" i="88"/>
  <c r="J121" i="108"/>
  <c r="H121" i="108"/>
  <c r="P69" i="108"/>
  <c r="Q159" i="108"/>
  <c r="X70" i="109"/>
  <c r="J122" i="110"/>
  <c r="H122" i="110"/>
  <c r="O177" i="108"/>
  <c r="W97" i="109"/>
  <c r="W124" i="109" s="1"/>
  <c r="X32" i="109" s="1"/>
  <c r="G124" i="108"/>
  <c r="J120" i="108"/>
  <c r="R85" i="94"/>
  <c r="R90" i="94"/>
  <c r="W65" i="111"/>
  <c r="V119" i="111"/>
  <c r="W27" i="111" s="1"/>
  <c r="W92" i="111" s="1"/>
  <c r="U117" i="111"/>
  <c r="V25" i="111" s="1"/>
  <c r="V90" i="111" s="1"/>
  <c r="V63" i="111"/>
  <c r="I229" i="112"/>
  <c r="I230" i="112" s="1"/>
  <c r="I226" i="112" s="1"/>
  <c r="I227" i="112" s="1"/>
  <c r="Y122" i="111"/>
  <c r="Z30" i="111" s="1"/>
  <c r="Z68" i="111"/>
  <c r="O64" i="88"/>
  <c r="P117" i="109"/>
  <c r="Q25" i="109" s="1"/>
  <c r="Q90" i="109" s="1"/>
  <c r="Q63" i="109"/>
  <c r="Y72" i="109"/>
  <c r="I68" i="89"/>
  <c r="I69" i="89" s="1"/>
  <c r="I161" i="89"/>
  <c r="I160" i="89"/>
  <c r="I70" i="89" s="1"/>
  <c r="W99" i="109"/>
  <c r="W126" i="109" s="1"/>
  <c r="X34" i="109" s="1"/>
  <c r="M208" i="89"/>
  <c r="M211" i="89" s="1"/>
  <c r="N207" i="89"/>
  <c r="N176" i="108"/>
  <c r="V96" i="109"/>
  <c r="V123" i="109" s="1"/>
  <c r="W31" i="109" s="1"/>
  <c r="U77" i="94"/>
  <c r="U96" i="94"/>
  <c r="U103" i="94"/>
  <c r="U107" i="94"/>
  <c r="H125" i="110" l="1"/>
  <c r="U108" i="94"/>
  <c r="K114" i="94"/>
  <c r="U104" i="94"/>
  <c r="P113" i="94"/>
  <c r="T111" i="94"/>
  <c r="R112" i="94"/>
  <c r="U79" i="94"/>
  <c r="U101" i="94"/>
  <c r="U102" i="94" s="1"/>
  <c r="U179" i="110"/>
  <c r="AC98" i="111"/>
  <c r="N90" i="88"/>
  <c r="Q92" i="88"/>
  <c r="L89" i="88"/>
  <c r="P177" i="108"/>
  <c r="X97" i="109"/>
  <c r="I228" i="112"/>
  <c r="I231" i="112"/>
  <c r="I176" i="89"/>
  <c r="O176" i="108"/>
  <c r="W96" i="109"/>
  <c r="T178" i="110"/>
  <c r="AB97" i="111"/>
  <c r="AB124" i="111" s="1"/>
  <c r="AC32" i="111" s="1"/>
  <c r="O91" i="88"/>
  <c r="Q70" i="89"/>
  <c r="R160" i="89"/>
  <c r="X124" i="109"/>
  <c r="Y32" i="109" s="1"/>
  <c r="Y70" i="109"/>
  <c r="AC70" i="111"/>
  <c r="V118" i="111"/>
  <c r="W26" i="111" s="1"/>
  <c r="W91" i="111" s="1"/>
  <c r="W64" i="111"/>
  <c r="V1" i="94"/>
  <c r="R96" i="88"/>
  <c r="AA67" i="111"/>
  <c r="U67" i="109"/>
  <c r="R120" i="88"/>
  <c r="S28" i="88" s="1"/>
  <c r="S93" i="88" s="1"/>
  <c r="S66" i="88"/>
  <c r="Q117" i="109"/>
  <c r="R25" i="109" s="1"/>
  <c r="R90" i="109" s="1"/>
  <c r="R63" i="109"/>
  <c r="I105" i="108"/>
  <c r="I106" i="108"/>
  <c r="Q122" i="88"/>
  <c r="R68" i="88"/>
  <c r="U71" i="88"/>
  <c r="H124" i="108"/>
  <c r="H105" i="108"/>
  <c r="H106" i="108"/>
  <c r="T33" i="88"/>
  <c r="Q119" i="88"/>
  <c r="R27" i="88" s="1"/>
  <c r="R92" i="88" s="1"/>
  <c r="R65" i="88"/>
  <c r="U94" i="110"/>
  <c r="H94" i="110"/>
  <c r="H96" i="110" s="1"/>
  <c r="K94" i="110"/>
  <c r="J113" i="110"/>
  <c r="N94" i="110"/>
  <c r="P94" i="110"/>
  <c r="K121" i="110"/>
  <c r="J125" i="110"/>
  <c r="O94" i="110"/>
  <c r="S94" i="110"/>
  <c r="T94" i="110"/>
  <c r="I94" i="110"/>
  <c r="I96" i="110" s="1"/>
  <c r="K126" i="110"/>
  <c r="J94" i="110"/>
  <c r="J96" i="110" s="1"/>
  <c r="L94" i="110"/>
  <c r="M94" i="110"/>
  <c r="Q94" i="110"/>
  <c r="R94" i="110"/>
  <c r="Q95" i="88"/>
  <c r="Z72" i="109"/>
  <c r="T64" i="109"/>
  <c r="S118" i="109"/>
  <c r="T26" i="109" s="1"/>
  <c r="T91" i="109" s="1"/>
  <c r="T65" i="109"/>
  <c r="S119" i="109"/>
  <c r="T27" i="109" s="1"/>
  <c r="T92" i="109" s="1"/>
  <c r="T60" i="111"/>
  <c r="K121" i="108"/>
  <c r="H96" i="108"/>
  <c r="I96" i="108" s="1"/>
  <c r="L61" i="88"/>
  <c r="K125" i="108"/>
  <c r="J124" i="108"/>
  <c r="K120" i="108"/>
  <c r="N60" i="109"/>
  <c r="AR459" i="49"/>
  <c r="AR456" i="49"/>
  <c r="AR457" i="49"/>
  <c r="L51" i="109"/>
  <c r="D196" i="108" s="1"/>
  <c r="L52" i="109"/>
  <c r="D197" i="108" s="1"/>
  <c r="L55" i="109"/>
  <c r="W119" i="111"/>
  <c r="X27" i="111" s="1"/>
  <c r="X92" i="111" s="1"/>
  <c r="X65" i="111"/>
  <c r="P64" i="88"/>
  <c r="O118" i="88"/>
  <c r="P26" i="88" s="1"/>
  <c r="P91" i="88" s="1"/>
  <c r="N208" i="89"/>
  <c r="N211" i="89" s="1"/>
  <c r="O207" i="89"/>
  <c r="U112" i="108"/>
  <c r="J113" i="108"/>
  <c r="M47" i="109"/>
  <c r="AT540" i="49"/>
  <c r="AT541" i="49" s="1"/>
  <c r="AS542" i="49"/>
  <c r="P178" i="108"/>
  <c r="X98" i="109"/>
  <c r="X125" i="109" s="1"/>
  <c r="Y33" i="109" s="1"/>
  <c r="S207" i="108"/>
  <c r="S210" i="108" s="1"/>
  <c r="T206" i="108"/>
  <c r="W115" i="111"/>
  <c r="X23" i="111" s="1"/>
  <c r="X88" i="111" s="1"/>
  <c r="X61" i="111"/>
  <c r="Y71" i="109"/>
  <c r="S67" i="88"/>
  <c r="R123" i="88"/>
  <c r="S69" i="88"/>
  <c r="J229" i="112"/>
  <c r="J230" i="112" s="1"/>
  <c r="J226" i="112" s="1"/>
  <c r="J227" i="112" s="1"/>
  <c r="I193" i="89"/>
  <c r="J125" i="89"/>
  <c r="K121" i="89"/>
  <c r="K125" i="89" s="1"/>
  <c r="K126" i="89"/>
  <c r="Y120" i="111"/>
  <c r="Z28" i="111" s="1"/>
  <c r="Z93" i="111" s="1"/>
  <c r="Z66" i="111"/>
  <c r="M87" i="109"/>
  <c r="M114" i="109" s="1"/>
  <c r="N22" i="109" s="1"/>
  <c r="T66" i="109"/>
  <c r="P57" i="111"/>
  <c r="H201" i="110"/>
  <c r="H203" i="110" s="1"/>
  <c r="R87" i="111"/>
  <c r="R114" i="111" s="1"/>
  <c r="S22" i="111" s="1"/>
  <c r="J88" i="88"/>
  <c r="J115" i="88" s="1"/>
  <c r="K23" i="88" s="1"/>
  <c r="AC125" i="111"/>
  <c r="T99" i="88"/>
  <c r="T126" i="88" s="1"/>
  <c r="U34" i="88" s="1"/>
  <c r="P179" i="108"/>
  <c r="X99" i="109"/>
  <c r="X126" i="109" s="1"/>
  <c r="Y34" i="109" s="1"/>
  <c r="O63" i="88"/>
  <c r="N117" i="88"/>
  <c r="O25" i="88" s="1"/>
  <c r="O90" i="88" s="1"/>
  <c r="P116" i="109"/>
  <c r="Q24" i="109" s="1"/>
  <c r="Q89" i="109" s="1"/>
  <c r="Q62" i="109"/>
  <c r="V72" i="88"/>
  <c r="U98" i="110"/>
  <c r="H98" i="110"/>
  <c r="K98" i="110"/>
  <c r="K124" i="110"/>
  <c r="N98" i="110"/>
  <c r="P98" i="110"/>
  <c r="I98" i="110"/>
  <c r="J98" i="110"/>
  <c r="L98" i="110"/>
  <c r="M98" i="110"/>
  <c r="O98" i="110"/>
  <c r="R98" i="110"/>
  <c r="S98" i="110"/>
  <c r="T98" i="110"/>
  <c r="Q98" i="110"/>
  <c r="T86" i="94"/>
  <c r="T82" i="94"/>
  <c r="T93" i="94"/>
  <c r="T87" i="94"/>
  <c r="T88" i="94"/>
  <c r="T91" i="94"/>
  <c r="T97" i="94" s="1"/>
  <c r="T92" i="94"/>
  <c r="H97" i="110"/>
  <c r="I97" i="110" s="1"/>
  <c r="K122" i="110"/>
  <c r="Q175" i="108"/>
  <c r="Y95" i="109"/>
  <c r="X69" i="109"/>
  <c r="W123" i="109"/>
  <c r="X31" i="109" s="1"/>
  <c r="O97" i="108"/>
  <c r="T97" i="108"/>
  <c r="I97" i="108"/>
  <c r="J97" i="108"/>
  <c r="K97" i="108"/>
  <c r="N97" i="108"/>
  <c r="K123" i="108"/>
  <c r="H97" i="108"/>
  <c r="M97" i="108"/>
  <c r="P97" i="108"/>
  <c r="Q97" i="108"/>
  <c r="R97" i="108"/>
  <c r="U97" i="108"/>
  <c r="L97" i="108"/>
  <c r="S97" i="108"/>
  <c r="R94" i="88"/>
  <c r="R121" i="88" s="1"/>
  <c r="S29" i="88" s="1"/>
  <c r="Z122" i="111"/>
  <c r="AA30" i="111" s="1"/>
  <c r="AA68" i="111"/>
  <c r="I114" i="88"/>
  <c r="J22" i="88" s="1"/>
  <c r="J47" i="88" s="1"/>
  <c r="J60" i="88"/>
  <c r="J177" i="89"/>
  <c r="M62" i="88"/>
  <c r="L116" i="88"/>
  <c r="M24" i="88" s="1"/>
  <c r="Y122" i="109"/>
  <c r="Z30" i="109" s="1"/>
  <c r="Z68" i="109"/>
  <c r="Q55" i="111"/>
  <c r="Q51" i="111"/>
  <c r="I197" i="110" s="1"/>
  <c r="Q52" i="111"/>
  <c r="I198" i="110" s="1"/>
  <c r="V117" i="111"/>
  <c r="W25" i="111" s="1"/>
  <c r="W90" i="111" s="1"/>
  <c r="W63" i="111"/>
  <c r="N178" i="89"/>
  <c r="V97" i="88"/>
  <c r="S85" i="94"/>
  <c r="S90" i="94"/>
  <c r="R93" i="109"/>
  <c r="R120" i="109" s="1"/>
  <c r="S28" i="109" s="1"/>
  <c r="S93" i="109" s="1"/>
  <c r="S120" i="109" s="1"/>
  <c r="T28" i="109" s="1"/>
  <c r="T93" i="109" s="1"/>
  <c r="V124" i="88"/>
  <c r="W32" i="88" s="1"/>
  <c r="W70" i="88"/>
  <c r="O115" i="109"/>
  <c r="P23" i="109" s="1"/>
  <c r="P88" i="109" s="1"/>
  <c r="P61" i="109"/>
  <c r="H47" i="88"/>
  <c r="H87" i="88"/>
  <c r="H114" i="88" s="1"/>
  <c r="I22" i="88" s="1"/>
  <c r="I47" i="88" s="1"/>
  <c r="I87" i="88"/>
  <c r="V116" i="111"/>
  <c r="W24" i="111" s="1"/>
  <c r="W89" i="111" s="1"/>
  <c r="W62" i="111"/>
  <c r="R176" i="110"/>
  <c r="Z95" i="111"/>
  <c r="L174" i="108"/>
  <c r="T94" i="109"/>
  <c r="T121" i="109" s="1"/>
  <c r="U29" i="109" s="1"/>
  <c r="R159" i="108"/>
  <c r="Q69" i="108"/>
  <c r="R175" i="110"/>
  <c r="Z94" i="111"/>
  <c r="Z121" i="111" s="1"/>
  <c r="AA29" i="111" s="1"/>
  <c r="H69" i="89"/>
  <c r="V77" i="94"/>
  <c r="V96" i="94"/>
  <c r="V103" i="94"/>
  <c r="V107" i="94"/>
  <c r="I98" i="108" l="1"/>
  <c r="I102" i="108" s="1"/>
  <c r="K125" i="110"/>
  <c r="K124" i="108"/>
  <c r="V108" i="94"/>
  <c r="V104" i="94"/>
  <c r="S112" i="94"/>
  <c r="Q113" i="94"/>
  <c r="U111" i="94"/>
  <c r="L114" i="94"/>
  <c r="V101" i="94"/>
  <c r="V102" i="94" s="1"/>
  <c r="V79" i="94"/>
  <c r="M174" i="108"/>
  <c r="U94" i="109"/>
  <c r="U178" i="110"/>
  <c r="AC97" i="111"/>
  <c r="AC124" i="111" s="1"/>
  <c r="Q178" i="108"/>
  <c r="Y98" i="109"/>
  <c r="N47" i="109"/>
  <c r="N87" i="109"/>
  <c r="S175" i="110"/>
  <c r="AA94" i="111"/>
  <c r="AA121" i="111" s="1"/>
  <c r="AB29" i="111" s="1"/>
  <c r="K175" i="89"/>
  <c r="S94" i="88"/>
  <c r="J228" i="112"/>
  <c r="J231" i="112"/>
  <c r="R119" i="88"/>
  <c r="S27" i="88" s="1"/>
  <c r="S92" i="88" s="1"/>
  <c r="S65" i="88"/>
  <c r="J87" i="88"/>
  <c r="H52" i="88"/>
  <c r="H51" i="88"/>
  <c r="H55" i="88"/>
  <c r="H57" i="88" s="1"/>
  <c r="Q61" i="109"/>
  <c r="P115" i="109"/>
  <c r="Q23" i="109" s="1"/>
  <c r="Q88" i="109" s="1"/>
  <c r="T67" i="88"/>
  <c r="S121" i="88"/>
  <c r="T29" i="88" s="1"/>
  <c r="AR462" i="49"/>
  <c r="AR463" i="49" s="1"/>
  <c r="I106" i="110"/>
  <c r="I107" i="110"/>
  <c r="I99" i="110"/>
  <c r="AB67" i="111"/>
  <c r="P176" i="108"/>
  <c r="X96" i="109"/>
  <c r="K88" i="88"/>
  <c r="K115" i="88" s="1"/>
  <c r="L23" i="88" s="1"/>
  <c r="H98" i="108"/>
  <c r="S87" i="111"/>
  <c r="S114" i="111" s="1"/>
  <c r="T22" i="111" s="1"/>
  <c r="S68" i="88"/>
  <c r="AS459" i="49"/>
  <c r="AS457" i="49"/>
  <c r="AS456" i="49"/>
  <c r="Q57" i="111"/>
  <c r="I201" i="110"/>
  <c r="I203" i="110" s="1"/>
  <c r="X70" i="88"/>
  <c r="Z122" i="109"/>
  <c r="AA30" i="109" s="1"/>
  <c r="AA68" i="109"/>
  <c r="O117" i="88"/>
  <c r="P25" i="88" s="1"/>
  <c r="P90" i="88" s="1"/>
  <c r="P63" i="88"/>
  <c r="Y125" i="109"/>
  <c r="Z33" i="109" s="1"/>
  <c r="Z71" i="109"/>
  <c r="O60" i="109"/>
  <c r="N114" i="109"/>
  <c r="O22" i="109" s="1"/>
  <c r="T119" i="109"/>
  <c r="U27" i="109" s="1"/>
  <c r="U92" i="109" s="1"/>
  <c r="U65" i="109"/>
  <c r="O178" i="89"/>
  <c r="W97" i="88"/>
  <c r="W124" i="88" s="1"/>
  <c r="X32" i="88" s="1"/>
  <c r="R175" i="108"/>
  <c r="Z95" i="109"/>
  <c r="O208" i="89"/>
  <c r="O211" i="89" s="1"/>
  <c r="P207" i="89"/>
  <c r="W1" i="94"/>
  <c r="N89" i="88"/>
  <c r="V71" i="88"/>
  <c r="W118" i="111"/>
  <c r="X26" i="111" s="1"/>
  <c r="X91" i="111" s="1"/>
  <c r="X64" i="111"/>
  <c r="P118" i="88"/>
  <c r="Q26" i="88" s="1"/>
  <c r="Q91" i="88" s="1"/>
  <c r="Q64" i="88"/>
  <c r="AA72" i="109"/>
  <c r="R30" i="88"/>
  <c r="M116" i="88"/>
  <c r="N24" i="88" s="1"/>
  <c r="N62" i="88"/>
  <c r="Q179" i="108"/>
  <c r="Y99" i="109"/>
  <c r="Y126" i="109" s="1"/>
  <c r="Z34" i="109" s="1"/>
  <c r="T118" i="109"/>
  <c r="U26" i="109" s="1"/>
  <c r="U91" i="109" s="1"/>
  <c r="U64" i="109"/>
  <c r="M180" i="89"/>
  <c r="T207" i="108"/>
  <c r="T210" i="108" s="1"/>
  <c r="U206" i="108"/>
  <c r="U207" i="108" s="1"/>
  <c r="U210" i="108" s="1"/>
  <c r="X119" i="111"/>
  <c r="Y27" i="111" s="1"/>
  <c r="Y92" i="111" s="1"/>
  <c r="Y65" i="111"/>
  <c r="M89" i="88"/>
  <c r="K60" i="88"/>
  <c r="J114" i="88"/>
  <c r="K22" i="88" s="1"/>
  <c r="M61" i="88"/>
  <c r="U113" i="110"/>
  <c r="J114" i="110"/>
  <c r="Z70" i="109"/>
  <c r="Y124" i="109"/>
  <c r="Z32" i="109" s="1"/>
  <c r="U99" i="88"/>
  <c r="U126" i="88" s="1"/>
  <c r="V34" i="88" s="1"/>
  <c r="Q177" i="108"/>
  <c r="Y97" i="109"/>
  <c r="U92" i="94"/>
  <c r="U93" i="94"/>
  <c r="U82" i="94"/>
  <c r="U87" i="94"/>
  <c r="U88" i="94"/>
  <c r="U91" i="94"/>
  <c r="U97" i="94" s="1"/>
  <c r="U86" i="94"/>
  <c r="J52" i="88"/>
  <c r="J55" i="88"/>
  <c r="J57" i="88" s="1"/>
  <c r="J51" i="88"/>
  <c r="AA122" i="111"/>
  <c r="AB30" i="111" s="1"/>
  <c r="AB68" i="111"/>
  <c r="T90" i="94"/>
  <c r="T85" i="94"/>
  <c r="V99" i="88"/>
  <c r="T69" i="88"/>
  <c r="H106" i="110"/>
  <c r="H107" i="110"/>
  <c r="H99" i="110"/>
  <c r="R117" i="109"/>
  <c r="S25" i="109" s="1"/>
  <c r="S90" i="109" s="1"/>
  <c r="S63" i="109"/>
  <c r="S176" i="110"/>
  <c r="AA95" i="111"/>
  <c r="U66" i="109"/>
  <c r="T120" i="109"/>
  <c r="U28" i="109" s="1"/>
  <c r="U93" i="109" s="1"/>
  <c r="S31" i="88"/>
  <c r="R70" i="89"/>
  <c r="S160" i="89"/>
  <c r="W117" i="111"/>
  <c r="X25" i="111" s="1"/>
  <c r="X90" i="111" s="1"/>
  <c r="X63" i="111"/>
  <c r="Y69" i="109"/>
  <c r="X123" i="109"/>
  <c r="Y31" i="109" s="1"/>
  <c r="V126" i="88"/>
  <c r="W34" i="88" s="1"/>
  <c r="O180" i="89" s="1"/>
  <c r="W72" i="88"/>
  <c r="AT542" i="49"/>
  <c r="AU540" i="49"/>
  <c r="AU541" i="49" s="1"/>
  <c r="W116" i="111"/>
  <c r="X24" i="111" s="1"/>
  <c r="X89" i="111" s="1"/>
  <c r="X62" i="111"/>
  <c r="X115" i="111"/>
  <c r="Y23" i="111" s="1"/>
  <c r="Y88" i="111" s="1"/>
  <c r="Y61" i="111"/>
  <c r="R69" i="108"/>
  <c r="S159" i="108"/>
  <c r="I51" i="88"/>
  <c r="I55" i="88"/>
  <c r="I57" i="88" s="1"/>
  <c r="I52" i="88"/>
  <c r="U60" i="111"/>
  <c r="L179" i="89"/>
  <c r="T98" i="88"/>
  <c r="T125" i="88" s="1"/>
  <c r="U33" i="88" s="1"/>
  <c r="M179" i="89" s="1"/>
  <c r="U121" i="109"/>
  <c r="V29" i="109" s="1"/>
  <c r="V67" i="109"/>
  <c r="L57" i="109"/>
  <c r="D200" i="108"/>
  <c r="D202" i="108" s="1"/>
  <c r="S120" i="88"/>
  <c r="T28" i="88" s="1"/>
  <c r="T93" i="88" s="1"/>
  <c r="T66" i="88"/>
  <c r="R62" i="109"/>
  <c r="Q116" i="109"/>
  <c r="R24" i="109" s="1"/>
  <c r="R89" i="109" s="1"/>
  <c r="AA66" i="111"/>
  <c r="Z120" i="111"/>
  <c r="AA28" i="111" s="1"/>
  <c r="AA93" i="111" s="1"/>
  <c r="M55" i="109"/>
  <c r="M51" i="109"/>
  <c r="E196" i="108" s="1"/>
  <c r="M52" i="109"/>
  <c r="E197" i="108" s="1"/>
  <c r="W77" i="94"/>
  <c r="W96" i="94"/>
  <c r="W103" i="94"/>
  <c r="W107" i="94"/>
  <c r="I101" i="108" l="1"/>
  <c r="I104" i="108"/>
  <c r="I103" i="108"/>
  <c r="W108" i="94"/>
  <c r="M114" i="94"/>
  <c r="T112" i="94"/>
  <c r="R113" i="94"/>
  <c r="W104" i="94"/>
  <c r="V111" i="94"/>
  <c r="W101" i="94"/>
  <c r="W102" i="94" s="1"/>
  <c r="W79" i="94"/>
  <c r="T175" i="110"/>
  <c r="AB94" i="111"/>
  <c r="AB121" i="111" s="1"/>
  <c r="AC29" i="111" s="1"/>
  <c r="P178" i="89"/>
  <c r="X97" i="88"/>
  <c r="V65" i="109"/>
  <c r="U119" i="109"/>
  <c r="V27" i="109" s="1"/>
  <c r="V92" i="109" s="1"/>
  <c r="R177" i="108"/>
  <c r="Z97" i="109"/>
  <c r="Z124" i="109" s="1"/>
  <c r="AA32" i="109" s="1"/>
  <c r="AA70" i="109"/>
  <c r="H103" i="110"/>
  <c r="H105" i="110"/>
  <c r="H102" i="110"/>
  <c r="H104" i="110"/>
  <c r="W99" i="88"/>
  <c r="W126" i="88" s="1"/>
  <c r="X34" i="88" s="1"/>
  <c r="Y115" i="111"/>
  <c r="Z23" i="111" s="1"/>
  <c r="Z88" i="111" s="1"/>
  <c r="Z61" i="111"/>
  <c r="Q118" i="88"/>
  <c r="R26" i="88" s="1"/>
  <c r="R91" i="88" s="1"/>
  <c r="R64" i="88"/>
  <c r="P117" i="88"/>
  <c r="Q25" i="88" s="1"/>
  <c r="Q90" i="88" s="1"/>
  <c r="Q63" i="88"/>
  <c r="T87" i="111"/>
  <c r="T114" i="111" s="1"/>
  <c r="U22" i="111" s="1"/>
  <c r="AC67" i="111"/>
  <c r="N61" i="88"/>
  <c r="M115" i="88"/>
  <c r="N23" i="88" s="1"/>
  <c r="N88" i="88" s="1"/>
  <c r="S119" i="88"/>
  <c r="T27" i="88" s="1"/>
  <c r="T92" i="88" s="1"/>
  <c r="T65" i="88"/>
  <c r="X72" i="88"/>
  <c r="S70" i="89"/>
  <c r="T160" i="89"/>
  <c r="R116" i="109"/>
  <c r="S24" i="109" s="1"/>
  <c r="S89" i="109" s="1"/>
  <c r="S62" i="109"/>
  <c r="X116" i="111"/>
  <c r="Y24" i="111" s="1"/>
  <c r="Y89" i="111" s="1"/>
  <c r="Y62" i="111"/>
  <c r="AB68" i="109"/>
  <c r="I104" i="110"/>
  <c r="I105" i="110"/>
  <c r="I102" i="110"/>
  <c r="I103" i="110"/>
  <c r="H103" i="108"/>
  <c r="H101" i="108"/>
  <c r="H102" i="108"/>
  <c r="H104" i="108"/>
  <c r="U90" i="94"/>
  <c r="U85" i="94"/>
  <c r="L88" i="88"/>
  <c r="L115" i="88" s="1"/>
  <c r="M23" i="88" s="1"/>
  <c r="S175" i="108"/>
  <c r="AA95" i="109"/>
  <c r="AA122" i="109" s="1"/>
  <c r="AB30" i="109" s="1"/>
  <c r="U69" i="88"/>
  <c r="X118" i="111"/>
  <c r="Y26" i="111" s="1"/>
  <c r="Y91" i="111" s="1"/>
  <c r="Y64" i="111"/>
  <c r="Y70" i="88"/>
  <c r="X124" i="88"/>
  <c r="Y32" i="88" s="1"/>
  <c r="K177" i="89"/>
  <c r="S96" i="88"/>
  <c r="S123" i="88" s="1"/>
  <c r="T31" i="88" s="1"/>
  <c r="L177" i="89" s="1"/>
  <c r="T96" i="88"/>
  <c r="T123" i="88" s="1"/>
  <c r="U31" i="88" s="1"/>
  <c r="L60" i="88"/>
  <c r="V64" i="109"/>
  <c r="U118" i="109"/>
  <c r="V26" i="109" s="1"/>
  <c r="V91" i="109" s="1"/>
  <c r="M88" i="88"/>
  <c r="AU542" i="49"/>
  <c r="AV540" i="49"/>
  <c r="AV541" i="49" s="1"/>
  <c r="R179" i="108"/>
  <c r="Z99" i="109"/>
  <c r="Z126" i="109" s="1"/>
  <c r="AA34" i="109" s="1"/>
  <c r="W71" i="88"/>
  <c r="L175" i="89"/>
  <c r="T94" i="88"/>
  <c r="T121" i="88" s="1"/>
  <c r="U29" i="88" s="1"/>
  <c r="W67" i="109"/>
  <c r="AT456" i="49"/>
  <c r="AT459" i="49"/>
  <c r="AT457" i="49"/>
  <c r="U120" i="109"/>
  <c r="V28" i="109" s="1"/>
  <c r="V93" i="109" s="1"/>
  <c r="V66" i="109"/>
  <c r="U67" i="88"/>
  <c r="V86" i="94"/>
  <c r="V92" i="94"/>
  <c r="V82" i="94"/>
  <c r="V87" i="94"/>
  <c r="V88" i="94"/>
  <c r="V91" i="94"/>
  <c r="V97" i="94" s="1"/>
  <c r="V93" i="94"/>
  <c r="T176" i="110"/>
  <c r="AB95" i="111"/>
  <c r="Y119" i="111"/>
  <c r="Z27" i="111" s="1"/>
  <c r="Z92" i="111" s="1"/>
  <c r="Z65" i="111"/>
  <c r="R61" i="109"/>
  <c r="Q115" i="109"/>
  <c r="R23" i="109" s="1"/>
  <c r="R88" i="109" s="1"/>
  <c r="U66" i="88"/>
  <c r="T120" i="88"/>
  <c r="U28" i="88" s="1"/>
  <c r="U93" i="88" s="1"/>
  <c r="O47" i="109"/>
  <c r="O87" i="109"/>
  <c r="AS462" i="49"/>
  <c r="AS463" i="49" s="1"/>
  <c r="K87" i="88"/>
  <c r="K114" i="88" s="1"/>
  <c r="L22" i="88" s="1"/>
  <c r="N51" i="109"/>
  <c r="F196" i="108" s="1"/>
  <c r="N55" i="109"/>
  <c r="N52" i="109"/>
  <c r="F197" i="108" s="1"/>
  <c r="X1" i="94"/>
  <c r="AA71" i="109"/>
  <c r="N116" i="88"/>
  <c r="O24" i="88" s="1"/>
  <c r="O89" i="88" s="1"/>
  <c r="O62" i="88"/>
  <c r="Z69" i="109"/>
  <c r="Y123" i="109"/>
  <c r="Z31" i="109" s="1"/>
  <c r="J176" i="89"/>
  <c r="R95" i="88"/>
  <c r="R122" i="88" s="1"/>
  <c r="S30" i="88" s="1"/>
  <c r="K176" i="89" s="1"/>
  <c r="O114" i="109"/>
  <c r="P22" i="109" s="1"/>
  <c r="P60" i="109"/>
  <c r="S117" i="109"/>
  <c r="T25" i="109" s="1"/>
  <c r="T90" i="109" s="1"/>
  <c r="T63" i="109"/>
  <c r="P208" i="89"/>
  <c r="P211" i="89" s="1"/>
  <c r="Q207" i="89"/>
  <c r="K47" i="88"/>
  <c r="N174" i="108"/>
  <c r="V94" i="109"/>
  <c r="V121" i="109" s="1"/>
  <c r="W29" i="109" s="1"/>
  <c r="V60" i="111"/>
  <c r="AB122" i="111"/>
  <c r="AC30" i="111" s="1"/>
  <c r="AC68" i="111"/>
  <c r="Q176" i="108"/>
  <c r="Y96" i="109"/>
  <c r="N180" i="89"/>
  <c r="M57" i="109"/>
  <c r="E200" i="108"/>
  <c r="E202" i="108" s="1"/>
  <c r="X117" i="111"/>
  <c r="Y25" i="111" s="1"/>
  <c r="Y90" i="111" s="1"/>
  <c r="Y63" i="111"/>
  <c r="U98" i="88"/>
  <c r="U125" i="88" s="1"/>
  <c r="V33" i="88" s="1"/>
  <c r="S69" i="108"/>
  <c r="T159" i="108"/>
  <c r="AB72" i="109"/>
  <c r="R178" i="108"/>
  <c r="Z98" i="109"/>
  <c r="Z125" i="109" s="1"/>
  <c r="AA33" i="109" s="1"/>
  <c r="AA120" i="111"/>
  <c r="AB28" i="111" s="1"/>
  <c r="AB93" i="111" s="1"/>
  <c r="AB66" i="111"/>
  <c r="T68" i="88"/>
  <c r="X77" i="94"/>
  <c r="X96" i="94"/>
  <c r="X103" i="94"/>
  <c r="X107" i="94"/>
  <c r="X108" i="94" l="1"/>
  <c r="S113" i="94"/>
  <c r="U112" i="94"/>
  <c r="W111" i="94"/>
  <c r="N114" i="94"/>
  <c r="X104" i="94"/>
  <c r="X101" i="94"/>
  <c r="X102" i="94" s="1"/>
  <c r="X79" i="94"/>
  <c r="S177" i="108"/>
  <c r="AA97" i="109"/>
  <c r="M177" i="89"/>
  <c r="U96" i="88"/>
  <c r="U175" i="110"/>
  <c r="AC94" i="111"/>
  <c r="L47" i="88"/>
  <c r="L87" i="88"/>
  <c r="M175" i="89"/>
  <c r="U94" i="88"/>
  <c r="S178" i="108"/>
  <c r="AA98" i="109"/>
  <c r="O174" i="108"/>
  <c r="W94" i="109"/>
  <c r="T175" i="108"/>
  <c r="AB95" i="109"/>
  <c r="P180" i="89"/>
  <c r="X99" i="88"/>
  <c r="AT462" i="49"/>
  <c r="AT463" i="49" s="1"/>
  <c r="W65" i="109"/>
  <c r="V119" i="109"/>
  <c r="W27" i="109" s="1"/>
  <c r="W92" i="109" s="1"/>
  <c r="X126" i="88"/>
  <c r="Y34" i="88" s="1"/>
  <c r="Q180" i="89" s="1"/>
  <c r="Y72" i="88"/>
  <c r="T117" i="109"/>
  <c r="U25" i="109" s="1"/>
  <c r="U90" i="109" s="1"/>
  <c r="U63" i="109"/>
  <c r="W121" i="109"/>
  <c r="X29" i="109" s="1"/>
  <c r="X67" i="109"/>
  <c r="T119" i="88"/>
  <c r="U27" i="88" s="1"/>
  <c r="U92" i="88" s="1"/>
  <c r="U65" i="88"/>
  <c r="U176" i="110"/>
  <c r="AC95" i="111"/>
  <c r="AC122" i="111" s="1"/>
  <c r="R176" i="108"/>
  <c r="Z96" i="109"/>
  <c r="O55" i="109"/>
  <c r="O52" i="109"/>
  <c r="G197" i="108" s="1"/>
  <c r="O51" i="109"/>
  <c r="G196" i="108" s="1"/>
  <c r="U123" i="88"/>
  <c r="V31" i="88" s="1"/>
  <c r="V69" i="88"/>
  <c r="N115" i="88"/>
  <c r="O23" i="88" s="1"/>
  <c r="O88" i="88" s="1"/>
  <c r="O61" i="88"/>
  <c r="Z123" i="109"/>
  <c r="AA31" i="109" s="1"/>
  <c r="AA69" i="109"/>
  <c r="P62" i="88"/>
  <c r="O116" i="88"/>
  <c r="P24" i="88" s="1"/>
  <c r="P89" i="88" s="1"/>
  <c r="U120" i="88"/>
  <c r="V28" i="88" s="1"/>
  <c r="V93" i="88" s="1"/>
  <c r="V66" i="88"/>
  <c r="X71" i="88"/>
  <c r="AB122" i="109"/>
  <c r="AC30" i="109" s="1"/>
  <c r="AC68" i="109"/>
  <c r="AC121" i="111"/>
  <c r="S179" i="108"/>
  <c r="AA99" i="109"/>
  <c r="AA126" i="109" s="1"/>
  <c r="AB34" i="109" s="1"/>
  <c r="V85" i="94"/>
  <c r="V90" i="94"/>
  <c r="Z63" i="111"/>
  <c r="Y117" i="111"/>
  <c r="Z25" i="111" s="1"/>
  <c r="Z90" i="111" s="1"/>
  <c r="S95" i="88"/>
  <c r="S122" i="88" s="1"/>
  <c r="T30" i="88" s="1"/>
  <c r="AA125" i="109"/>
  <c r="AB33" i="109" s="1"/>
  <c r="AB71" i="109"/>
  <c r="Z62" i="111"/>
  <c r="Y116" i="111"/>
  <c r="Z24" i="111" s="1"/>
  <c r="Z89" i="111" s="1"/>
  <c r="U87" i="111"/>
  <c r="U114" i="111" s="1"/>
  <c r="V22" i="111" s="1"/>
  <c r="W87" i="94"/>
  <c r="W86" i="94"/>
  <c r="W92" i="94"/>
  <c r="W82" i="94"/>
  <c r="W88" i="94"/>
  <c r="W91" i="94"/>
  <c r="W97" i="94" s="1"/>
  <c r="W93" i="94"/>
  <c r="Q208" i="89"/>
  <c r="Q211" i="89" s="1"/>
  <c r="R207" i="89"/>
  <c r="W60" i="111"/>
  <c r="P47" i="109"/>
  <c r="P87" i="109"/>
  <c r="N179" i="89"/>
  <c r="V98" i="88"/>
  <c r="V125" i="88" s="1"/>
  <c r="W33" i="88" s="1"/>
  <c r="S61" i="109"/>
  <c r="R115" i="109"/>
  <c r="S23" i="109" s="1"/>
  <c r="S88" i="109" s="1"/>
  <c r="U121" i="88"/>
  <c r="V29" i="88" s="1"/>
  <c r="V67" i="88"/>
  <c r="AW540" i="49"/>
  <c r="AW541" i="49" s="1"/>
  <c r="AV542" i="49"/>
  <c r="U159" i="108"/>
  <c r="U69" i="108" s="1"/>
  <c r="T69" i="108"/>
  <c r="U68" i="88"/>
  <c r="AU457" i="49"/>
  <c r="AU456" i="49"/>
  <c r="AU462" i="49" s="1"/>
  <c r="AU459" i="49"/>
  <c r="Q117" i="88"/>
  <c r="R25" i="88" s="1"/>
  <c r="R90" i="88" s="1"/>
  <c r="R63" i="88"/>
  <c r="Y1" i="94"/>
  <c r="T62" i="109"/>
  <c r="S116" i="109"/>
  <c r="T24" i="109" s="1"/>
  <c r="T89" i="109" s="1"/>
  <c r="AA124" i="109"/>
  <c r="AB32" i="109" s="1"/>
  <c r="AB70" i="109"/>
  <c r="N57" i="109"/>
  <c r="F200" i="108"/>
  <c r="F202" i="108" s="1"/>
  <c r="AA65" i="111"/>
  <c r="Z119" i="111"/>
  <c r="AA27" i="111" s="1"/>
  <c r="AA92" i="111" s="1"/>
  <c r="V118" i="109"/>
  <c r="W26" i="109" s="1"/>
  <c r="W91" i="109" s="1"/>
  <c r="W64" i="109"/>
  <c r="Q178" i="89"/>
  <c r="Y97" i="88"/>
  <c r="Y124" i="88" s="1"/>
  <c r="Z32" i="88" s="1"/>
  <c r="T70" i="89"/>
  <c r="U160" i="89"/>
  <c r="U70" i="89" s="1"/>
  <c r="AC72" i="109"/>
  <c r="R118" i="88"/>
  <c r="S26" i="88" s="1"/>
  <c r="S91" i="88" s="1"/>
  <c r="S64" i="88"/>
  <c r="AC66" i="111"/>
  <c r="AB120" i="111"/>
  <c r="AC28" i="111" s="1"/>
  <c r="AC93" i="111" s="1"/>
  <c r="Z70" i="88"/>
  <c r="P114" i="109"/>
  <c r="Q22" i="109" s="1"/>
  <c r="Q60" i="109"/>
  <c r="V120" i="109"/>
  <c r="W28" i="109" s="1"/>
  <c r="W93" i="109" s="1"/>
  <c r="W66" i="109"/>
  <c r="K52" i="88"/>
  <c r="K55" i="88"/>
  <c r="K57" i="88" s="1"/>
  <c r="K51" i="88"/>
  <c r="M60" i="88"/>
  <c r="L114" i="88"/>
  <c r="M22" i="88" s="1"/>
  <c r="M47" i="88" s="1"/>
  <c r="Y118" i="111"/>
  <c r="Z26" i="111" s="1"/>
  <c r="Z91" i="111" s="1"/>
  <c r="Z64" i="111"/>
  <c r="Z115" i="111"/>
  <c r="AA23" i="111" s="1"/>
  <c r="AA88" i="111" s="1"/>
  <c r="AA61" i="111"/>
  <c r="Y77" i="94"/>
  <c r="Y96" i="94"/>
  <c r="Y103" i="94"/>
  <c r="Y107" i="94"/>
  <c r="Y108" i="94" l="1"/>
  <c r="X111" i="94"/>
  <c r="V112" i="94"/>
  <c r="O114" i="94"/>
  <c r="Y104" i="94"/>
  <c r="T113" i="94"/>
  <c r="Y79" i="94"/>
  <c r="Y101" i="94"/>
  <c r="Y102" i="94" s="1"/>
  <c r="R178" i="89"/>
  <c r="Z97" i="88"/>
  <c r="W67" i="88"/>
  <c r="P61" i="88"/>
  <c r="O115" i="88"/>
  <c r="P23" i="88" s="1"/>
  <c r="P88" i="88" s="1"/>
  <c r="U117" i="109"/>
  <c r="V25" i="109" s="1"/>
  <c r="V90" i="109" s="1"/>
  <c r="V63" i="109"/>
  <c r="T179" i="108"/>
  <c r="AB99" i="109"/>
  <c r="AB126" i="109" s="1"/>
  <c r="AC34" i="109" s="1"/>
  <c r="N175" i="89"/>
  <c r="V94" i="88"/>
  <c r="V121" i="88" s="1"/>
  <c r="W29" i="88" s="1"/>
  <c r="W120" i="109"/>
  <c r="X28" i="109" s="1"/>
  <c r="X93" i="109" s="1"/>
  <c r="X66" i="109"/>
  <c r="T61" i="109"/>
  <c r="S115" i="109"/>
  <c r="T23" i="109" s="1"/>
  <c r="T88" i="109" s="1"/>
  <c r="W69" i="88"/>
  <c r="V87" i="111"/>
  <c r="V114" i="111" s="1"/>
  <c r="W22" i="111" s="1"/>
  <c r="AC122" i="109"/>
  <c r="Y126" i="88"/>
  <c r="Z34" i="88" s="1"/>
  <c r="Z72" i="88"/>
  <c r="R60" i="109"/>
  <c r="O179" i="89"/>
  <c r="W98" i="88"/>
  <c r="W125" i="88" s="1"/>
  <c r="X33" i="88" s="1"/>
  <c r="M114" i="88"/>
  <c r="N22" i="88" s="1"/>
  <c r="N60" i="88"/>
  <c r="U62" i="109"/>
  <c r="T116" i="109"/>
  <c r="U24" i="109" s="1"/>
  <c r="U89" i="109" s="1"/>
  <c r="W85" i="94"/>
  <c r="W90" i="94"/>
  <c r="N177" i="89"/>
  <c r="V96" i="88"/>
  <c r="V123" i="88" s="1"/>
  <c r="W31" i="88" s="1"/>
  <c r="U175" i="108"/>
  <c r="AC95" i="109"/>
  <c r="Q47" i="109"/>
  <c r="Q87" i="109"/>
  <c r="Q114" i="109" s="1"/>
  <c r="R22" i="109" s="1"/>
  <c r="AA119" i="111"/>
  <c r="AB27" i="111" s="1"/>
  <c r="AB92" i="111" s="1"/>
  <c r="AB65" i="111"/>
  <c r="AU463" i="49"/>
  <c r="O57" i="109"/>
  <c r="G200" i="108"/>
  <c r="G202" i="108" s="1"/>
  <c r="X65" i="109"/>
  <c r="W119" i="109"/>
  <c r="X27" i="109" s="1"/>
  <c r="X92" i="109" s="1"/>
  <c r="AA70" i="88"/>
  <c r="Z124" i="88"/>
  <c r="AA32" i="88" s="1"/>
  <c r="Z116" i="111"/>
  <c r="AA24" i="111" s="1"/>
  <c r="AA89" i="111" s="1"/>
  <c r="AA62" i="111"/>
  <c r="Y71" i="88"/>
  <c r="X86" i="94"/>
  <c r="X87" i="94"/>
  <c r="X92" i="94"/>
  <c r="X82" i="94"/>
  <c r="X88" i="94"/>
  <c r="X91" i="94"/>
  <c r="X97" i="94" s="1"/>
  <c r="X93" i="94"/>
  <c r="AV457" i="49"/>
  <c r="AV459" i="49"/>
  <c r="AV456" i="49"/>
  <c r="AV462" i="49" s="1"/>
  <c r="AV463" i="49" s="1"/>
  <c r="Z1" i="94"/>
  <c r="W118" i="109"/>
  <c r="X26" i="109" s="1"/>
  <c r="X91" i="109" s="1"/>
  <c r="X64" i="109"/>
  <c r="R117" i="88"/>
  <c r="S25" i="88" s="1"/>
  <c r="S90" i="88" s="1"/>
  <c r="S63" i="88"/>
  <c r="AA115" i="111"/>
  <c r="AB23" i="111" s="1"/>
  <c r="AB88" i="111" s="1"/>
  <c r="AB61" i="111"/>
  <c r="P55" i="109"/>
  <c r="P52" i="109"/>
  <c r="H197" i="108" s="1"/>
  <c r="P51" i="109"/>
  <c r="H196" i="108" s="1"/>
  <c r="AB125" i="109"/>
  <c r="AC33" i="109" s="1"/>
  <c r="AC71" i="109"/>
  <c r="V120" i="88"/>
  <c r="W28" i="88" s="1"/>
  <c r="W93" i="88" s="1"/>
  <c r="W66" i="88"/>
  <c r="Y99" i="88"/>
  <c r="T178" i="108"/>
  <c r="AB98" i="109"/>
  <c r="Z118" i="111"/>
  <c r="AA26" i="111" s="1"/>
  <c r="AA91" i="111" s="1"/>
  <c r="AA64" i="111"/>
  <c r="AC120" i="111"/>
  <c r="AC70" i="109"/>
  <c r="V68" i="88"/>
  <c r="X60" i="111"/>
  <c r="L176" i="89"/>
  <c r="T95" i="88"/>
  <c r="T122" i="88" s="1"/>
  <c r="U30" i="88" s="1"/>
  <c r="T64" i="88"/>
  <c r="S118" i="88"/>
  <c r="T26" i="88" s="1"/>
  <c r="T91" i="88" s="1"/>
  <c r="T177" i="108"/>
  <c r="AB97" i="109"/>
  <c r="AB124" i="109" s="1"/>
  <c r="AC32" i="109" s="1"/>
  <c r="R208" i="89"/>
  <c r="R211" i="89" s="1"/>
  <c r="S207" i="89"/>
  <c r="V65" i="88"/>
  <c r="U119" i="88"/>
  <c r="V27" i="88" s="1"/>
  <c r="V92" i="88" s="1"/>
  <c r="Z117" i="111"/>
  <c r="AA25" i="111" s="1"/>
  <c r="AA90" i="111" s="1"/>
  <c r="AA63" i="111"/>
  <c r="P116" i="88"/>
  <c r="Q24" i="88" s="1"/>
  <c r="Q89" i="88" s="1"/>
  <c r="Q62" i="88"/>
  <c r="M87" i="88"/>
  <c r="AB69" i="109"/>
  <c r="Y67" i="109"/>
  <c r="L55" i="88"/>
  <c r="L52" i="88"/>
  <c r="D198" i="89" s="1"/>
  <c r="L51" i="88"/>
  <c r="D197" i="89" s="1"/>
  <c r="M55" i="88"/>
  <c r="M51" i="88"/>
  <c r="E197" i="89" s="1"/>
  <c r="M52" i="88"/>
  <c r="E198" i="89" s="1"/>
  <c r="AW542" i="49"/>
  <c r="AX540" i="49"/>
  <c r="AX541" i="49" s="1"/>
  <c r="S176" i="108"/>
  <c r="AA96" i="109"/>
  <c r="AA123" i="109" s="1"/>
  <c r="AB31" i="109" s="1"/>
  <c r="P174" i="108"/>
  <c r="X94" i="109"/>
  <c r="X121" i="109" s="1"/>
  <c r="Y29" i="109" s="1"/>
  <c r="Z77" i="94"/>
  <c r="Z96" i="94"/>
  <c r="Z103" i="94"/>
  <c r="Z107" i="94"/>
  <c r="Z108" i="94" l="1"/>
  <c r="W112" i="94"/>
  <c r="P114" i="94"/>
  <c r="Z104" i="94"/>
  <c r="U113" i="94"/>
  <c r="Y111" i="94"/>
  <c r="Z101" i="94"/>
  <c r="Z102" i="94" s="1"/>
  <c r="Z79" i="94"/>
  <c r="O177" i="89"/>
  <c r="W96" i="88"/>
  <c r="W123" i="88" s="1"/>
  <c r="X31" i="88" s="1"/>
  <c r="O175" i="89"/>
  <c r="W94" i="88"/>
  <c r="U177" i="108"/>
  <c r="AC97" i="109"/>
  <c r="R87" i="109"/>
  <c r="Q174" i="108"/>
  <c r="Y94" i="109"/>
  <c r="T176" i="108"/>
  <c r="AB96" i="109"/>
  <c r="U179" i="108"/>
  <c r="AC99" i="109"/>
  <c r="AC126" i="109" s="1"/>
  <c r="W63" i="109"/>
  <c r="V117" i="109"/>
  <c r="W25" i="109" s="1"/>
  <c r="W90" i="109" s="1"/>
  <c r="AW457" i="49"/>
  <c r="AW459" i="49"/>
  <c r="AW456" i="49"/>
  <c r="AC124" i="109"/>
  <c r="Z71" i="88"/>
  <c r="AA117" i="111"/>
  <c r="AB25" i="111" s="1"/>
  <c r="AB90" i="111" s="1"/>
  <c r="AB63" i="111"/>
  <c r="V119" i="88"/>
  <c r="W27" i="88" s="1"/>
  <c r="W92" i="88" s="1"/>
  <c r="W65" i="88"/>
  <c r="S117" i="88"/>
  <c r="T25" i="88" s="1"/>
  <c r="T90" i="88" s="1"/>
  <c r="T63" i="88"/>
  <c r="Q61" i="88"/>
  <c r="P115" i="88"/>
  <c r="Q23" i="88" s="1"/>
  <c r="Q88" i="88" s="1"/>
  <c r="W87" i="111"/>
  <c r="W114" i="111" s="1"/>
  <c r="X22" i="111" s="1"/>
  <c r="X85" i="94"/>
  <c r="X90" i="94"/>
  <c r="W121" i="88"/>
  <c r="X29" i="88" s="1"/>
  <c r="X67" i="88"/>
  <c r="S208" i="89"/>
  <c r="S211" i="89" s="1"/>
  <c r="T207" i="89"/>
  <c r="AA116" i="111"/>
  <c r="AB24" i="111" s="1"/>
  <c r="AB89" i="111" s="1"/>
  <c r="AB62" i="111"/>
  <c r="S178" i="89"/>
  <c r="AA97" i="88"/>
  <c r="AA124" i="88" s="1"/>
  <c r="AB32" i="88" s="1"/>
  <c r="X69" i="88"/>
  <c r="AA1" i="94"/>
  <c r="AB70" i="88"/>
  <c r="L57" i="88"/>
  <c r="D201" i="89"/>
  <c r="D203" i="89" s="1"/>
  <c r="T118" i="88"/>
  <c r="U26" i="88" s="1"/>
  <c r="U91" i="88" s="1"/>
  <c r="U64" i="88"/>
  <c r="AC69" i="109"/>
  <c r="AB123" i="109"/>
  <c r="AC31" i="109" s="1"/>
  <c r="M57" i="88"/>
  <c r="E201" i="89"/>
  <c r="E203" i="89" s="1"/>
  <c r="AA118" i="111"/>
  <c r="AB26" i="111" s="1"/>
  <c r="AB91" i="111" s="1"/>
  <c r="AB64" i="111"/>
  <c r="X118" i="109"/>
  <c r="Y26" i="109" s="1"/>
  <c r="Y91" i="109" s="1"/>
  <c r="Y64" i="109"/>
  <c r="Z67" i="109"/>
  <c r="Y121" i="109"/>
  <c r="Z29" i="109" s="1"/>
  <c r="Y65" i="109"/>
  <c r="X119" i="109"/>
  <c r="Y27" i="109" s="1"/>
  <c r="Y92" i="109" s="1"/>
  <c r="U116" i="109"/>
  <c r="V24" i="109" s="1"/>
  <c r="V89" i="109" s="1"/>
  <c r="V62" i="109"/>
  <c r="U61" i="109"/>
  <c r="T115" i="109"/>
  <c r="U23" i="109" s="1"/>
  <c r="U88" i="109" s="1"/>
  <c r="M176" i="89"/>
  <c r="U95" i="88"/>
  <c r="U122" i="88" s="1"/>
  <c r="V30" i="88" s="1"/>
  <c r="X66" i="88"/>
  <c r="W120" i="88"/>
  <c r="X28" i="88" s="1"/>
  <c r="X93" i="88" s="1"/>
  <c r="O60" i="88"/>
  <c r="Y66" i="109"/>
  <c r="X120" i="109"/>
  <c r="Y28" i="109" s="1"/>
  <c r="Y93" i="109" s="1"/>
  <c r="N47" i="88"/>
  <c r="N87" i="88"/>
  <c r="N114" i="88" s="1"/>
  <c r="O22" i="88" s="1"/>
  <c r="Y91" i="94"/>
  <c r="Y97" i="94" s="1"/>
  <c r="Y86" i="94"/>
  <c r="Y87" i="94"/>
  <c r="Y92" i="94"/>
  <c r="Y82" i="94"/>
  <c r="Y88" i="94"/>
  <c r="Y93" i="94"/>
  <c r="P179" i="89"/>
  <c r="X98" i="88"/>
  <c r="X125" i="88" s="1"/>
  <c r="Y33" i="88" s="1"/>
  <c r="U178" i="108"/>
  <c r="AC98" i="109"/>
  <c r="AC125" i="109" s="1"/>
  <c r="AB119" i="111"/>
  <c r="AC27" i="111" s="1"/>
  <c r="AC92" i="111" s="1"/>
  <c r="AC65" i="111"/>
  <c r="AC119" i="111" s="1"/>
  <c r="Q116" i="88"/>
  <c r="R24" i="88" s="1"/>
  <c r="R89" i="88" s="1"/>
  <c r="R62" i="88"/>
  <c r="Y60" i="111"/>
  <c r="R114" i="109"/>
  <c r="S22" i="109" s="1"/>
  <c r="S60" i="109"/>
  <c r="W68" i="88"/>
  <c r="P57" i="109"/>
  <c r="H200" i="108"/>
  <c r="H202" i="108" s="1"/>
  <c r="Q51" i="109"/>
  <c r="I196" i="108" s="1"/>
  <c r="Q52" i="109"/>
  <c r="I197" i="108" s="1"/>
  <c r="Q55" i="109"/>
  <c r="AA72" i="88"/>
  <c r="AX542" i="49"/>
  <c r="AY540" i="49"/>
  <c r="AY541" i="49" s="1"/>
  <c r="AB115" i="111"/>
  <c r="AC23" i="111" s="1"/>
  <c r="AC88" i="111" s="1"/>
  <c r="AC61" i="111"/>
  <c r="AC115" i="111" s="1"/>
  <c r="R180" i="89"/>
  <c r="Z99" i="88"/>
  <c r="Z126" i="88" s="1"/>
  <c r="AA34" i="88" s="1"/>
  <c r="AA77" i="94"/>
  <c r="AA96" i="94"/>
  <c r="AA103" i="94"/>
  <c r="AA107" i="94"/>
  <c r="AA108" i="94" l="1"/>
  <c r="V113" i="94"/>
  <c r="AA104" i="94"/>
  <c r="Z111" i="94"/>
  <c r="X112" i="94"/>
  <c r="Q114" i="94"/>
  <c r="AA79" i="94"/>
  <c r="AA101" i="94"/>
  <c r="AA102" i="94" s="1"/>
  <c r="O47" i="88"/>
  <c r="O87" i="88"/>
  <c r="T178" i="89"/>
  <c r="AB97" i="88"/>
  <c r="AB124" i="88" s="1"/>
  <c r="AC32" i="88" s="1"/>
  <c r="P177" i="89"/>
  <c r="X96" i="88"/>
  <c r="S180" i="89"/>
  <c r="AA99" i="88"/>
  <c r="AB118" i="111"/>
  <c r="AC26" i="111" s="1"/>
  <c r="AC91" i="111" s="1"/>
  <c r="AC64" i="111"/>
  <c r="AC118" i="111" s="1"/>
  <c r="Q179" i="89"/>
  <c r="Y98" i="88"/>
  <c r="Y125" i="88" s="1"/>
  <c r="Z33" i="88" s="1"/>
  <c r="AB116" i="111"/>
  <c r="AC24" i="111" s="1"/>
  <c r="AC89" i="111" s="1"/>
  <c r="AC62" i="111"/>
  <c r="Y66" i="88"/>
  <c r="X120" i="88"/>
  <c r="Y28" i="88" s="1"/>
  <c r="Y93" i="88" s="1"/>
  <c r="AB117" i="111"/>
  <c r="AC25" i="111" s="1"/>
  <c r="AC90" i="111" s="1"/>
  <c r="AC63" i="111"/>
  <c r="AC117" i="111" s="1"/>
  <c r="N176" i="89"/>
  <c r="V95" i="88"/>
  <c r="V122" i="88" s="1"/>
  <c r="W30" i="88" s="1"/>
  <c r="T208" i="89"/>
  <c r="T211" i="89" s="1"/>
  <c r="U207" i="89"/>
  <c r="U208" i="89" s="1"/>
  <c r="U211" i="89" s="1"/>
  <c r="U176" i="108"/>
  <c r="AC96" i="109"/>
  <c r="AA71" i="88"/>
  <c r="AC123" i="109"/>
  <c r="Y67" i="88"/>
  <c r="X121" i="88"/>
  <c r="Y29" i="88" s="1"/>
  <c r="X68" i="88"/>
  <c r="Y85" i="94"/>
  <c r="Y90" i="94"/>
  <c r="U115" i="109"/>
  <c r="V23" i="109" s="1"/>
  <c r="V88" i="109" s="1"/>
  <c r="V61" i="109"/>
  <c r="V64" i="88"/>
  <c r="U118" i="88"/>
  <c r="V26" i="88" s="1"/>
  <c r="V91" i="88" s="1"/>
  <c r="S114" i="109"/>
  <c r="T22" i="109" s="1"/>
  <c r="T60" i="109"/>
  <c r="P175" i="89"/>
  <c r="X94" i="88"/>
  <c r="S87" i="109"/>
  <c r="V116" i="109"/>
  <c r="W24" i="109" s="1"/>
  <c r="W89" i="109" s="1"/>
  <c r="W62" i="109"/>
  <c r="AW462" i="49"/>
  <c r="AW463" i="49" s="1"/>
  <c r="Z60" i="111"/>
  <c r="R116" i="88"/>
  <c r="S24" i="88" s="1"/>
  <c r="S89" i="88" s="1"/>
  <c r="S62" i="88"/>
  <c r="Y119" i="109"/>
  <c r="Z27" i="109" s="1"/>
  <c r="Z92" i="109" s="1"/>
  <c r="Z65" i="109"/>
  <c r="X87" i="111"/>
  <c r="X114" i="111" s="1"/>
  <c r="Y22" i="111" s="1"/>
  <c r="Z88" i="94"/>
  <c r="Z93" i="94"/>
  <c r="Z82" i="94"/>
  <c r="Z86" i="94"/>
  <c r="Z87" i="94"/>
  <c r="Z91" i="94"/>
  <c r="Z97" i="94" s="1"/>
  <c r="Z92" i="94"/>
  <c r="AY542" i="49"/>
  <c r="AZ540" i="49"/>
  <c r="AZ541" i="49" s="1"/>
  <c r="AC70" i="88"/>
  <c r="W117" i="109"/>
  <c r="X25" i="109" s="1"/>
  <c r="X90" i="109" s="1"/>
  <c r="X63" i="109"/>
  <c r="R174" i="108"/>
  <c r="Z94" i="109"/>
  <c r="Z121" i="109" s="1"/>
  <c r="AA29" i="109" s="1"/>
  <c r="AB1" i="94"/>
  <c r="AA126" i="88"/>
  <c r="AB34" i="88" s="1"/>
  <c r="AB72" i="88"/>
  <c r="Y118" i="109"/>
  <c r="Z26" i="109" s="1"/>
  <c r="Z91" i="109" s="1"/>
  <c r="Z64" i="109"/>
  <c r="Y69" i="88"/>
  <c r="X123" i="88"/>
  <c r="Y31" i="88" s="1"/>
  <c r="Q115" i="88"/>
  <c r="R23" i="88" s="1"/>
  <c r="R88" i="88" s="1"/>
  <c r="R61" i="88"/>
  <c r="AX457" i="49"/>
  <c r="AX456" i="49"/>
  <c r="AX462" i="49" s="1"/>
  <c r="AX459" i="49"/>
  <c r="N55" i="88"/>
  <c r="N51" i="88"/>
  <c r="F197" i="89" s="1"/>
  <c r="N52" i="88"/>
  <c r="F198" i="89" s="1"/>
  <c r="AA67" i="109"/>
  <c r="Z66" i="109"/>
  <c r="Y120" i="109"/>
  <c r="Z28" i="109" s="1"/>
  <c r="Z93" i="109" s="1"/>
  <c r="T117" i="88"/>
  <c r="U25" i="88" s="1"/>
  <c r="U90" i="88" s="1"/>
  <c r="U63" i="88"/>
  <c r="Q57" i="109"/>
  <c r="I200" i="108"/>
  <c r="I202" i="108" s="1"/>
  <c r="W119" i="88"/>
  <c r="X27" i="88" s="1"/>
  <c r="X92" i="88" s="1"/>
  <c r="X65" i="88"/>
  <c r="O114" i="88"/>
  <c r="P22" i="88" s="1"/>
  <c r="P60" i="88"/>
  <c r="AB77" i="94"/>
  <c r="AB96" i="94"/>
  <c r="AB103" i="94"/>
  <c r="AB107" i="94"/>
  <c r="AB108" i="94" l="1"/>
  <c r="AB104" i="94"/>
  <c r="AA111" i="94"/>
  <c r="Y112" i="94"/>
  <c r="R114" i="94"/>
  <c r="W113" i="94"/>
  <c r="AB79" i="94"/>
  <c r="AB101" i="94"/>
  <c r="AB102" i="94" s="1"/>
  <c r="S174" i="108"/>
  <c r="AA94" i="109"/>
  <c r="U178" i="89"/>
  <c r="AC97" i="88"/>
  <c r="Z118" i="109"/>
  <c r="AA26" i="109" s="1"/>
  <c r="AA91" i="109" s="1"/>
  <c r="AA64" i="109"/>
  <c r="Z85" i="94"/>
  <c r="Z90" i="94"/>
  <c r="AB71" i="88"/>
  <c r="T180" i="89"/>
  <c r="AB99" i="88"/>
  <c r="AA121" i="109"/>
  <c r="AB29" i="109" s="1"/>
  <c r="AB67" i="109"/>
  <c r="AC1" i="94"/>
  <c r="Y87" i="111"/>
  <c r="Y114" i="111" s="1"/>
  <c r="Z22" i="111" s="1"/>
  <c r="T114" i="109"/>
  <c r="U22" i="109" s="1"/>
  <c r="U60" i="109"/>
  <c r="V118" i="88"/>
  <c r="W26" i="88" s="1"/>
  <c r="W91" i="88" s="1"/>
  <c r="W64" i="88"/>
  <c r="T62" i="88"/>
  <c r="S116" i="88"/>
  <c r="T24" i="88" s="1"/>
  <c r="T89" i="88" s="1"/>
  <c r="P114" i="88"/>
  <c r="Q22" i="88" s="1"/>
  <c r="Q60" i="88"/>
  <c r="AX463" i="49"/>
  <c r="Q177" i="89"/>
  <c r="Y96" i="88"/>
  <c r="T87" i="109"/>
  <c r="Z119" i="109"/>
  <c r="AA27" i="109" s="1"/>
  <c r="AA92" i="109" s="1"/>
  <c r="AA65" i="109"/>
  <c r="N57" i="88"/>
  <c r="F201" i="89"/>
  <c r="F203" i="89" s="1"/>
  <c r="AZ542" i="49"/>
  <c r="BA540" i="49"/>
  <c r="BA541" i="49" s="1"/>
  <c r="Y63" i="109"/>
  <c r="X117" i="109"/>
  <c r="Y25" i="109" s="1"/>
  <c r="Y90" i="109" s="1"/>
  <c r="W61" i="109"/>
  <c r="V115" i="109"/>
  <c r="W23" i="109" s="1"/>
  <c r="W88" i="109" s="1"/>
  <c r="O176" i="89"/>
  <c r="W95" i="88"/>
  <c r="W122" i="88" s="1"/>
  <c r="X30" i="88" s="1"/>
  <c r="AC124" i="88"/>
  <c r="P47" i="88"/>
  <c r="P87" i="88"/>
  <c r="AA60" i="111"/>
  <c r="X119" i="88"/>
  <c r="Y27" i="88" s="1"/>
  <c r="Y92" i="88" s="1"/>
  <c r="Y65" i="88"/>
  <c r="O51" i="88"/>
  <c r="G197" i="89" s="1"/>
  <c r="O55" i="88"/>
  <c r="O52" i="88"/>
  <c r="G198" i="89" s="1"/>
  <c r="S61" i="88"/>
  <c r="R115" i="88"/>
  <c r="S23" i="88" s="1"/>
  <c r="S88" i="88" s="1"/>
  <c r="AY457" i="49"/>
  <c r="AY456" i="49"/>
  <c r="AY462" i="49" s="1"/>
  <c r="AY459" i="49"/>
  <c r="Y68" i="88"/>
  <c r="AA93" i="94"/>
  <c r="AA82" i="94"/>
  <c r="AA86" i="94"/>
  <c r="AA87" i="94"/>
  <c r="AA88" i="94"/>
  <c r="AA91" i="94"/>
  <c r="AA97" i="94" s="1"/>
  <c r="AA92" i="94"/>
  <c r="X62" i="109"/>
  <c r="W116" i="109"/>
  <c r="X24" i="109" s="1"/>
  <c r="X89" i="109" s="1"/>
  <c r="Q175" i="89"/>
  <c r="Y94" i="88"/>
  <c r="Y121" i="88" s="1"/>
  <c r="Z29" i="88" s="1"/>
  <c r="AC116" i="111"/>
  <c r="Y120" i="88"/>
  <c r="Z28" i="88" s="1"/>
  <c r="Z93" i="88" s="1"/>
  <c r="Z66" i="88"/>
  <c r="Y123" i="88"/>
  <c r="Z31" i="88" s="1"/>
  <c r="Z69" i="88"/>
  <c r="R179" i="89"/>
  <c r="Z98" i="88"/>
  <c r="Z125" i="88" s="1"/>
  <c r="AA33" i="88" s="1"/>
  <c r="Z67" i="88"/>
  <c r="V63" i="88"/>
  <c r="U117" i="88"/>
  <c r="V25" i="88" s="1"/>
  <c r="V90" i="88" s="1"/>
  <c r="AB126" i="88"/>
  <c r="AC34" i="88" s="1"/>
  <c r="AC72" i="88"/>
  <c r="Z120" i="109"/>
  <c r="AA28" i="109" s="1"/>
  <c r="AA93" i="109" s="1"/>
  <c r="AA66" i="109"/>
  <c r="AC77" i="94"/>
  <c r="AC96" i="94"/>
  <c r="AC103" i="94"/>
  <c r="AC107" i="94"/>
  <c r="AC108" i="94" l="1"/>
  <c r="S114" i="94"/>
  <c r="AB111" i="94"/>
  <c r="AC104" i="94"/>
  <c r="Z112" i="94"/>
  <c r="X113" i="94"/>
  <c r="AC79" i="94"/>
  <c r="AC101" i="94"/>
  <c r="AC102" i="94" s="1"/>
  <c r="R175" i="89"/>
  <c r="Z94" i="88"/>
  <c r="AB66" i="109"/>
  <c r="AA120" i="109"/>
  <c r="AB28" i="109" s="1"/>
  <c r="AB93" i="109" s="1"/>
  <c r="S115" i="88"/>
  <c r="T23" i="88" s="1"/>
  <c r="T88" i="88" s="1"/>
  <c r="T61" i="88"/>
  <c r="Y117" i="109"/>
  <c r="Z25" i="109" s="1"/>
  <c r="Z90" i="109" s="1"/>
  <c r="Z63" i="109"/>
  <c r="U62" i="88"/>
  <c r="T116" i="88"/>
  <c r="U24" i="88" s="1"/>
  <c r="U89" i="88" s="1"/>
  <c r="AA118" i="109"/>
  <c r="AB26" i="109" s="1"/>
  <c r="AB91" i="109" s="1"/>
  <c r="AB64" i="109"/>
  <c r="AZ459" i="49"/>
  <c r="AZ456" i="49"/>
  <c r="AZ462" i="49" s="1"/>
  <c r="AZ457" i="49"/>
  <c r="Y119" i="88"/>
  <c r="Z27" i="88" s="1"/>
  <c r="Z92" i="88" s="1"/>
  <c r="Z65" i="88"/>
  <c r="U114" i="109"/>
  <c r="V22" i="109" s="1"/>
  <c r="V60" i="109"/>
  <c r="Z123" i="88"/>
  <c r="AA31" i="88" s="1"/>
  <c r="AA69" i="88"/>
  <c r="Y62" i="109"/>
  <c r="X116" i="109"/>
  <c r="Y24" i="109" s="1"/>
  <c r="Y89" i="109" s="1"/>
  <c r="O57" i="88"/>
  <c r="G201" i="89"/>
  <c r="G203" i="89" s="1"/>
  <c r="X64" i="88"/>
  <c r="W118" i="88"/>
  <c r="X26" i="88" s="1"/>
  <c r="X91" i="88" s="1"/>
  <c r="BB540" i="49"/>
  <c r="BB541" i="49" s="1"/>
  <c r="BA542" i="49"/>
  <c r="AC126" i="88"/>
  <c r="U180" i="89"/>
  <c r="AC99" i="88"/>
  <c r="V117" i="88"/>
  <c r="W25" i="88" s="1"/>
  <c r="W90" i="88" s="1"/>
  <c r="W63" i="88"/>
  <c r="AB65" i="109"/>
  <c r="AA119" i="109"/>
  <c r="AB27" i="109" s="1"/>
  <c r="AB92" i="109" s="1"/>
  <c r="Z87" i="111"/>
  <c r="Z114" i="111" s="1"/>
  <c r="AA22" i="111" s="1"/>
  <c r="U87" i="109"/>
  <c r="Z121" i="88"/>
  <c r="AA29" i="88" s="1"/>
  <c r="AA67" i="88"/>
  <c r="AB60" i="111"/>
  <c r="S179" i="89"/>
  <c r="AA98" i="88"/>
  <c r="AA125" i="88" s="1"/>
  <c r="AB33" i="88" s="1"/>
  <c r="AA85" i="94"/>
  <c r="AA90" i="94"/>
  <c r="AD1" i="94"/>
  <c r="P52" i="88"/>
  <c r="H198" i="89" s="1"/>
  <c r="P51" i="88"/>
  <c r="H197" i="89" s="1"/>
  <c r="P55" i="88"/>
  <c r="AB121" i="109"/>
  <c r="AC29" i="109" s="1"/>
  <c r="AC67" i="109"/>
  <c r="AB82" i="94"/>
  <c r="AB86" i="94"/>
  <c r="AB93" i="94"/>
  <c r="AB87" i="94"/>
  <c r="AB88" i="94"/>
  <c r="AB91" i="94"/>
  <c r="AB97" i="94" s="1"/>
  <c r="AB92" i="94"/>
  <c r="T174" i="108"/>
  <c r="AB94" i="109"/>
  <c r="R177" i="89"/>
  <c r="Z96" i="88"/>
  <c r="AA66" i="88"/>
  <c r="Z120" i="88"/>
  <c r="AA28" i="88" s="1"/>
  <c r="AA93" i="88" s="1"/>
  <c r="Z68" i="88"/>
  <c r="AY463" i="49"/>
  <c r="Q47" i="88"/>
  <c r="Q87" i="88"/>
  <c r="P176" i="89"/>
  <c r="X95" i="88"/>
  <c r="X122" i="88" s="1"/>
  <c r="Y30" i="88" s="1"/>
  <c r="Q114" i="88"/>
  <c r="R22" i="88" s="1"/>
  <c r="R60" i="88"/>
  <c r="W115" i="109"/>
  <c r="X23" i="109" s="1"/>
  <c r="X88" i="109" s="1"/>
  <c r="X61" i="109"/>
  <c r="AC71" i="88"/>
  <c r="AD77" i="94"/>
  <c r="AD96" i="94"/>
  <c r="AD103" i="94"/>
  <c r="AD107" i="94"/>
  <c r="AD108" i="94" l="1"/>
  <c r="AD104" i="94"/>
  <c r="T114" i="94"/>
  <c r="AC111" i="94"/>
  <c r="AA112" i="94"/>
  <c r="Y113" i="94"/>
  <c r="AD79" i="94"/>
  <c r="AD101" i="94"/>
  <c r="AD102" i="94" s="1"/>
  <c r="BA457" i="49"/>
  <c r="BA459" i="49"/>
  <c r="BA456" i="49"/>
  <c r="BA462" i="49" s="1"/>
  <c r="BA463" i="49" s="1"/>
  <c r="AC60" i="111"/>
  <c r="AA121" i="88"/>
  <c r="AB29" i="88" s="1"/>
  <c r="AB67" i="88"/>
  <c r="S175" i="89"/>
  <c r="AA94" i="88"/>
  <c r="AB85" i="94"/>
  <c r="AB90" i="94"/>
  <c r="AC121" i="109"/>
  <c r="AA87" i="111"/>
  <c r="AA114" i="111" s="1"/>
  <c r="AB22" i="111" s="1"/>
  <c r="Y116" i="109"/>
  <c r="Z24" i="109" s="1"/>
  <c r="Z89" i="109" s="1"/>
  <c r="Z62" i="109"/>
  <c r="U61" i="88"/>
  <c r="T115" i="88"/>
  <c r="U23" i="88" s="1"/>
  <c r="U88" i="88" s="1"/>
  <c r="AA68" i="88"/>
  <c r="AA123" i="88"/>
  <c r="AB31" i="88" s="1"/>
  <c r="AB69" i="88"/>
  <c r="S177" i="89"/>
  <c r="AA96" i="88"/>
  <c r="AE1" i="94"/>
  <c r="W117" i="88"/>
  <c r="X25" i="88" s="1"/>
  <c r="X90" i="88" s="1"/>
  <c r="X63" i="88"/>
  <c r="AB120" i="109"/>
  <c r="AC28" i="109" s="1"/>
  <c r="AC93" i="109" s="1"/>
  <c r="AC66" i="109"/>
  <c r="U174" i="108"/>
  <c r="AC94" i="109"/>
  <c r="P57" i="88"/>
  <c r="H201" i="89"/>
  <c r="H203" i="89" s="1"/>
  <c r="AA120" i="88"/>
  <c r="AB28" i="88" s="1"/>
  <c r="AB93" i="88" s="1"/>
  <c r="AB66" i="88"/>
  <c r="AB119" i="109"/>
  <c r="AC27" i="109" s="1"/>
  <c r="AC92" i="109" s="1"/>
  <c r="AC65" i="109"/>
  <c r="V114" i="109"/>
  <c r="W22" i="109" s="1"/>
  <c r="W60" i="109"/>
  <c r="V87" i="109"/>
  <c r="AA65" i="88"/>
  <c r="Z119" i="88"/>
  <c r="AA27" i="88" s="1"/>
  <c r="AA92" i="88" s="1"/>
  <c r="X115" i="109"/>
  <c r="Y23" i="109" s="1"/>
  <c r="Y88" i="109" s="1"/>
  <c r="Y61" i="109"/>
  <c r="T179" i="89"/>
  <c r="AB98" i="88"/>
  <c r="AB125" i="88" s="1"/>
  <c r="AC33" i="88" s="1"/>
  <c r="AZ463" i="49"/>
  <c r="AC92" i="94"/>
  <c r="AC93" i="94"/>
  <c r="AC82" i="94"/>
  <c r="AC86" i="94"/>
  <c r="AC87" i="94"/>
  <c r="AC88" i="94"/>
  <c r="AC91" i="94"/>
  <c r="AC97" i="94" s="1"/>
  <c r="BC540" i="49"/>
  <c r="BC541" i="49" s="1"/>
  <c r="BB542" i="49"/>
  <c r="AB118" i="109"/>
  <c r="AC26" i="109" s="1"/>
  <c r="AC91" i="109" s="1"/>
  <c r="AC64" i="109"/>
  <c r="AC118" i="109" s="1"/>
  <c r="Q55" i="88"/>
  <c r="Q52" i="88"/>
  <c r="I198" i="89" s="1"/>
  <c r="Q51" i="88"/>
  <c r="I197" i="89" s="1"/>
  <c r="S60" i="88"/>
  <c r="R87" i="88"/>
  <c r="R114" i="88" s="1"/>
  <c r="S22" i="88" s="1"/>
  <c r="Q176" i="89"/>
  <c r="Y95" i="88"/>
  <c r="Y122" i="88" s="1"/>
  <c r="Z30" i="88" s="1"/>
  <c r="X118" i="88"/>
  <c r="Y26" i="88" s="1"/>
  <c r="Y91" i="88" s="1"/>
  <c r="Y64" i="88"/>
  <c r="U116" i="88"/>
  <c r="V24" i="88" s="1"/>
  <c r="V89" i="88" s="1"/>
  <c r="V62" i="88"/>
  <c r="AA63" i="109"/>
  <c r="Z117" i="109"/>
  <c r="AA25" i="109" s="1"/>
  <c r="AA90" i="109" s="1"/>
  <c r="AE77" i="94"/>
  <c r="AE96" i="94"/>
  <c r="AE103" i="94"/>
  <c r="AE107" i="94"/>
  <c r="AN107" i="94" l="1"/>
  <c r="AM107" i="94"/>
  <c r="AK107" i="94"/>
  <c r="AL107" i="94"/>
  <c r="AE108" i="94"/>
  <c r="AD111" i="94"/>
  <c r="AL103" i="94"/>
  <c r="AK103" i="94"/>
  <c r="AB112" i="94"/>
  <c r="AM103" i="94"/>
  <c r="AN103" i="94"/>
  <c r="U114" i="94"/>
  <c r="AE104" i="94"/>
  <c r="Z113" i="94"/>
  <c r="AM96" i="94"/>
  <c r="AL96" i="94"/>
  <c r="AN96" i="94"/>
  <c r="AK96" i="94"/>
  <c r="AL77" i="94"/>
  <c r="AM77" i="94"/>
  <c r="AE79" i="94"/>
  <c r="AN77" i="94"/>
  <c r="AI77" i="94"/>
  <c r="AI79" i="94" s="1"/>
  <c r="AK77" i="94"/>
  <c r="AE101" i="94"/>
  <c r="S87" i="88"/>
  <c r="S114" i="88" s="1"/>
  <c r="T22" i="88" s="1"/>
  <c r="AC120" i="109"/>
  <c r="Y118" i="88"/>
  <c r="Z26" i="88" s="1"/>
  <c r="Z91" i="88" s="1"/>
  <c r="Z64" i="88"/>
  <c r="BB457" i="49"/>
  <c r="BB459" i="49"/>
  <c r="BB456" i="49"/>
  <c r="BB462" i="49" s="1"/>
  <c r="AB121" i="88"/>
  <c r="AC29" i="88" s="1"/>
  <c r="AC67" i="88"/>
  <c r="W87" i="109"/>
  <c r="AC69" i="88"/>
  <c r="T175" i="89"/>
  <c r="AB94" i="88"/>
  <c r="BC542" i="49"/>
  <c r="BD540" i="49"/>
  <c r="BD541" i="49" s="1"/>
  <c r="V116" i="88"/>
  <c r="W24" i="88" s="1"/>
  <c r="W89" i="88" s="1"/>
  <c r="W62" i="88"/>
  <c r="R176" i="89"/>
  <c r="Z95" i="88"/>
  <c r="Z122" i="88" s="1"/>
  <c r="AA30" i="88" s="1"/>
  <c r="AC90" i="94"/>
  <c r="AC85" i="94"/>
  <c r="W114" i="109"/>
  <c r="X22" i="109" s="1"/>
  <c r="X60" i="109"/>
  <c r="T177" i="89"/>
  <c r="AB96" i="88"/>
  <c r="AB123" i="88" s="1"/>
  <c r="AC31" i="88" s="1"/>
  <c r="AC119" i="109"/>
  <c r="AB120" i="88"/>
  <c r="AC28" i="88" s="1"/>
  <c r="AC93" i="88" s="1"/>
  <c r="AC66" i="88"/>
  <c r="U179" i="89"/>
  <c r="AC98" i="88"/>
  <c r="AC125" i="88" s="1"/>
  <c r="AB68" i="88"/>
  <c r="T60" i="88"/>
  <c r="U115" i="88"/>
  <c r="V23" i="88" s="1"/>
  <c r="V88" i="88" s="1"/>
  <c r="V61" i="88"/>
  <c r="AA62" i="109"/>
  <c r="Z116" i="109"/>
  <c r="AA24" i="109" s="1"/>
  <c r="AA89" i="109" s="1"/>
  <c r="Q57" i="88"/>
  <c r="I201" i="89"/>
  <c r="I203" i="89" s="1"/>
  <c r="AD82" i="94"/>
  <c r="AD87" i="94"/>
  <c r="AD88" i="94"/>
  <c r="AD86" i="94"/>
  <c r="Y115" i="109"/>
  <c r="Z23" i="109" s="1"/>
  <c r="Z88" i="109" s="1"/>
  <c r="Z61" i="109"/>
  <c r="AB87" i="111"/>
  <c r="AB114" i="111" s="1"/>
  <c r="AC22" i="111" s="1"/>
  <c r="AA117" i="109"/>
  <c r="AB25" i="109" s="1"/>
  <c r="AB90" i="109" s="1"/>
  <c r="AB63" i="109"/>
  <c r="X117" i="88"/>
  <c r="Y25" i="88" s="1"/>
  <c r="Y90" i="88" s="1"/>
  <c r="Y63" i="88"/>
  <c r="AA119" i="88"/>
  <c r="AB27" i="88" s="1"/>
  <c r="AB92" i="88" s="1"/>
  <c r="AB65" i="88"/>
  <c r="AF1" i="94"/>
  <c r="AF77" i="94"/>
  <c r="AF96" i="94"/>
  <c r="AF103" i="94"/>
  <c r="AF107" i="94"/>
  <c r="AF108" i="94" l="1"/>
  <c r="AC112" i="94"/>
  <c r="AA113" i="94"/>
  <c r="AE111" i="94"/>
  <c r="V114" i="94"/>
  <c r="AF104" i="94"/>
  <c r="AI96" i="94"/>
  <c r="AF101" i="94"/>
  <c r="AF102" i="94" s="1"/>
  <c r="AF79" i="94"/>
  <c r="T87" i="88"/>
  <c r="T114" i="88" s="1"/>
  <c r="U22" i="88" s="1"/>
  <c r="U177" i="89"/>
  <c r="AC96" i="88"/>
  <c r="AC68" i="88"/>
  <c r="X62" i="88"/>
  <c r="W116" i="88"/>
  <c r="X24" i="88" s="1"/>
  <c r="X89" i="88" s="1"/>
  <c r="Z118" i="88"/>
  <c r="AA26" i="88" s="1"/>
  <c r="AA91" i="88" s="1"/>
  <c r="AA64" i="88"/>
  <c r="AG1" i="94"/>
  <c r="BD542" i="49"/>
  <c r="BE540" i="49"/>
  <c r="BE541" i="49" s="1"/>
  <c r="BE542" i="49" s="1"/>
  <c r="AC120" i="88"/>
  <c r="AD85" i="94"/>
  <c r="BC456" i="49"/>
  <c r="BC459" i="49"/>
  <c r="BC457" i="49"/>
  <c r="AB119" i="88"/>
  <c r="AC27" i="88" s="1"/>
  <c r="AC92" i="88" s="1"/>
  <c r="AC65" i="88"/>
  <c r="AC119" i="88" s="1"/>
  <c r="AK101" i="94"/>
  <c r="AE102" i="94"/>
  <c r="AL101" i="94"/>
  <c r="AM101" i="94"/>
  <c r="AN101" i="94"/>
  <c r="Y117" i="88"/>
  <c r="Z25" i="88" s="1"/>
  <c r="Z90" i="88" s="1"/>
  <c r="Z63" i="88"/>
  <c r="AC123" i="88"/>
  <c r="X114" i="109"/>
  <c r="Y22" i="109" s="1"/>
  <c r="Y60" i="109"/>
  <c r="AC63" i="109"/>
  <c r="AB117" i="109"/>
  <c r="AC25" i="109" s="1"/>
  <c r="AC90" i="109" s="1"/>
  <c r="AC87" i="111"/>
  <c r="AC114" i="111" s="1"/>
  <c r="AB62" i="109"/>
  <c r="AA116" i="109"/>
  <c r="AB24" i="109" s="1"/>
  <c r="AB89" i="109" s="1"/>
  <c r="X87" i="109"/>
  <c r="U175" i="89"/>
  <c r="AC94" i="88"/>
  <c r="AC121" i="88" s="1"/>
  <c r="AM79" i="94"/>
  <c r="AK79" i="94"/>
  <c r="AL79" i="94"/>
  <c r="AN79" i="94"/>
  <c r="S176" i="89"/>
  <c r="AA95" i="88"/>
  <c r="AA122" i="88" s="1"/>
  <c r="AB30" i="88" s="1"/>
  <c r="V115" i="88"/>
  <c r="W23" i="88" s="1"/>
  <c r="W88" i="88" s="1"/>
  <c r="W61" i="88"/>
  <c r="BB463" i="49"/>
  <c r="AA61" i="109"/>
  <c r="Z115" i="109"/>
  <c r="AA23" i="109" s="1"/>
  <c r="AA88" i="109" s="1"/>
  <c r="U60" i="88"/>
  <c r="AG77" i="94"/>
  <c r="AG96" i="94"/>
  <c r="AG103" i="94"/>
  <c r="AG107" i="94"/>
  <c r="AG108" i="94" l="1"/>
  <c r="AF111" i="94"/>
  <c r="AB113" i="94"/>
  <c r="AD112" i="94"/>
  <c r="W114" i="94"/>
  <c r="AG104" i="94"/>
  <c r="AG79" i="94"/>
  <c r="AG101" i="94"/>
  <c r="AG102" i="94" s="1"/>
  <c r="U87" i="88"/>
  <c r="U114" i="88" s="1"/>
  <c r="V22" i="88" s="1"/>
  <c r="AB64" i="88"/>
  <c r="AA118" i="88"/>
  <c r="AB26" i="88" s="1"/>
  <c r="AB91" i="88" s="1"/>
  <c r="AC117" i="109"/>
  <c r="Z60" i="109"/>
  <c r="X116" i="88"/>
  <c r="Y24" i="88" s="1"/>
  <c r="Y89" i="88" s="1"/>
  <c r="Y62" i="88"/>
  <c r="AA115" i="109"/>
  <c r="AB23" i="109" s="1"/>
  <c r="AB88" i="109" s="1"/>
  <c r="AB61" i="109"/>
  <c r="W115" i="88"/>
  <c r="X23" i="88" s="1"/>
  <c r="X88" i="88" s="1"/>
  <c r="X61" i="88"/>
  <c r="Z117" i="88"/>
  <c r="AA25" i="88" s="1"/>
  <c r="AA90" i="88" s="1"/>
  <c r="AA63" i="88"/>
  <c r="AB116" i="109"/>
  <c r="AC24" i="109" s="1"/>
  <c r="AC89" i="109" s="1"/>
  <c r="AC62" i="109"/>
  <c r="AC116" i="109" s="1"/>
  <c r="Y87" i="109"/>
  <c r="Y114" i="109" s="1"/>
  <c r="Z22" i="109" s="1"/>
  <c r="BC462" i="49"/>
  <c r="BC463" i="49" s="1"/>
  <c r="V60" i="88"/>
  <c r="T176" i="89"/>
  <c r="AB95" i="88"/>
  <c r="AB122" i="88" s="1"/>
  <c r="AC30" i="88" s="1"/>
  <c r="V87" i="88" l="1"/>
  <c r="Z87" i="109"/>
  <c r="W60" i="88"/>
  <c r="V114" i="88"/>
  <c r="W22" i="88" s="1"/>
  <c r="Z114" i="109"/>
  <c r="AA22" i="109" s="1"/>
  <c r="AA60" i="109"/>
  <c r="AB118" i="88"/>
  <c r="AC26" i="88" s="1"/>
  <c r="AC91" i="88" s="1"/>
  <c r="AC64" i="88"/>
  <c r="AC118" i="88" s="1"/>
  <c r="U176" i="89"/>
  <c r="AC95" i="88"/>
  <c r="AC122" i="88" s="1"/>
  <c r="AA117" i="88"/>
  <c r="AB25" i="88" s="1"/>
  <c r="AB90" i="88" s="1"/>
  <c r="AB63" i="88"/>
  <c r="Y61" i="88"/>
  <c r="X115" i="88"/>
  <c r="Y23" i="88" s="1"/>
  <c r="Y88" i="88" s="1"/>
  <c r="AC61" i="109"/>
  <c r="AB115" i="109"/>
  <c r="AC23" i="109" s="1"/>
  <c r="AC88" i="109" s="1"/>
  <c r="Y116" i="88"/>
  <c r="Z24" i="88" s="1"/>
  <c r="Z89" i="88" s="1"/>
  <c r="Z62" i="88"/>
  <c r="Y115" i="88" l="1"/>
  <c r="Z23" i="88" s="1"/>
  <c r="Z88" i="88" s="1"/>
  <c r="Z61" i="88"/>
  <c r="AB117" i="88"/>
  <c r="AC25" i="88" s="1"/>
  <c r="AC90" i="88" s="1"/>
  <c r="AC63" i="88"/>
  <c r="Z116" i="88"/>
  <c r="AA24" i="88" s="1"/>
  <c r="AA89" i="88" s="1"/>
  <c r="AA62" i="88"/>
  <c r="AB60" i="109"/>
  <c r="AA87" i="109"/>
  <c r="AA114" i="109" s="1"/>
  <c r="AB22" i="109" s="1"/>
  <c r="W87" i="88"/>
  <c r="W114" i="88"/>
  <c r="X22" i="88" s="1"/>
  <c r="X60" i="88"/>
  <c r="AC115" i="109"/>
  <c r="AB87" i="109" l="1"/>
  <c r="AB114" i="109" s="1"/>
  <c r="AC22" i="109" s="1"/>
  <c r="AC117" i="88"/>
  <c r="Z115" i="88"/>
  <c r="AA23" i="88" s="1"/>
  <c r="AA88" i="88" s="1"/>
  <c r="AA61" i="88"/>
  <c r="AB62" i="88"/>
  <c r="AA116" i="88"/>
  <c r="AB24" i="88" s="1"/>
  <c r="AB89" i="88" s="1"/>
  <c r="Y60" i="88"/>
  <c r="X87" i="88"/>
  <c r="X114" i="88" s="1"/>
  <c r="Y22" i="88" s="1"/>
  <c r="AC60" i="109"/>
  <c r="AC87" i="109" l="1"/>
  <c r="AC114" i="109" s="1"/>
  <c r="Y87" i="88"/>
  <c r="Y114" i="88" s="1"/>
  <c r="Z22" i="88" s="1"/>
  <c r="AA115" i="88"/>
  <c r="AB23" i="88" s="1"/>
  <c r="AB88" i="88" s="1"/>
  <c r="AB61" i="88"/>
  <c r="AB116" i="88"/>
  <c r="AC24" i="88" s="1"/>
  <c r="AC89" i="88" s="1"/>
  <c r="AC62" i="88"/>
  <c r="Z60" i="88"/>
  <c r="Z87" i="88" l="1"/>
  <c r="AB115" i="88"/>
  <c r="AC23" i="88" s="1"/>
  <c r="AC88" i="88" s="1"/>
  <c r="AC61" i="88"/>
  <c r="AC115" i="88" s="1"/>
  <c r="AA60" i="88"/>
  <c r="Z114" i="88"/>
  <c r="AA22" i="88" s="1"/>
  <c r="AC116" i="88"/>
  <c r="AB60" i="88" l="1"/>
  <c r="AA87" i="88"/>
  <c r="AA114" i="88" s="1"/>
  <c r="AB22" i="88" s="1"/>
  <c r="AB87" i="88" l="1"/>
  <c r="AB114" i="88"/>
  <c r="AC22" i="88" s="1"/>
  <c r="AC60" i="88"/>
  <c r="AC87" i="88" l="1"/>
  <c r="AC114" i="88" s="1"/>
  <c r="J53" i="69" l="1"/>
  <c r="K53" i="69"/>
  <c r="L53" i="69"/>
  <c r="M53" i="69"/>
  <c r="AE7" i="95"/>
  <c r="AE8" i="95"/>
  <c r="O11" i="68"/>
  <c r="S11" i="68"/>
  <c r="T11" i="68"/>
  <c r="O12" i="68"/>
  <c r="S12" i="68"/>
  <c r="T12" i="68"/>
  <c r="O14" i="68"/>
  <c r="S14" i="68"/>
  <c r="T14" i="68"/>
  <c r="O15" i="68"/>
  <c r="S15" i="68"/>
  <c r="T15" i="68"/>
  <c r="O16" i="68"/>
  <c r="S16" i="68"/>
  <c r="T16" i="68"/>
  <c r="O19" i="68"/>
  <c r="S19" i="68"/>
  <c r="T19" i="68"/>
  <c r="O20" i="68"/>
  <c r="S20" i="68"/>
  <c r="T20" i="68"/>
  <c r="O22" i="68"/>
  <c r="S22" i="68"/>
  <c r="T22" i="68"/>
  <c r="O23" i="68"/>
  <c r="S23" i="68"/>
  <c r="T23" i="68"/>
  <c r="O24" i="68"/>
  <c r="S24" i="68"/>
  <c r="T24" i="68"/>
  <c r="O37" i="68"/>
  <c r="S37" i="68"/>
  <c r="T37" i="68"/>
  <c r="O38" i="68"/>
  <c r="S38" i="68"/>
  <c r="T38" i="68"/>
  <c r="I52" i="112"/>
  <c r="J52" i="112"/>
  <c r="I53" i="112"/>
  <c r="J53" i="112"/>
  <c r="I54" i="112"/>
  <c r="J54" i="112"/>
  <c r="I55" i="112"/>
  <c r="J55" i="112"/>
  <c r="I56" i="112"/>
  <c r="J56" i="112"/>
  <c r="I57" i="112"/>
  <c r="J57" i="112"/>
  <c r="I58" i="112"/>
  <c r="J58" i="112"/>
  <c r="I59" i="112"/>
  <c r="J59" i="112"/>
  <c r="I60" i="112"/>
  <c r="J60" i="112"/>
  <c r="I61" i="112"/>
  <c r="J61" i="112"/>
  <c r="I64" i="112"/>
  <c r="J64" i="112"/>
  <c r="I65" i="112"/>
  <c r="J65" i="112"/>
  <c r="I66" i="112"/>
  <c r="J66" i="112"/>
  <c r="I67" i="112"/>
  <c r="J67" i="112"/>
  <c r="I68" i="112"/>
  <c r="J68" i="112"/>
  <c r="I69" i="112"/>
  <c r="J69" i="112"/>
  <c r="I70" i="112"/>
  <c r="J70" i="112"/>
  <c r="I71" i="112"/>
  <c r="J71" i="112"/>
  <c r="I72" i="112"/>
  <c r="J72" i="112"/>
  <c r="I73" i="112"/>
  <c r="J73" i="112"/>
  <c r="I84" i="112"/>
  <c r="I85" i="112"/>
  <c r="I86" i="112"/>
  <c r="I87" i="112"/>
  <c r="I88" i="112"/>
  <c r="I89" i="112"/>
  <c r="I92" i="112"/>
  <c r="I93" i="112"/>
  <c r="I94" i="112"/>
  <c r="I95" i="112"/>
  <c r="I98" i="112"/>
  <c r="I99" i="112"/>
  <c r="I100" i="112"/>
  <c r="I101" i="112"/>
  <c r="I104" i="112"/>
  <c r="J104" i="112"/>
  <c r="I105" i="112"/>
  <c r="J105" i="112"/>
  <c r="I106" i="112"/>
  <c r="J106" i="112"/>
  <c r="I107" i="112"/>
  <c r="J107" i="112"/>
  <c r="I108" i="112"/>
  <c r="J108" i="112"/>
  <c r="I109" i="112"/>
  <c r="J109" i="112"/>
  <c r="I110" i="112"/>
  <c r="J110" i="112"/>
  <c r="I111" i="112"/>
  <c r="J111" i="112"/>
  <c r="I112" i="112"/>
  <c r="J112" i="112"/>
  <c r="I113" i="112"/>
  <c r="J113" i="112"/>
  <c r="I115" i="112"/>
  <c r="J115" i="112"/>
  <c r="I140" i="112"/>
  <c r="J140" i="112"/>
  <c r="I157" i="112"/>
  <c r="J157" i="112"/>
  <c r="I170" i="112"/>
  <c r="J170" i="112"/>
  <c r="I194" i="112"/>
  <c r="J194" i="112"/>
  <c r="I218" i="112"/>
  <c r="J218" i="112"/>
  <c r="I232" i="112"/>
  <c r="J232" i="112"/>
  <c r="I233" i="112"/>
  <c r="J233" i="112"/>
  <c r="R15" i="88"/>
  <c r="S15" i="88"/>
  <c r="T15" i="88"/>
  <c r="U15" i="88"/>
  <c r="V15" i="88"/>
  <c r="W15" i="88"/>
  <c r="X15" i="88"/>
  <c r="Y15" i="88"/>
  <c r="Z15" i="88"/>
  <c r="AA15" i="88"/>
  <c r="AB15" i="88"/>
  <c r="AC15" i="88"/>
  <c r="R17" i="88"/>
  <c r="S17" i="88"/>
  <c r="T17" i="88"/>
  <c r="U17" i="88"/>
  <c r="V17" i="88"/>
  <c r="W17" i="88"/>
  <c r="X17" i="88"/>
  <c r="Y17" i="88"/>
  <c r="Z17" i="88"/>
  <c r="AA17" i="88"/>
  <c r="AB17" i="88"/>
  <c r="AC17" i="88"/>
  <c r="R18" i="88"/>
  <c r="S18" i="88"/>
  <c r="T18" i="88"/>
  <c r="U18" i="88"/>
  <c r="V18" i="88"/>
  <c r="W18" i="88"/>
  <c r="X18" i="88"/>
  <c r="Y18" i="88"/>
  <c r="Z18" i="88"/>
  <c r="AA18" i="88"/>
  <c r="AB18" i="88"/>
  <c r="AC18" i="88"/>
  <c r="R19" i="88"/>
  <c r="S19" i="88"/>
  <c r="T19" i="88"/>
  <c r="U19" i="88"/>
  <c r="V19" i="88"/>
  <c r="W19" i="88"/>
  <c r="X19" i="88"/>
  <c r="Y19" i="88"/>
  <c r="Z19" i="88"/>
  <c r="AA19" i="88"/>
  <c r="AB19" i="88"/>
  <c r="AC19" i="88"/>
  <c r="R35" i="88"/>
  <c r="S35" i="88"/>
  <c r="T35" i="88"/>
  <c r="U35" i="88"/>
  <c r="V35" i="88"/>
  <c r="W35" i="88"/>
  <c r="X35" i="88"/>
  <c r="Y35" i="88"/>
  <c r="Z35" i="88"/>
  <c r="AA35" i="88"/>
  <c r="AB35" i="88"/>
  <c r="AC35" i="88"/>
  <c r="S36" i="88"/>
  <c r="T36" i="88"/>
  <c r="U36" i="88"/>
  <c r="V36" i="88"/>
  <c r="W36" i="88"/>
  <c r="X36" i="88"/>
  <c r="Y36" i="88"/>
  <c r="Z36" i="88"/>
  <c r="AA36" i="88"/>
  <c r="AB36" i="88"/>
  <c r="AC36" i="88"/>
  <c r="T37" i="88"/>
  <c r="U37" i="88"/>
  <c r="V37" i="88"/>
  <c r="W37" i="88"/>
  <c r="X37" i="88"/>
  <c r="Y37" i="88"/>
  <c r="Z37" i="88"/>
  <c r="AA37" i="88"/>
  <c r="AB37" i="88"/>
  <c r="AC37" i="88"/>
  <c r="U38" i="88"/>
  <c r="V38" i="88"/>
  <c r="W38" i="88"/>
  <c r="X38" i="88"/>
  <c r="Y38" i="88"/>
  <c r="Z38" i="88"/>
  <c r="AA38" i="88"/>
  <c r="AB38" i="88"/>
  <c r="AC38" i="88"/>
  <c r="V39" i="88"/>
  <c r="W39" i="88"/>
  <c r="X39" i="88"/>
  <c r="Y39" i="88"/>
  <c r="Z39" i="88"/>
  <c r="AA39" i="88"/>
  <c r="AB39" i="88"/>
  <c r="AC39" i="88"/>
  <c r="W40" i="88"/>
  <c r="X40" i="88"/>
  <c r="Y40" i="88"/>
  <c r="Z40" i="88"/>
  <c r="AA40" i="88"/>
  <c r="AB40" i="88"/>
  <c r="AC40" i="88"/>
  <c r="X41" i="88"/>
  <c r="Y41" i="88"/>
  <c r="Z41" i="88"/>
  <c r="AA41" i="88"/>
  <c r="AB41" i="88"/>
  <c r="AC41" i="88"/>
  <c r="Y42" i="88"/>
  <c r="Z42" i="88"/>
  <c r="AA42" i="88"/>
  <c r="AB42" i="88"/>
  <c r="AC42" i="88"/>
  <c r="Z43" i="88"/>
  <c r="AA43" i="88"/>
  <c r="AB43" i="88"/>
  <c r="AC43" i="88"/>
  <c r="AA44" i="88"/>
  <c r="AB44" i="88"/>
  <c r="AC44" i="88"/>
  <c r="AB45" i="88"/>
  <c r="AC45" i="88"/>
  <c r="AC46" i="88"/>
  <c r="R47" i="88"/>
  <c r="S47" i="88"/>
  <c r="T47" i="88"/>
  <c r="U47" i="88"/>
  <c r="V47" i="88"/>
  <c r="W47" i="88"/>
  <c r="X47" i="88"/>
  <c r="Y47" i="88"/>
  <c r="Z47" i="88"/>
  <c r="AA47" i="88"/>
  <c r="AB47" i="88"/>
  <c r="AC47" i="88"/>
  <c r="R55" i="88"/>
  <c r="S55" i="88"/>
  <c r="T55" i="88"/>
  <c r="U55" i="88"/>
  <c r="V55" i="88"/>
  <c r="W55" i="88"/>
  <c r="X55" i="88"/>
  <c r="Y55" i="88"/>
  <c r="Z55" i="88"/>
  <c r="AA55" i="88"/>
  <c r="AB55" i="88"/>
  <c r="AC55" i="88"/>
  <c r="R56" i="88"/>
  <c r="S56" i="88"/>
  <c r="T56" i="88"/>
  <c r="U56" i="88"/>
  <c r="V56" i="88"/>
  <c r="W56" i="88"/>
  <c r="X56" i="88"/>
  <c r="Y56" i="88"/>
  <c r="Z56" i="88"/>
  <c r="AA56" i="88"/>
  <c r="AB56" i="88"/>
  <c r="AC56" i="88"/>
  <c r="R57" i="88"/>
  <c r="S57" i="88"/>
  <c r="T57" i="88"/>
  <c r="U57" i="88"/>
  <c r="V57" i="88"/>
  <c r="W57" i="88"/>
  <c r="X57" i="88"/>
  <c r="Y57" i="88"/>
  <c r="Z57" i="88"/>
  <c r="AA57" i="88"/>
  <c r="AB57" i="88"/>
  <c r="AC57" i="88"/>
  <c r="R73" i="88"/>
  <c r="S73" i="88"/>
  <c r="T73" i="88"/>
  <c r="U73" i="88"/>
  <c r="V73" i="88"/>
  <c r="W73" i="88"/>
  <c r="X73" i="88"/>
  <c r="Y73" i="88"/>
  <c r="Z73" i="88"/>
  <c r="AA73" i="88"/>
  <c r="AB73" i="88"/>
  <c r="AC73" i="88"/>
  <c r="S74" i="88"/>
  <c r="T74" i="88"/>
  <c r="U74" i="88"/>
  <c r="V74" i="88"/>
  <c r="W74" i="88"/>
  <c r="X74" i="88"/>
  <c r="Y74" i="88"/>
  <c r="Z74" i="88"/>
  <c r="AA74" i="88"/>
  <c r="AB74" i="88"/>
  <c r="AC74" i="88"/>
  <c r="T75" i="88"/>
  <c r="U75" i="88"/>
  <c r="V75" i="88"/>
  <c r="W75" i="88"/>
  <c r="X75" i="88"/>
  <c r="Y75" i="88"/>
  <c r="Z75" i="88"/>
  <c r="AA75" i="88"/>
  <c r="AB75" i="88"/>
  <c r="AC75" i="88"/>
  <c r="U76" i="88"/>
  <c r="V76" i="88"/>
  <c r="W76" i="88"/>
  <c r="X76" i="88"/>
  <c r="Y76" i="88"/>
  <c r="Z76" i="88"/>
  <c r="AA76" i="88"/>
  <c r="AB76" i="88"/>
  <c r="AC76" i="88"/>
  <c r="V77" i="88"/>
  <c r="W77" i="88"/>
  <c r="X77" i="88"/>
  <c r="Y77" i="88"/>
  <c r="Z77" i="88"/>
  <c r="AA77" i="88"/>
  <c r="AB77" i="88"/>
  <c r="AC77" i="88"/>
  <c r="W78" i="88"/>
  <c r="X78" i="88"/>
  <c r="Y78" i="88"/>
  <c r="Z78" i="88"/>
  <c r="AA78" i="88"/>
  <c r="AB78" i="88"/>
  <c r="AC78" i="88"/>
  <c r="X79" i="88"/>
  <c r="Y79" i="88"/>
  <c r="Z79" i="88"/>
  <c r="AA79" i="88"/>
  <c r="AB79" i="88"/>
  <c r="AC79" i="88"/>
  <c r="Y80" i="88"/>
  <c r="Z80" i="88"/>
  <c r="AA80" i="88"/>
  <c r="AB80" i="88"/>
  <c r="AC80" i="88"/>
  <c r="Z81" i="88"/>
  <c r="AA81" i="88"/>
  <c r="AB81" i="88"/>
  <c r="AC81" i="88"/>
  <c r="AA82" i="88"/>
  <c r="AB82" i="88"/>
  <c r="AC82" i="88"/>
  <c r="AB83" i="88"/>
  <c r="AC83" i="88"/>
  <c r="AC84" i="88"/>
  <c r="R100" i="88"/>
  <c r="S100" i="88"/>
  <c r="T100" i="88"/>
  <c r="U100" i="88"/>
  <c r="V100" i="88"/>
  <c r="W100" i="88"/>
  <c r="X100" i="88"/>
  <c r="Y100" i="88"/>
  <c r="Z100" i="88"/>
  <c r="AA100" i="88"/>
  <c r="AB100" i="88"/>
  <c r="AC100" i="88"/>
  <c r="S101" i="88"/>
  <c r="T101" i="88"/>
  <c r="U101" i="88"/>
  <c r="V101" i="88"/>
  <c r="W101" i="88"/>
  <c r="X101" i="88"/>
  <c r="Y101" i="88"/>
  <c r="Z101" i="88"/>
  <c r="AA101" i="88"/>
  <c r="AB101" i="88"/>
  <c r="AC101" i="88"/>
  <c r="T102" i="88"/>
  <c r="U102" i="88"/>
  <c r="V102" i="88"/>
  <c r="W102" i="88"/>
  <c r="X102" i="88"/>
  <c r="Y102" i="88"/>
  <c r="Z102" i="88"/>
  <c r="AA102" i="88"/>
  <c r="AB102" i="88"/>
  <c r="AC102" i="88"/>
  <c r="U103" i="88"/>
  <c r="V103" i="88"/>
  <c r="W103" i="88"/>
  <c r="X103" i="88"/>
  <c r="Y103" i="88"/>
  <c r="Z103" i="88"/>
  <c r="AA103" i="88"/>
  <c r="AB103" i="88"/>
  <c r="AC103" i="88"/>
  <c r="V104" i="88"/>
  <c r="W104" i="88"/>
  <c r="X104" i="88"/>
  <c r="Y104" i="88"/>
  <c r="Z104" i="88"/>
  <c r="AA104" i="88"/>
  <c r="AB104" i="88"/>
  <c r="AC104" i="88"/>
  <c r="W105" i="88"/>
  <c r="X105" i="88"/>
  <c r="Y105" i="88"/>
  <c r="Z105" i="88"/>
  <c r="AA105" i="88"/>
  <c r="AB105" i="88"/>
  <c r="AC105" i="88"/>
  <c r="X106" i="88"/>
  <c r="Y106" i="88"/>
  <c r="Z106" i="88"/>
  <c r="AA106" i="88"/>
  <c r="AB106" i="88"/>
  <c r="AC106" i="88"/>
  <c r="Y107" i="88"/>
  <c r="Z107" i="88"/>
  <c r="AA107" i="88"/>
  <c r="AB107" i="88"/>
  <c r="AC107" i="88"/>
  <c r="Z108" i="88"/>
  <c r="AA108" i="88"/>
  <c r="AB108" i="88"/>
  <c r="AC108" i="88"/>
  <c r="AA109" i="88"/>
  <c r="AB109" i="88"/>
  <c r="AC109" i="88"/>
  <c r="AB110" i="88"/>
  <c r="AC110" i="88"/>
  <c r="AC111" i="88"/>
  <c r="R127" i="88"/>
  <c r="S127" i="88"/>
  <c r="T127" i="88"/>
  <c r="U127" i="88"/>
  <c r="V127" i="88"/>
  <c r="W127" i="88"/>
  <c r="X127" i="88"/>
  <c r="Y127" i="88"/>
  <c r="Z127" i="88"/>
  <c r="AA127" i="88"/>
  <c r="AB127" i="88"/>
  <c r="AC127" i="88"/>
  <c r="S128" i="88"/>
  <c r="T128" i="88"/>
  <c r="U128" i="88"/>
  <c r="V128" i="88"/>
  <c r="W128" i="88"/>
  <c r="X128" i="88"/>
  <c r="Y128" i="88"/>
  <c r="Z128" i="88"/>
  <c r="AA128" i="88"/>
  <c r="AB128" i="88"/>
  <c r="AC128" i="88"/>
  <c r="T129" i="88"/>
  <c r="U129" i="88"/>
  <c r="V129" i="88"/>
  <c r="W129" i="88"/>
  <c r="X129" i="88"/>
  <c r="Y129" i="88"/>
  <c r="Z129" i="88"/>
  <c r="AA129" i="88"/>
  <c r="AB129" i="88"/>
  <c r="AC129" i="88"/>
  <c r="U130" i="88"/>
  <c r="V130" i="88"/>
  <c r="W130" i="88"/>
  <c r="X130" i="88"/>
  <c r="Y130" i="88"/>
  <c r="Z130" i="88"/>
  <c r="AA130" i="88"/>
  <c r="AB130" i="88"/>
  <c r="AC130" i="88"/>
  <c r="V131" i="88"/>
  <c r="W131" i="88"/>
  <c r="X131" i="88"/>
  <c r="Y131" i="88"/>
  <c r="Z131" i="88"/>
  <c r="AA131" i="88"/>
  <c r="AB131" i="88"/>
  <c r="AC131" i="88"/>
  <c r="W132" i="88"/>
  <c r="X132" i="88"/>
  <c r="Y132" i="88"/>
  <c r="Z132" i="88"/>
  <c r="AA132" i="88"/>
  <c r="AB132" i="88"/>
  <c r="AC132" i="88"/>
  <c r="X133" i="88"/>
  <c r="Y133" i="88"/>
  <c r="Z133" i="88"/>
  <c r="AA133" i="88"/>
  <c r="AB133" i="88"/>
  <c r="AC133" i="88"/>
  <c r="Y134" i="88"/>
  <c r="Z134" i="88"/>
  <c r="AA134" i="88"/>
  <c r="AB134" i="88"/>
  <c r="AC134" i="88"/>
  <c r="Z135" i="88"/>
  <c r="AA135" i="88"/>
  <c r="AB135" i="88"/>
  <c r="AC135" i="88"/>
  <c r="AA136" i="88"/>
  <c r="AB136" i="88"/>
  <c r="AC136" i="88"/>
  <c r="AB137" i="88"/>
  <c r="AC137" i="88"/>
  <c r="AC138" i="88"/>
  <c r="R149" i="88"/>
  <c r="S149" i="88"/>
  <c r="T149" i="88"/>
  <c r="U149" i="88"/>
  <c r="V149" i="88"/>
  <c r="W149" i="88"/>
  <c r="X149" i="88"/>
  <c r="Y149" i="88"/>
  <c r="Z149" i="88"/>
  <c r="AA149" i="88"/>
  <c r="AB149" i="88"/>
  <c r="AC149" i="88"/>
  <c r="R150" i="88"/>
  <c r="S150" i="88"/>
  <c r="T150" i="88"/>
  <c r="U150" i="88"/>
  <c r="V150" i="88"/>
  <c r="W150" i="88"/>
  <c r="X150" i="88"/>
  <c r="Y150" i="88"/>
  <c r="Z150" i="88"/>
  <c r="AA150" i="88"/>
  <c r="AB150" i="88"/>
  <c r="AC150" i="88"/>
  <c r="S152" i="88"/>
  <c r="T152" i="88"/>
  <c r="U152" i="88"/>
  <c r="V152" i="88"/>
  <c r="W152" i="88"/>
  <c r="X152" i="88"/>
  <c r="Y152" i="88"/>
  <c r="Z152" i="88"/>
  <c r="AA152" i="88"/>
  <c r="AB152" i="88"/>
  <c r="AC152" i="88"/>
  <c r="R153" i="88"/>
  <c r="S153" i="88"/>
  <c r="T153" i="88"/>
  <c r="U153" i="88"/>
  <c r="V153" i="88"/>
  <c r="W153" i="88"/>
  <c r="X153" i="88"/>
  <c r="Y153" i="88"/>
  <c r="Z153" i="88"/>
  <c r="AA153" i="88"/>
  <c r="AB153" i="88"/>
  <c r="AC153" i="88"/>
  <c r="S155" i="88"/>
  <c r="T155" i="88"/>
  <c r="U155" i="88"/>
  <c r="V155" i="88"/>
  <c r="W155" i="88"/>
  <c r="X155" i="88"/>
  <c r="Y155" i="88"/>
  <c r="Z155" i="88"/>
  <c r="AA155" i="88"/>
  <c r="AB155" i="88"/>
  <c r="AC155" i="88"/>
  <c r="R156" i="88"/>
  <c r="S156" i="88"/>
  <c r="T156" i="88"/>
  <c r="U156" i="88"/>
  <c r="V156" i="88"/>
  <c r="W156" i="88"/>
  <c r="X156" i="88"/>
  <c r="Y156" i="88"/>
  <c r="Z156" i="88"/>
  <c r="AA156" i="88"/>
  <c r="AB156" i="88"/>
  <c r="AC156" i="88"/>
  <c r="R159" i="88"/>
  <c r="S159" i="88"/>
  <c r="T159" i="88"/>
  <c r="U159" i="88"/>
  <c r="V159" i="88"/>
  <c r="W159" i="88"/>
  <c r="X159" i="88"/>
  <c r="Y159" i="88"/>
  <c r="Z159" i="88"/>
  <c r="AA159" i="88"/>
  <c r="AB159" i="88"/>
  <c r="AC159" i="88"/>
  <c r="S161" i="88"/>
  <c r="T161" i="88"/>
  <c r="U161" i="88"/>
  <c r="V161" i="88"/>
  <c r="W161" i="88"/>
  <c r="X161" i="88"/>
  <c r="Y161" i="88"/>
  <c r="Z161" i="88"/>
  <c r="AA161" i="88"/>
  <c r="AB161" i="88"/>
  <c r="AC161" i="88"/>
  <c r="R162" i="88"/>
  <c r="S162" i="88"/>
  <c r="T162" i="88"/>
  <c r="U162" i="88"/>
  <c r="V162" i="88"/>
  <c r="W162" i="88"/>
  <c r="X162" i="88"/>
  <c r="Y162" i="88"/>
  <c r="Z162" i="88"/>
  <c r="AA162" i="88"/>
  <c r="AB162" i="88"/>
  <c r="AC162" i="88"/>
  <c r="S163" i="88"/>
  <c r="T163" i="88"/>
  <c r="U163" i="88"/>
  <c r="V163" i="88"/>
  <c r="W163" i="88"/>
  <c r="X163" i="88"/>
  <c r="Y163" i="88"/>
  <c r="Z163" i="88"/>
  <c r="AA163" i="88"/>
  <c r="AB163" i="88"/>
  <c r="AC163" i="88"/>
  <c r="R164" i="88"/>
  <c r="S164" i="88"/>
  <c r="T164" i="88"/>
  <c r="U164" i="88"/>
  <c r="V164" i="88"/>
  <c r="W164" i="88"/>
  <c r="X164" i="88"/>
  <c r="Y164" i="88"/>
  <c r="Z164" i="88"/>
  <c r="AA164" i="88"/>
  <c r="AB164" i="88"/>
  <c r="AC164" i="88"/>
  <c r="R167" i="88"/>
  <c r="S167" i="88"/>
  <c r="T167" i="88"/>
  <c r="U167" i="88"/>
  <c r="V167" i="88"/>
  <c r="W167" i="88"/>
  <c r="X167" i="88"/>
  <c r="Y167" i="88"/>
  <c r="Z167" i="88"/>
  <c r="AA167" i="88"/>
  <c r="AB167" i="88"/>
  <c r="AC167" i="88"/>
  <c r="R168" i="88"/>
  <c r="S168" i="88"/>
  <c r="T168" i="88"/>
  <c r="U168" i="88"/>
  <c r="V168" i="88"/>
  <c r="W168" i="88"/>
  <c r="X168" i="88"/>
  <c r="Y168" i="88"/>
  <c r="Z168" i="88"/>
  <c r="AA168" i="88"/>
  <c r="AB168" i="88"/>
  <c r="AC168" i="88"/>
  <c r="R169" i="88"/>
  <c r="S169" i="88"/>
  <c r="T169" i="88"/>
  <c r="U169" i="88"/>
  <c r="V169" i="88"/>
  <c r="W169" i="88"/>
  <c r="X169" i="88"/>
  <c r="Y169" i="88"/>
  <c r="Z169" i="88"/>
  <c r="AA169" i="88"/>
  <c r="AB169" i="88"/>
  <c r="AC169" i="88"/>
  <c r="S171" i="88"/>
  <c r="T171" i="88"/>
  <c r="U171" i="88"/>
  <c r="V171" i="88"/>
  <c r="W171" i="88"/>
  <c r="X171" i="88"/>
  <c r="Y171" i="88"/>
  <c r="Z171" i="88"/>
  <c r="AA171" i="88"/>
  <c r="AB171" i="88"/>
  <c r="AC171" i="88"/>
  <c r="R172" i="88"/>
  <c r="S172" i="88"/>
  <c r="T172" i="88"/>
  <c r="U172" i="88"/>
  <c r="V172" i="88"/>
  <c r="W172" i="88"/>
  <c r="X172" i="88"/>
  <c r="Y172" i="88"/>
  <c r="Z172" i="88"/>
  <c r="AA172" i="88"/>
  <c r="AB172" i="88"/>
  <c r="AC172" i="88"/>
  <c r="R174" i="88"/>
  <c r="S174" i="88"/>
  <c r="T174" i="88"/>
  <c r="U174" i="88"/>
  <c r="V174" i="88"/>
  <c r="W174" i="88"/>
  <c r="X174" i="88"/>
  <c r="Y174" i="88"/>
  <c r="Z174" i="88"/>
  <c r="AA174" i="88"/>
  <c r="AB174" i="88"/>
  <c r="AC174" i="88"/>
  <c r="R175" i="88"/>
  <c r="S175" i="88"/>
  <c r="T175" i="88"/>
  <c r="U175" i="88"/>
  <c r="V175" i="88"/>
  <c r="W175" i="88"/>
  <c r="X175" i="88"/>
  <c r="Y175" i="88"/>
  <c r="Z175" i="88"/>
  <c r="AA175" i="88"/>
  <c r="AB175" i="88"/>
  <c r="AC175" i="88"/>
  <c r="R176" i="88"/>
  <c r="S176" i="88"/>
  <c r="T176" i="88"/>
  <c r="U176" i="88"/>
  <c r="V176" i="88"/>
  <c r="W176" i="88"/>
  <c r="X176" i="88"/>
  <c r="Y176" i="88"/>
  <c r="Z176" i="88"/>
  <c r="AA176" i="88"/>
  <c r="AB176" i="88"/>
  <c r="AC176" i="88"/>
  <c r="R185" i="88"/>
  <c r="S185" i="88"/>
  <c r="T185" i="88"/>
  <c r="U185" i="88"/>
  <c r="V185" i="88"/>
  <c r="W185" i="88"/>
  <c r="X185" i="88"/>
  <c r="Y185" i="88"/>
  <c r="Z185" i="88"/>
  <c r="AA185" i="88"/>
  <c r="AB185" i="88"/>
  <c r="AC185" i="88"/>
  <c r="R186" i="88"/>
  <c r="S186" i="88"/>
  <c r="T186" i="88"/>
  <c r="U186" i="88"/>
  <c r="V186" i="88"/>
  <c r="W186" i="88"/>
  <c r="X186" i="88"/>
  <c r="Y186" i="88"/>
  <c r="Z186" i="88"/>
  <c r="AA186" i="88"/>
  <c r="AB186" i="88"/>
  <c r="AC186" i="88"/>
  <c r="R187" i="88"/>
  <c r="S187" i="88"/>
  <c r="T187" i="88"/>
  <c r="U187" i="88"/>
  <c r="V187" i="88"/>
  <c r="W187" i="88"/>
  <c r="X187" i="88"/>
  <c r="Y187" i="88"/>
  <c r="Z187" i="88"/>
  <c r="AA187" i="88"/>
  <c r="AB187" i="88"/>
  <c r="AC187" i="88"/>
  <c r="R15" i="109"/>
  <c r="S15" i="109"/>
  <c r="T15" i="109"/>
  <c r="U15" i="109"/>
  <c r="V15" i="109"/>
  <c r="W15" i="109"/>
  <c r="X15" i="109"/>
  <c r="Y15" i="109"/>
  <c r="Z15" i="109"/>
  <c r="AA15" i="109"/>
  <c r="AB15" i="109"/>
  <c r="AC15" i="109"/>
  <c r="R17" i="109"/>
  <c r="S17" i="109"/>
  <c r="T17" i="109"/>
  <c r="U17" i="109"/>
  <c r="V17" i="109"/>
  <c r="W17" i="109"/>
  <c r="X17" i="109"/>
  <c r="Y17" i="109"/>
  <c r="Z17" i="109"/>
  <c r="AA17" i="109"/>
  <c r="AB17" i="109"/>
  <c r="AC17" i="109"/>
  <c r="R18" i="109"/>
  <c r="S18" i="109"/>
  <c r="T18" i="109"/>
  <c r="U18" i="109"/>
  <c r="V18" i="109"/>
  <c r="W18" i="109"/>
  <c r="X18" i="109"/>
  <c r="Y18" i="109"/>
  <c r="Z18" i="109"/>
  <c r="AA18" i="109"/>
  <c r="AB18" i="109"/>
  <c r="AC18" i="109"/>
  <c r="R19" i="109"/>
  <c r="S19" i="109"/>
  <c r="T19" i="109"/>
  <c r="U19" i="109"/>
  <c r="V19" i="109"/>
  <c r="W19" i="109"/>
  <c r="X19" i="109"/>
  <c r="Y19" i="109"/>
  <c r="Z19" i="109"/>
  <c r="AA19" i="109"/>
  <c r="AB19" i="109"/>
  <c r="AC19" i="109"/>
  <c r="R35" i="109"/>
  <c r="S35" i="109"/>
  <c r="T35" i="109"/>
  <c r="U35" i="109"/>
  <c r="V35" i="109"/>
  <c r="W35" i="109"/>
  <c r="X35" i="109"/>
  <c r="Y35" i="109"/>
  <c r="Z35" i="109"/>
  <c r="AA35" i="109"/>
  <c r="AB35" i="109"/>
  <c r="AC35" i="109"/>
  <c r="S36" i="109"/>
  <c r="T36" i="109"/>
  <c r="U36" i="109"/>
  <c r="V36" i="109"/>
  <c r="W36" i="109"/>
  <c r="X36" i="109"/>
  <c r="Y36" i="109"/>
  <c r="Z36" i="109"/>
  <c r="AA36" i="109"/>
  <c r="AB36" i="109"/>
  <c r="AC36" i="109"/>
  <c r="T37" i="109"/>
  <c r="U37" i="109"/>
  <c r="V37" i="109"/>
  <c r="W37" i="109"/>
  <c r="X37" i="109"/>
  <c r="Y37" i="109"/>
  <c r="Z37" i="109"/>
  <c r="AA37" i="109"/>
  <c r="AB37" i="109"/>
  <c r="AC37" i="109"/>
  <c r="U38" i="109"/>
  <c r="V38" i="109"/>
  <c r="W38" i="109"/>
  <c r="X38" i="109"/>
  <c r="Y38" i="109"/>
  <c r="Z38" i="109"/>
  <c r="AA38" i="109"/>
  <c r="AB38" i="109"/>
  <c r="AC38" i="109"/>
  <c r="V39" i="109"/>
  <c r="W39" i="109"/>
  <c r="X39" i="109"/>
  <c r="Y39" i="109"/>
  <c r="Z39" i="109"/>
  <c r="AA39" i="109"/>
  <c r="AB39" i="109"/>
  <c r="AC39" i="109"/>
  <c r="W40" i="109"/>
  <c r="X40" i="109"/>
  <c r="Y40" i="109"/>
  <c r="Z40" i="109"/>
  <c r="AA40" i="109"/>
  <c r="AB40" i="109"/>
  <c r="AC40" i="109"/>
  <c r="X41" i="109"/>
  <c r="Y41" i="109"/>
  <c r="Z41" i="109"/>
  <c r="AA41" i="109"/>
  <c r="AB41" i="109"/>
  <c r="AC41" i="109"/>
  <c r="Y42" i="109"/>
  <c r="Z42" i="109"/>
  <c r="AA42" i="109"/>
  <c r="AB42" i="109"/>
  <c r="AC42" i="109"/>
  <c r="Z43" i="109"/>
  <c r="AA43" i="109"/>
  <c r="AB43" i="109"/>
  <c r="AC43" i="109"/>
  <c r="AA44" i="109"/>
  <c r="AB44" i="109"/>
  <c r="AC44" i="109"/>
  <c r="AB45" i="109"/>
  <c r="AC45" i="109"/>
  <c r="AC46" i="109"/>
  <c r="R47" i="109"/>
  <c r="S47" i="109"/>
  <c r="T47" i="109"/>
  <c r="U47" i="109"/>
  <c r="V47" i="109"/>
  <c r="W47" i="109"/>
  <c r="X47" i="109"/>
  <c r="Y47" i="109"/>
  <c r="Z47" i="109"/>
  <c r="AA47" i="109"/>
  <c r="AB47" i="109"/>
  <c r="AC47" i="109"/>
  <c r="R55" i="109"/>
  <c r="S55" i="109"/>
  <c r="T55" i="109"/>
  <c r="U55" i="109"/>
  <c r="V55" i="109"/>
  <c r="W55" i="109"/>
  <c r="X55" i="109"/>
  <c r="Y55" i="109"/>
  <c r="Z55" i="109"/>
  <c r="AA55" i="109"/>
  <c r="AB55" i="109"/>
  <c r="AC55" i="109"/>
  <c r="R56" i="109"/>
  <c r="S56" i="109"/>
  <c r="T56" i="109"/>
  <c r="U56" i="109"/>
  <c r="V56" i="109"/>
  <c r="W56" i="109"/>
  <c r="X56" i="109"/>
  <c r="Y56" i="109"/>
  <c r="Z56" i="109"/>
  <c r="AA56" i="109"/>
  <c r="AB56" i="109"/>
  <c r="AC56" i="109"/>
  <c r="R57" i="109"/>
  <c r="S57" i="109"/>
  <c r="T57" i="109"/>
  <c r="U57" i="109"/>
  <c r="V57" i="109"/>
  <c r="W57" i="109"/>
  <c r="X57" i="109"/>
  <c r="Y57" i="109"/>
  <c r="Z57" i="109"/>
  <c r="AA57" i="109"/>
  <c r="AB57" i="109"/>
  <c r="AC57" i="109"/>
  <c r="R73" i="109"/>
  <c r="S73" i="109"/>
  <c r="T73" i="109"/>
  <c r="U73" i="109"/>
  <c r="V73" i="109"/>
  <c r="W73" i="109"/>
  <c r="X73" i="109"/>
  <c r="Y73" i="109"/>
  <c r="Z73" i="109"/>
  <c r="AA73" i="109"/>
  <c r="AB73" i="109"/>
  <c r="AC73" i="109"/>
  <c r="S74" i="109"/>
  <c r="T74" i="109"/>
  <c r="U74" i="109"/>
  <c r="V74" i="109"/>
  <c r="W74" i="109"/>
  <c r="X74" i="109"/>
  <c r="Y74" i="109"/>
  <c r="Z74" i="109"/>
  <c r="AA74" i="109"/>
  <c r="AB74" i="109"/>
  <c r="AC74" i="109"/>
  <c r="T75" i="109"/>
  <c r="U75" i="109"/>
  <c r="V75" i="109"/>
  <c r="W75" i="109"/>
  <c r="X75" i="109"/>
  <c r="Y75" i="109"/>
  <c r="Z75" i="109"/>
  <c r="AA75" i="109"/>
  <c r="AB75" i="109"/>
  <c r="AC75" i="109"/>
  <c r="U76" i="109"/>
  <c r="V76" i="109"/>
  <c r="W76" i="109"/>
  <c r="X76" i="109"/>
  <c r="Y76" i="109"/>
  <c r="Z76" i="109"/>
  <c r="AA76" i="109"/>
  <c r="AB76" i="109"/>
  <c r="AC76" i="109"/>
  <c r="V77" i="109"/>
  <c r="W77" i="109"/>
  <c r="X77" i="109"/>
  <c r="Y77" i="109"/>
  <c r="Z77" i="109"/>
  <c r="AA77" i="109"/>
  <c r="AB77" i="109"/>
  <c r="AC77" i="109"/>
  <c r="W78" i="109"/>
  <c r="X78" i="109"/>
  <c r="Y78" i="109"/>
  <c r="Z78" i="109"/>
  <c r="AA78" i="109"/>
  <c r="AB78" i="109"/>
  <c r="AC78" i="109"/>
  <c r="X79" i="109"/>
  <c r="Y79" i="109"/>
  <c r="Z79" i="109"/>
  <c r="AA79" i="109"/>
  <c r="AB79" i="109"/>
  <c r="AC79" i="109"/>
  <c r="Y80" i="109"/>
  <c r="Z80" i="109"/>
  <c r="AA80" i="109"/>
  <c r="AB80" i="109"/>
  <c r="AC80" i="109"/>
  <c r="Z81" i="109"/>
  <c r="AA81" i="109"/>
  <c r="AB81" i="109"/>
  <c r="AC81" i="109"/>
  <c r="AA82" i="109"/>
  <c r="AB82" i="109"/>
  <c r="AC82" i="109"/>
  <c r="AB83" i="109"/>
  <c r="AC83" i="109"/>
  <c r="AC84" i="109"/>
  <c r="R100" i="109"/>
  <c r="S100" i="109"/>
  <c r="T100" i="109"/>
  <c r="U100" i="109"/>
  <c r="V100" i="109"/>
  <c r="W100" i="109"/>
  <c r="X100" i="109"/>
  <c r="Y100" i="109"/>
  <c r="Z100" i="109"/>
  <c r="AA100" i="109"/>
  <c r="AB100" i="109"/>
  <c r="AC100" i="109"/>
  <c r="S101" i="109"/>
  <c r="T101" i="109"/>
  <c r="U101" i="109"/>
  <c r="V101" i="109"/>
  <c r="W101" i="109"/>
  <c r="X101" i="109"/>
  <c r="Y101" i="109"/>
  <c r="Z101" i="109"/>
  <c r="AA101" i="109"/>
  <c r="AB101" i="109"/>
  <c r="AC101" i="109"/>
  <c r="T102" i="109"/>
  <c r="U102" i="109"/>
  <c r="V102" i="109"/>
  <c r="W102" i="109"/>
  <c r="X102" i="109"/>
  <c r="Y102" i="109"/>
  <c r="Z102" i="109"/>
  <c r="AA102" i="109"/>
  <c r="AB102" i="109"/>
  <c r="AC102" i="109"/>
  <c r="U103" i="109"/>
  <c r="V103" i="109"/>
  <c r="W103" i="109"/>
  <c r="X103" i="109"/>
  <c r="Y103" i="109"/>
  <c r="Z103" i="109"/>
  <c r="AA103" i="109"/>
  <c r="AB103" i="109"/>
  <c r="AC103" i="109"/>
  <c r="V104" i="109"/>
  <c r="W104" i="109"/>
  <c r="X104" i="109"/>
  <c r="Y104" i="109"/>
  <c r="Z104" i="109"/>
  <c r="AA104" i="109"/>
  <c r="AB104" i="109"/>
  <c r="AC104" i="109"/>
  <c r="W105" i="109"/>
  <c r="X105" i="109"/>
  <c r="Y105" i="109"/>
  <c r="Z105" i="109"/>
  <c r="AA105" i="109"/>
  <c r="AB105" i="109"/>
  <c r="AC105" i="109"/>
  <c r="X106" i="109"/>
  <c r="Y106" i="109"/>
  <c r="Z106" i="109"/>
  <c r="AA106" i="109"/>
  <c r="AB106" i="109"/>
  <c r="AC106" i="109"/>
  <c r="Y107" i="109"/>
  <c r="Z107" i="109"/>
  <c r="AA107" i="109"/>
  <c r="AB107" i="109"/>
  <c r="AC107" i="109"/>
  <c r="Z108" i="109"/>
  <c r="AA108" i="109"/>
  <c r="AB108" i="109"/>
  <c r="AC108" i="109"/>
  <c r="AA109" i="109"/>
  <c r="AB109" i="109"/>
  <c r="AC109" i="109"/>
  <c r="AB110" i="109"/>
  <c r="AC110" i="109"/>
  <c r="AC111" i="109"/>
  <c r="R127" i="109"/>
  <c r="S127" i="109"/>
  <c r="T127" i="109"/>
  <c r="U127" i="109"/>
  <c r="V127" i="109"/>
  <c r="W127" i="109"/>
  <c r="X127" i="109"/>
  <c r="Y127" i="109"/>
  <c r="Z127" i="109"/>
  <c r="AA127" i="109"/>
  <c r="AB127" i="109"/>
  <c r="AC127" i="109"/>
  <c r="S128" i="109"/>
  <c r="T128" i="109"/>
  <c r="U128" i="109"/>
  <c r="V128" i="109"/>
  <c r="W128" i="109"/>
  <c r="X128" i="109"/>
  <c r="Y128" i="109"/>
  <c r="Z128" i="109"/>
  <c r="AA128" i="109"/>
  <c r="AB128" i="109"/>
  <c r="AC128" i="109"/>
  <c r="T129" i="109"/>
  <c r="U129" i="109"/>
  <c r="V129" i="109"/>
  <c r="W129" i="109"/>
  <c r="X129" i="109"/>
  <c r="Y129" i="109"/>
  <c r="Z129" i="109"/>
  <c r="AA129" i="109"/>
  <c r="AB129" i="109"/>
  <c r="AC129" i="109"/>
  <c r="U130" i="109"/>
  <c r="V130" i="109"/>
  <c r="W130" i="109"/>
  <c r="X130" i="109"/>
  <c r="Y130" i="109"/>
  <c r="Z130" i="109"/>
  <c r="AA130" i="109"/>
  <c r="AB130" i="109"/>
  <c r="AC130" i="109"/>
  <c r="V131" i="109"/>
  <c r="W131" i="109"/>
  <c r="X131" i="109"/>
  <c r="Y131" i="109"/>
  <c r="Z131" i="109"/>
  <c r="AA131" i="109"/>
  <c r="AB131" i="109"/>
  <c r="AC131" i="109"/>
  <c r="W132" i="109"/>
  <c r="X132" i="109"/>
  <c r="Y132" i="109"/>
  <c r="Z132" i="109"/>
  <c r="AA132" i="109"/>
  <c r="AB132" i="109"/>
  <c r="AC132" i="109"/>
  <c r="X133" i="109"/>
  <c r="Y133" i="109"/>
  <c r="Z133" i="109"/>
  <c r="AA133" i="109"/>
  <c r="AB133" i="109"/>
  <c r="AC133" i="109"/>
  <c r="Y134" i="109"/>
  <c r="Z134" i="109"/>
  <c r="AA134" i="109"/>
  <c r="AB134" i="109"/>
  <c r="AC134" i="109"/>
  <c r="Z135" i="109"/>
  <c r="AA135" i="109"/>
  <c r="AB135" i="109"/>
  <c r="AC135" i="109"/>
  <c r="AA136" i="109"/>
  <c r="AB136" i="109"/>
  <c r="AC136" i="109"/>
  <c r="AB137" i="109"/>
  <c r="AC137" i="109"/>
  <c r="AC138" i="109"/>
  <c r="R149" i="109"/>
  <c r="S149" i="109"/>
  <c r="T149" i="109"/>
  <c r="U149" i="109"/>
  <c r="V149" i="109"/>
  <c r="W149" i="109"/>
  <c r="X149" i="109"/>
  <c r="Y149" i="109"/>
  <c r="Z149" i="109"/>
  <c r="AA149" i="109"/>
  <c r="AB149" i="109"/>
  <c r="AC149" i="109"/>
  <c r="R150" i="109"/>
  <c r="S150" i="109"/>
  <c r="T150" i="109"/>
  <c r="U150" i="109"/>
  <c r="V150" i="109"/>
  <c r="W150" i="109"/>
  <c r="X150" i="109"/>
  <c r="Y150" i="109"/>
  <c r="Z150" i="109"/>
  <c r="AA150" i="109"/>
  <c r="AB150" i="109"/>
  <c r="AC150" i="109"/>
  <c r="S152" i="109"/>
  <c r="T152" i="109"/>
  <c r="U152" i="109"/>
  <c r="V152" i="109"/>
  <c r="W152" i="109"/>
  <c r="X152" i="109"/>
  <c r="Y152" i="109"/>
  <c r="Z152" i="109"/>
  <c r="AA152" i="109"/>
  <c r="AB152" i="109"/>
  <c r="AC152" i="109"/>
  <c r="R153" i="109"/>
  <c r="S153" i="109"/>
  <c r="T153" i="109"/>
  <c r="U153" i="109"/>
  <c r="V153" i="109"/>
  <c r="W153" i="109"/>
  <c r="X153" i="109"/>
  <c r="Y153" i="109"/>
  <c r="Z153" i="109"/>
  <c r="AA153" i="109"/>
  <c r="AB153" i="109"/>
  <c r="AC153" i="109"/>
  <c r="S155" i="109"/>
  <c r="T155" i="109"/>
  <c r="U155" i="109"/>
  <c r="V155" i="109"/>
  <c r="W155" i="109"/>
  <c r="X155" i="109"/>
  <c r="Y155" i="109"/>
  <c r="Z155" i="109"/>
  <c r="AA155" i="109"/>
  <c r="AB155" i="109"/>
  <c r="AC155" i="109"/>
  <c r="R156" i="109"/>
  <c r="S156" i="109"/>
  <c r="T156" i="109"/>
  <c r="U156" i="109"/>
  <c r="V156" i="109"/>
  <c r="W156" i="109"/>
  <c r="X156" i="109"/>
  <c r="Y156" i="109"/>
  <c r="Z156" i="109"/>
  <c r="AA156" i="109"/>
  <c r="AB156" i="109"/>
  <c r="AC156" i="109"/>
  <c r="R159" i="109"/>
  <c r="S159" i="109"/>
  <c r="T159" i="109"/>
  <c r="U159" i="109"/>
  <c r="V159" i="109"/>
  <c r="W159" i="109"/>
  <c r="X159" i="109"/>
  <c r="Y159" i="109"/>
  <c r="Z159" i="109"/>
  <c r="AA159" i="109"/>
  <c r="AB159" i="109"/>
  <c r="AC159" i="109"/>
  <c r="S161" i="109"/>
  <c r="T161" i="109"/>
  <c r="U161" i="109"/>
  <c r="V161" i="109"/>
  <c r="W161" i="109"/>
  <c r="X161" i="109"/>
  <c r="Y161" i="109"/>
  <c r="Z161" i="109"/>
  <c r="AA161" i="109"/>
  <c r="AB161" i="109"/>
  <c r="AC161" i="109"/>
  <c r="R162" i="109"/>
  <c r="S162" i="109"/>
  <c r="T162" i="109"/>
  <c r="U162" i="109"/>
  <c r="V162" i="109"/>
  <c r="W162" i="109"/>
  <c r="X162" i="109"/>
  <c r="Y162" i="109"/>
  <c r="Z162" i="109"/>
  <c r="AA162" i="109"/>
  <c r="AB162" i="109"/>
  <c r="AC162" i="109"/>
  <c r="S163" i="109"/>
  <c r="T163" i="109"/>
  <c r="U163" i="109"/>
  <c r="V163" i="109"/>
  <c r="W163" i="109"/>
  <c r="X163" i="109"/>
  <c r="Y163" i="109"/>
  <c r="Z163" i="109"/>
  <c r="AA163" i="109"/>
  <c r="AB163" i="109"/>
  <c r="AC163" i="109"/>
  <c r="R164" i="109"/>
  <c r="S164" i="109"/>
  <c r="T164" i="109"/>
  <c r="U164" i="109"/>
  <c r="V164" i="109"/>
  <c r="W164" i="109"/>
  <c r="X164" i="109"/>
  <c r="Y164" i="109"/>
  <c r="Z164" i="109"/>
  <c r="AA164" i="109"/>
  <c r="AB164" i="109"/>
  <c r="AC164" i="109"/>
  <c r="R167" i="109"/>
  <c r="S167" i="109"/>
  <c r="T167" i="109"/>
  <c r="U167" i="109"/>
  <c r="V167" i="109"/>
  <c r="W167" i="109"/>
  <c r="X167" i="109"/>
  <c r="Y167" i="109"/>
  <c r="Z167" i="109"/>
  <c r="AA167" i="109"/>
  <c r="AB167" i="109"/>
  <c r="AC167" i="109"/>
  <c r="R168" i="109"/>
  <c r="S168" i="109"/>
  <c r="T168" i="109"/>
  <c r="U168" i="109"/>
  <c r="V168" i="109"/>
  <c r="W168" i="109"/>
  <c r="X168" i="109"/>
  <c r="Y168" i="109"/>
  <c r="Z168" i="109"/>
  <c r="AA168" i="109"/>
  <c r="AB168" i="109"/>
  <c r="AC168" i="109"/>
  <c r="R169" i="109"/>
  <c r="S169" i="109"/>
  <c r="T169" i="109"/>
  <c r="U169" i="109"/>
  <c r="V169" i="109"/>
  <c r="W169" i="109"/>
  <c r="X169" i="109"/>
  <c r="Y169" i="109"/>
  <c r="Z169" i="109"/>
  <c r="AA169" i="109"/>
  <c r="AB169" i="109"/>
  <c r="AC169" i="109"/>
  <c r="S171" i="109"/>
  <c r="T171" i="109"/>
  <c r="U171" i="109"/>
  <c r="V171" i="109"/>
  <c r="W171" i="109"/>
  <c r="X171" i="109"/>
  <c r="Y171" i="109"/>
  <c r="Z171" i="109"/>
  <c r="AA171" i="109"/>
  <c r="AB171" i="109"/>
  <c r="AC171" i="109"/>
  <c r="R172" i="109"/>
  <c r="S172" i="109"/>
  <c r="T172" i="109"/>
  <c r="U172" i="109"/>
  <c r="V172" i="109"/>
  <c r="W172" i="109"/>
  <c r="X172" i="109"/>
  <c r="Y172" i="109"/>
  <c r="Z172" i="109"/>
  <c r="AA172" i="109"/>
  <c r="AB172" i="109"/>
  <c r="AC172" i="109"/>
  <c r="R174" i="109"/>
  <c r="S174" i="109"/>
  <c r="T174" i="109"/>
  <c r="U174" i="109"/>
  <c r="V174" i="109"/>
  <c r="W174" i="109"/>
  <c r="X174" i="109"/>
  <c r="Y174" i="109"/>
  <c r="Z174" i="109"/>
  <c r="AA174" i="109"/>
  <c r="AB174" i="109"/>
  <c r="AC174" i="109"/>
  <c r="R175" i="109"/>
  <c r="S175" i="109"/>
  <c r="T175" i="109"/>
  <c r="U175" i="109"/>
  <c r="V175" i="109"/>
  <c r="W175" i="109"/>
  <c r="X175" i="109"/>
  <c r="Y175" i="109"/>
  <c r="Z175" i="109"/>
  <c r="AA175" i="109"/>
  <c r="AB175" i="109"/>
  <c r="AC175" i="109"/>
  <c r="R176" i="109"/>
  <c r="S176" i="109"/>
  <c r="T176" i="109"/>
  <c r="U176" i="109"/>
  <c r="V176" i="109"/>
  <c r="W176" i="109"/>
  <c r="X176" i="109"/>
  <c r="Y176" i="109"/>
  <c r="Z176" i="109"/>
  <c r="AA176" i="109"/>
  <c r="AB176" i="109"/>
  <c r="AC176" i="109"/>
  <c r="R185" i="109"/>
  <c r="S185" i="109"/>
  <c r="T185" i="109"/>
  <c r="U185" i="109"/>
  <c r="V185" i="109"/>
  <c r="W185" i="109"/>
  <c r="X185" i="109"/>
  <c r="Y185" i="109"/>
  <c r="Z185" i="109"/>
  <c r="AA185" i="109"/>
  <c r="AB185" i="109"/>
  <c r="AC185" i="109"/>
  <c r="R186" i="109"/>
  <c r="S186" i="109"/>
  <c r="T186" i="109"/>
  <c r="U186" i="109"/>
  <c r="V186" i="109"/>
  <c r="W186" i="109"/>
  <c r="X186" i="109"/>
  <c r="Y186" i="109"/>
  <c r="Z186" i="109"/>
  <c r="AA186" i="109"/>
  <c r="AB186" i="109"/>
  <c r="AC186" i="109"/>
  <c r="R187" i="109"/>
  <c r="S187" i="109"/>
  <c r="T187" i="109"/>
  <c r="U187" i="109"/>
  <c r="V187" i="109"/>
  <c r="W187" i="109"/>
  <c r="X187" i="109"/>
  <c r="Y187" i="109"/>
  <c r="Z187" i="109"/>
  <c r="AA187" i="109"/>
  <c r="AB187" i="109"/>
  <c r="AC187" i="109"/>
  <c r="R15" i="111"/>
  <c r="S15" i="111"/>
  <c r="T15" i="111"/>
  <c r="U15" i="111"/>
  <c r="V15" i="111"/>
  <c r="W15" i="111"/>
  <c r="X15" i="111"/>
  <c r="Y15" i="111"/>
  <c r="Z15" i="111"/>
  <c r="AA15" i="111"/>
  <c r="AB15" i="111"/>
  <c r="AC15" i="111"/>
  <c r="R17" i="111"/>
  <c r="S17" i="111"/>
  <c r="T17" i="111"/>
  <c r="U17" i="111"/>
  <c r="V17" i="111"/>
  <c r="W17" i="111"/>
  <c r="X17" i="111"/>
  <c r="Y17" i="111"/>
  <c r="Z17" i="111"/>
  <c r="AA17" i="111"/>
  <c r="AB17" i="111"/>
  <c r="AC17" i="111"/>
  <c r="R18" i="111"/>
  <c r="S18" i="111"/>
  <c r="T18" i="111"/>
  <c r="U18" i="111"/>
  <c r="V18" i="111"/>
  <c r="W18" i="111"/>
  <c r="X18" i="111"/>
  <c r="Y18" i="111"/>
  <c r="Z18" i="111"/>
  <c r="AA18" i="111"/>
  <c r="AB18" i="111"/>
  <c r="AC18" i="111"/>
  <c r="R19" i="111"/>
  <c r="S19" i="111"/>
  <c r="T19" i="111"/>
  <c r="U19" i="111"/>
  <c r="V19" i="111"/>
  <c r="W19" i="111"/>
  <c r="X19" i="111"/>
  <c r="Y19" i="111"/>
  <c r="Z19" i="111"/>
  <c r="AA19" i="111"/>
  <c r="AB19" i="111"/>
  <c r="AC19" i="111"/>
  <c r="R35" i="111"/>
  <c r="S35" i="111"/>
  <c r="T35" i="111"/>
  <c r="U35" i="111"/>
  <c r="V35" i="111"/>
  <c r="W35" i="111"/>
  <c r="X35" i="111"/>
  <c r="Y35" i="111"/>
  <c r="Z35" i="111"/>
  <c r="AA35" i="111"/>
  <c r="AB35" i="111"/>
  <c r="AC35" i="111"/>
  <c r="S36" i="111"/>
  <c r="T36" i="111"/>
  <c r="U36" i="111"/>
  <c r="V36" i="111"/>
  <c r="W36" i="111"/>
  <c r="X36" i="111"/>
  <c r="Y36" i="111"/>
  <c r="Z36" i="111"/>
  <c r="AA36" i="111"/>
  <c r="AB36" i="111"/>
  <c r="AC36" i="111"/>
  <c r="T37" i="111"/>
  <c r="U37" i="111"/>
  <c r="V37" i="111"/>
  <c r="W37" i="111"/>
  <c r="X37" i="111"/>
  <c r="Y37" i="111"/>
  <c r="Z37" i="111"/>
  <c r="AA37" i="111"/>
  <c r="AB37" i="111"/>
  <c r="AC37" i="111"/>
  <c r="U38" i="111"/>
  <c r="V38" i="111"/>
  <c r="W38" i="111"/>
  <c r="X38" i="111"/>
  <c r="Y38" i="111"/>
  <c r="Z38" i="111"/>
  <c r="AA38" i="111"/>
  <c r="AB38" i="111"/>
  <c r="AC38" i="111"/>
  <c r="V39" i="111"/>
  <c r="W39" i="111"/>
  <c r="X39" i="111"/>
  <c r="Y39" i="111"/>
  <c r="Z39" i="111"/>
  <c r="AA39" i="111"/>
  <c r="AB39" i="111"/>
  <c r="AC39" i="111"/>
  <c r="W40" i="111"/>
  <c r="X40" i="111"/>
  <c r="Y40" i="111"/>
  <c r="Z40" i="111"/>
  <c r="AA40" i="111"/>
  <c r="AB40" i="111"/>
  <c r="AC40" i="111"/>
  <c r="X41" i="111"/>
  <c r="Y41" i="111"/>
  <c r="Z41" i="111"/>
  <c r="AA41" i="111"/>
  <c r="AB41" i="111"/>
  <c r="AC41" i="111"/>
  <c r="Y42" i="111"/>
  <c r="Z42" i="111"/>
  <c r="AA42" i="111"/>
  <c r="AB42" i="111"/>
  <c r="AC42" i="111"/>
  <c r="Z43" i="111"/>
  <c r="AA43" i="111"/>
  <c r="AB43" i="111"/>
  <c r="AC43" i="111"/>
  <c r="AA44" i="111"/>
  <c r="AB44" i="111"/>
  <c r="AC44" i="111"/>
  <c r="AB45" i="111"/>
  <c r="AC45" i="111"/>
  <c r="AC46" i="111"/>
  <c r="R47" i="111"/>
  <c r="S47" i="111"/>
  <c r="T47" i="111"/>
  <c r="U47" i="111"/>
  <c r="V47" i="111"/>
  <c r="W47" i="111"/>
  <c r="X47" i="111"/>
  <c r="Y47" i="111"/>
  <c r="Z47" i="111"/>
  <c r="AA47" i="111"/>
  <c r="AB47" i="111"/>
  <c r="AC47" i="111"/>
  <c r="R55" i="111"/>
  <c r="S55" i="111"/>
  <c r="T55" i="111"/>
  <c r="U55" i="111"/>
  <c r="V55" i="111"/>
  <c r="W55" i="111"/>
  <c r="X55" i="111"/>
  <c r="Y55" i="111"/>
  <c r="Z55" i="111"/>
  <c r="AA55" i="111"/>
  <c r="AB55" i="111"/>
  <c r="AC55" i="111"/>
  <c r="R56" i="111"/>
  <c r="S56" i="111"/>
  <c r="T56" i="111"/>
  <c r="U56" i="111"/>
  <c r="V56" i="111"/>
  <c r="W56" i="111"/>
  <c r="X56" i="111"/>
  <c r="Y56" i="111"/>
  <c r="Z56" i="111"/>
  <c r="AA56" i="111"/>
  <c r="AB56" i="111"/>
  <c r="AC56" i="111"/>
  <c r="R57" i="111"/>
  <c r="S57" i="111"/>
  <c r="T57" i="111"/>
  <c r="U57" i="111"/>
  <c r="V57" i="111"/>
  <c r="W57" i="111"/>
  <c r="X57" i="111"/>
  <c r="Y57" i="111"/>
  <c r="Z57" i="111"/>
  <c r="AA57" i="111"/>
  <c r="AB57" i="111"/>
  <c r="AC57" i="111"/>
  <c r="R73" i="111"/>
  <c r="S73" i="111"/>
  <c r="T73" i="111"/>
  <c r="U73" i="111"/>
  <c r="V73" i="111"/>
  <c r="W73" i="111"/>
  <c r="X73" i="111"/>
  <c r="Y73" i="111"/>
  <c r="Z73" i="111"/>
  <c r="AA73" i="111"/>
  <c r="AB73" i="111"/>
  <c r="AC73" i="111"/>
  <c r="S74" i="111"/>
  <c r="T74" i="111"/>
  <c r="U74" i="111"/>
  <c r="V74" i="111"/>
  <c r="W74" i="111"/>
  <c r="X74" i="111"/>
  <c r="Y74" i="111"/>
  <c r="Z74" i="111"/>
  <c r="AA74" i="111"/>
  <c r="AB74" i="111"/>
  <c r="AC74" i="111"/>
  <c r="T75" i="111"/>
  <c r="U75" i="111"/>
  <c r="V75" i="111"/>
  <c r="W75" i="111"/>
  <c r="X75" i="111"/>
  <c r="Y75" i="111"/>
  <c r="Z75" i="111"/>
  <c r="AA75" i="111"/>
  <c r="AB75" i="111"/>
  <c r="AC75" i="111"/>
  <c r="U76" i="111"/>
  <c r="V76" i="111"/>
  <c r="W76" i="111"/>
  <c r="X76" i="111"/>
  <c r="Y76" i="111"/>
  <c r="Z76" i="111"/>
  <c r="AA76" i="111"/>
  <c r="AB76" i="111"/>
  <c r="AC76" i="111"/>
  <c r="V77" i="111"/>
  <c r="W77" i="111"/>
  <c r="X77" i="111"/>
  <c r="Y77" i="111"/>
  <c r="Z77" i="111"/>
  <c r="AA77" i="111"/>
  <c r="AB77" i="111"/>
  <c r="AC77" i="111"/>
  <c r="W78" i="111"/>
  <c r="X78" i="111"/>
  <c r="Y78" i="111"/>
  <c r="Z78" i="111"/>
  <c r="AA78" i="111"/>
  <c r="AB78" i="111"/>
  <c r="AC78" i="111"/>
  <c r="X79" i="111"/>
  <c r="Y79" i="111"/>
  <c r="Z79" i="111"/>
  <c r="AA79" i="111"/>
  <c r="AB79" i="111"/>
  <c r="AC79" i="111"/>
  <c r="Y80" i="111"/>
  <c r="Z80" i="111"/>
  <c r="AA80" i="111"/>
  <c r="AB80" i="111"/>
  <c r="AC80" i="111"/>
  <c r="Z81" i="111"/>
  <c r="AA81" i="111"/>
  <c r="AB81" i="111"/>
  <c r="AC81" i="111"/>
  <c r="AA82" i="111"/>
  <c r="AB82" i="111"/>
  <c r="AC82" i="111"/>
  <c r="AB83" i="111"/>
  <c r="AC83" i="111"/>
  <c r="AC84" i="111"/>
  <c r="R100" i="111"/>
  <c r="S100" i="111"/>
  <c r="T100" i="111"/>
  <c r="U100" i="111"/>
  <c r="V100" i="111"/>
  <c r="W100" i="111"/>
  <c r="X100" i="111"/>
  <c r="Y100" i="111"/>
  <c r="Z100" i="111"/>
  <c r="AA100" i="111"/>
  <c r="AB100" i="111"/>
  <c r="AC100" i="111"/>
  <c r="S101" i="111"/>
  <c r="T101" i="111"/>
  <c r="U101" i="111"/>
  <c r="V101" i="111"/>
  <c r="W101" i="111"/>
  <c r="X101" i="111"/>
  <c r="Y101" i="111"/>
  <c r="Z101" i="111"/>
  <c r="AA101" i="111"/>
  <c r="AB101" i="111"/>
  <c r="AC101" i="111"/>
  <c r="T102" i="111"/>
  <c r="U102" i="111"/>
  <c r="V102" i="111"/>
  <c r="W102" i="111"/>
  <c r="X102" i="111"/>
  <c r="Y102" i="111"/>
  <c r="Z102" i="111"/>
  <c r="AA102" i="111"/>
  <c r="AB102" i="111"/>
  <c r="AC102" i="111"/>
  <c r="U103" i="111"/>
  <c r="V103" i="111"/>
  <c r="W103" i="111"/>
  <c r="X103" i="111"/>
  <c r="Y103" i="111"/>
  <c r="Z103" i="111"/>
  <c r="AA103" i="111"/>
  <c r="AB103" i="111"/>
  <c r="AC103" i="111"/>
  <c r="V104" i="111"/>
  <c r="W104" i="111"/>
  <c r="X104" i="111"/>
  <c r="Y104" i="111"/>
  <c r="Z104" i="111"/>
  <c r="AA104" i="111"/>
  <c r="AB104" i="111"/>
  <c r="AC104" i="111"/>
  <c r="W105" i="111"/>
  <c r="X105" i="111"/>
  <c r="Y105" i="111"/>
  <c r="Z105" i="111"/>
  <c r="AA105" i="111"/>
  <c r="AB105" i="111"/>
  <c r="AC105" i="111"/>
  <c r="X106" i="111"/>
  <c r="Y106" i="111"/>
  <c r="Z106" i="111"/>
  <c r="AA106" i="111"/>
  <c r="AB106" i="111"/>
  <c r="AC106" i="111"/>
  <c r="Y107" i="111"/>
  <c r="Z107" i="111"/>
  <c r="AA107" i="111"/>
  <c r="AB107" i="111"/>
  <c r="AC107" i="111"/>
  <c r="Z108" i="111"/>
  <c r="AA108" i="111"/>
  <c r="AB108" i="111"/>
  <c r="AC108" i="111"/>
  <c r="AA109" i="111"/>
  <c r="AB109" i="111"/>
  <c r="AC109" i="111"/>
  <c r="AB110" i="111"/>
  <c r="AC110" i="111"/>
  <c r="AC111" i="111"/>
  <c r="R127" i="111"/>
  <c r="S127" i="111"/>
  <c r="T127" i="111"/>
  <c r="U127" i="111"/>
  <c r="V127" i="111"/>
  <c r="W127" i="111"/>
  <c r="X127" i="111"/>
  <c r="Y127" i="111"/>
  <c r="Z127" i="111"/>
  <c r="AA127" i="111"/>
  <c r="AB127" i="111"/>
  <c r="AC127" i="111"/>
  <c r="S128" i="111"/>
  <c r="T128" i="111"/>
  <c r="U128" i="111"/>
  <c r="V128" i="111"/>
  <c r="W128" i="111"/>
  <c r="X128" i="111"/>
  <c r="Y128" i="111"/>
  <c r="Z128" i="111"/>
  <c r="AA128" i="111"/>
  <c r="AB128" i="111"/>
  <c r="AC128" i="111"/>
  <c r="T129" i="111"/>
  <c r="U129" i="111"/>
  <c r="V129" i="111"/>
  <c r="W129" i="111"/>
  <c r="X129" i="111"/>
  <c r="Y129" i="111"/>
  <c r="Z129" i="111"/>
  <c r="AA129" i="111"/>
  <c r="AB129" i="111"/>
  <c r="AC129" i="111"/>
  <c r="U130" i="111"/>
  <c r="V130" i="111"/>
  <c r="W130" i="111"/>
  <c r="X130" i="111"/>
  <c r="Y130" i="111"/>
  <c r="Z130" i="111"/>
  <c r="AA130" i="111"/>
  <c r="AB130" i="111"/>
  <c r="AC130" i="111"/>
  <c r="V131" i="111"/>
  <c r="W131" i="111"/>
  <c r="X131" i="111"/>
  <c r="Y131" i="111"/>
  <c r="Z131" i="111"/>
  <c r="AA131" i="111"/>
  <c r="AB131" i="111"/>
  <c r="AC131" i="111"/>
  <c r="W132" i="111"/>
  <c r="X132" i="111"/>
  <c r="Y132" i="111"/>
  <c r="Z132" i="111"/>
  <c r="AA132" i="111"/>
  <c r="AB132" i="111"/>
  <c r="AC132" i="111"/>
  <c r="X133" i="111"/>
  <c r="Y133" i="111"/>
  <c r="Z133" i="111"/>
  <c r="AA133" i="111"/>
  <c r="AB133" i="111"/>
  <c r="AC133" i="111"/>
  <c r="Y134" i="111"/>
  <c r="Z134" i="111"/>
  <c r="AA134" i="111"/>
  <c r="AB134" i="111"/>
  <c r="AC134" i="111"/>
  <c r="Z135" i="111"/>
  <c r="AA135" i="111"/>
  <c r="AB135" i="111"/>
  <c r="AC135" i="111"/>
  <c r="AA136" i="111"/>
  <c r="AB136" i="111"/>
  <c r="AC136" i="111"/>
  <c r="AB137" i="111"/>
  <c r="AC137" i="111"/>
  <c r="AC138" i="111"/>
  <c r="R149" i="111"/>
  <c r="S149" i="111"/>
  <c r="T149" i="111"/>
  <c r="U149" i="111"/>
  <c r="V149" i="111"/>
  <c r="W149" i="111"/>
  <c r="X149" i="111"/>
  <c r="Y149" i="111"/>
  <c r="Z149" i="111"/>
  <c r="AA149" i="111"/>
  <c r="AB149" i="111"/>
  <c r="AC149" i="111"/>
  <c r="R150" i="111"/>
  <c r="S150" i="111"/>
  <c r="T150" i="111"/>
  <c r="U150" i="111"/>
  <c r="V150" i="111"/>
  <c r="W150" i="111"/>
  <c r="X150" i="111"/>
  <c r="Y150" i="111"/>
  <c r="Z150" i="111"/>
  <c r="AA150" i="111"/>
  <c r="AB150" i="111"/>
  <c r="AC150" i="111"/>
  <c r="S152" i="111"/>
  <c r="T152" i="111"/>
  <c r="U152" i="111"/>
  <c r="V152" i="111"/>
  <c r="W152" i="111"/>
  <c r="X152" i="111"/>
  <c r="Y152" i="111"/>
  <c r="Z152" i="111"/>
  <c r="AA152" i="111"/>
  <c r="AB152" i="111"/>
  <c r="AC152" i="111"/>
  <c r="R153" i="111"/>
  <c r="S153" i="111"/>
  <c r="T153" i="111"/>
  <c r="U153" i="111"/>
  <c r="V153" i="111"/>
  <c r="W153" i="111"/>
  <c r="X153" i="111"/>
  <c r="Y153" i="111"/>
  <c r="Z153" i="111"/>
  <c r="AA153" i="111"/>
  <c r="AB153" i="111"/>
  <c r="AC153" i="111"/>
  <c r="S155" i="111"/>
  <c r="T155" i="111"/>
  <c r="U155" i="111"/>
  <c r="V155" i="111"/>
  <c r="W155" i="111"/>
  <c r="X155" i="111"/>
  <c r="Y155" i="111"/>
  <c r="Z155" i="111"/>
  <c r="AA155" i="111"/>
  <c r="AB155" i="111"/>
  <c r="AC155" i="111"/>
  <c r="R156" i="111"/>
  <c r="S156" i="111"/>
  <c r="T156" i="111"/>
  <c r="U156" i="111"/>
  <c r="V156" i="111"/>
  <c r="W156" i="111"/>
  <c r="X156" i="111"/>
  <c r="Y156" i="111"/>
  <c r="Z156" i="111"/>
  <c r="AA156" i="111"/>
  <c r="AB156" i="111"/>
  <c r="AC156" i="111"/>
  <c r="R159" i="111"/>
  <c r="S159" i="111"/>
  <c r="T159" i="111"/>
  <c r="U159" i="111"/>
  <c r="V159" i="111"/>
  <c r="W159" i="111"/>
  <c r="X159" i="111"/>
  <c r="Y159" i="111"/>
  <c r="Z159" i="111"/>
  <c r="AA159" i="111"/>
  <c r="AB159" i="111"/>
  <c r="AC159" i="111"/>
  <c r="S161" i="111"/>
  <c r="T161" i="111"/>
  <c r="U161" i="111"/>
  <c r="V161" i="111"/>
  <c r="W161" i="111"/>
  <c r="X161" i="111"/>
  <c r="Y161" i="111"/>
  <c r="Z161" i="111"/>
  <c r="AA161" i="111"/>
  <c r="AB161" i="111"/>
  <c r="AC161" i="111"/>
  <c r="R162" i="111"/>
  <c r="S162" i="111"/>
  <c r="T162" i="111"/>
  <c r="U162" i="111"/>
  <c r="V162" i="111"/>
  <c r="W162" i="111"/>
  <c r="X162" i="111"/>
  <c r="Y162" i="111"/>
  <c r="Z162" i="111"/>
  <c r="AA162" i="111"/>
  <c r="AB162" i="111"/>
  <c r="AC162" i="111"/>
  <c r="S163" i="111"/>
  <c r="T163" i="111"/>
  <c r="U163" i="111"/>
  <c r="V163" i="111"/>
  <c r="W163" i="111"/>
  <c r="X163" i="111"/>
  <c r="Y163" i="111"/>
  <c r="Z163" i="111"/>
  <c r="AA163" i="111"/>
  <c r="AB163" i="111"/>
  <c r="AC163" i="111"/>
  <c r="R164" i="111"/>
  <c r="S164" i="111"/>
  <c r="T164" i="111"/>
  <c r="U164" i="111"/>
  <c r="V164" i="111"/>
  <c r="W164" i="111"/>
  <c r="X164" i="111"/>
  <c r="Y164" i="111"/>
  <c r="Z164" i="111"/>
  <c r="AA164" i="111"/>
  <c r="AB164" i="111"/>
  <c r="AC164" i="111"/>
  <c r="R167" i="111"/>
  <c r="S167" i="111"/>
  <c r="T167" i="111"/>
  <c r="U167" i="111"/>
  <c r="V167" i="111"/>
  <c r="W167" i="111"/>
  <c r="X167" i="111"/>
  <c r="Y167" i="111"/>
  <c r="Z167" i="111"/>
  <c r="AA167" i="111"/>
  <c r="AB167" i="111"/>
  <c r="AC167" i="111"/>
  <c r="R168" i="111"/>
  <c r="S168" i="111"/>
  <c r="T168" i="111"/>
  <c r="U168" i="111"/>
  <c r="V168" i="111"/>
  <c r="W168" i="111"/>
  <c r="X168" i="111"/>
  <c r="Y168" i="111"/>
  <c r="Z168" i="111"/>
  <c r="AA168" i="111"/>
  <c r="AB168" i="111"/>
  <c r="AC168" i="111"/>
  <c r="R169" i="111"/>
  <c r="S169" i="111"/>
  <c r="T169" i="111"/>
  <c r="U169" i="111"/>
  <c r="V169" i="111"/>
  <c r="W169" i="111"/>
  <c r="X169" i="111"/>
  <c r="Y169" i="111"/>
  <c r="Z169" i="111"/>
  <c r="AA169" i="111"/>
  <c r="AB169" i="111"/>
  <c r="AC169" i="111"/>
  <c r="S171" i="111"/>
  <c r="T171" i="111"/>
  <c r="U171" i="111"/>
  <c r="V171" i="111"/>
  <c r="W171" i="111"/>
  <c r="X171" i="111"/>
  <c r="Y171" i="111"/>
  <c r="Z171" i="111"/>
  <c r="AA171" i="111"/>
  <c r="AB171" i="111"/>
  <c r="AC171" i="111"/>
  <c r="R172" i="111"/>
  <c r="S172" i="111"/>
  <c r="T172" i="111"/>
  <c r="U172" i="111"/>
  <c r="V172" i="111"/>
  <c r="W172" i="111"/>
  <c r="X172" i="111"/>
  <c r="Y172" i="111"/>
  <c r="Z172" i="111"/>
  <c r="AA172" i="111"/>
  <c r="AB172" i="111"/>
  <c r="AC172" i="111"/>
  <c r="R174" i="111"/>
  <c r="S174" i="111"/>
  <c r="T174" i="111"/>
  <c r="U174" i="111"/>
  <c r="V174" i="111"/>
  <c r="W174" i="111"/>
  <c r="X174" i="111"/>
  <c r="Y174" i="111"/>
  <c r="Z174" i="111"/>
  <c r="AA174" i="111"/>
  <c r="AB174" i="111"/>
  <c r="AC174" i="111"/>
  <c r="R175" i="111"/>
  <c r="S175" i="111"/>
  <c r="T175" i="111"/>
  <c r="U175" i="111"/>
  <c r="V175" i="111"/>
  <c r="W175" i="111"/>
  <c r="X175" i="111"/>
  <c r="Y175" i="111"/>
  <c r="Z175" i="111"/>
  <c r="AA175" i="111"/>
  <c r="AB175" i="111"/>
  <c r="AC175" i="111"/>
  <c r="R176" i="111"/>
  <c r="S176" i="111"/>
  <c r="T176" i="111"/>
  <c r="U176" i="111"/>
  <c r="V176" i="111"/>
  <c r="W176" i="111"/>
  <c r="X176" i="111"/>
  <c r="Y176" i="111"/>
  <c r="Z176" i="111"/>
  <c r="AA176" i="111"/>
  <c r="AB176" i="111"/>
  <c r="AC176" i="111"/>
  <c r="R185" i="111"/>
  <c r="S185" i="111"/>
  <c r="T185" i="111"/>
  <c r="U185" i="111"/>
  <c r="V185" i="111"/>
  <c r="W185" i="111"/>
  <c r="X185" i="111"/>
  <c r="Y185" i="111"/>
  <c r="Z185" i="111"/>
  <c r="AA185" i="111"/>
  <c r="AB185" i="111"/>
  <c r="AC185" i="111"/>
  <c r="R186" i="111"/>
  <c r="S186" i="111"/>
  <c r="T186" i="111"/>
  <c r="U186" i="111"/>
  <c r="V186" i="111"/>
  <c r="W186" i="111"/>
  <c r="X186" i="111"/>
  <c r="Y186" i="111"/>
  <c r="Z186" i="111"/>
  <c r="AA186" i="111"/>
  <c r="AB186" i="111"/>
  <c r="AC186" i="111"/>
  <c r="R187" i="111"/>
  <c r="S187" i="111"/>
  <c r="T187" i="111"/>
  <c r="U187" i="111"/>
  <c r="V187" i="111"/>
  <c r="W187" i="111"/>
  <c r="X187" i="111"/>
  <c r="Y187" i="111"/>
  <c r="Z187" i="111"/>
  <c r="AA187" i="111"/>
  <c r="AB187" i="111"/>
  <c r="AC187" i="111"/>
  <c r="W10" i="49"/>
  <c r="BD10" i="49"/>
  <c r="W16" i="49"/>
  <c r="AA16" i="49"/>
  <c r="BD16" i="49"/>
  <c r="BE16" i="49"/>
  <c r="BK16" i="49"/>
  <c r="W17" i="49"/>
  <c r="AA17" i="49"/>
  <c r="BD17" i="49"/>
  <c r="BE17" i="49"/>
  <c r="W18" i="49"/>
  <c r="X18" i="49"/>
  <c r="AA18" i="49"/>
  <c r="W19" i="49"/>
  <c r="AA19" i="49"/>
  <c r="BD19" i="49"/>
  <c r="BE19" i="49"/>
  <c r="W20" i="49"/>
  <c r="X20" i="49"/>
  <c r="AA20" i="49"/>
  <c r="W22" i="49"/>
  <c r="AA22" i="49"/>
  <c r="BD22" i="49"/>
  <c r="BE22" i="49"/>
  <c r="W23" i="49"/>
  <c r="AA23" i="49"/>
  <c r="BD23" i="49"/>
  <c r="BE23" i="49"/>
  <c r="BD24" i="49"/>
  <c r="BE24" i="49"/>
  <c r="BD25" i="49"/>
  <c r="BE25" i="49"/>
  <c r="BD26" i="49"/>
  <c r="BE26" i="49"/>
  <c r="W28" i="49"/>
  <c r="AA28" i="49"/>
  <c r="BD28" i="49"/>
  <c r="BE28" i="49"/>
  <c r="W29" i="49"/>
  <c r="AA29" i="49"/>
  <c r="BD29" i="49"/>
  <c r="BE29" i="49"/>
  <c r="BK29" i="49"/>
  <c r="W30" i="49"/>
  <c r="AA30" i="49"/>
  <c r="BD30" i="49"/>
  <c r="BE30" i="49"/>
  <c r="BD31" i="49"/>
  <c r="BE31" i="49"/>
  <c r="W33" i="49"/>
  <c r="AA33" i="49"/>
  <c r="BD33" i="49"/>
  <c r="BE33" i="49"/>
  <c r="W34" i="49"/>
  <c r="AA34" i="49"/>
  <c r="BD34" i="49"/>
  <c r="BE34" i="49"/>
  <c r="W36" i="49"/>
  <c r="AA36" i="49"/>
  <c r="BD36" i="49"/>
  <c r="BE36" i="49"/>
  <c r="W39" i="49"/>
  <c r="AA39" i="49"/>
  <c r="BD39" i="49"/>
  <c r="BE39" i="49"/>
  <c r="W40" i="49"/>
  <c r="AA40" i="49"/>
  <c r="BD40" i="49"/>
  <c r="BE40" i="49"/>
  <c r="W42" i="49"/>
  <c r="AA42" i="49"/>
  <c r="BD42" i="49"/>
  <c r="BE42" i="49"/>
  <c r="BD45" i="49"/>
  <c r="BE45" i="49"/>
  <c r="BD46" i="49"/>
  <c r="BE46" i="49"/>
  <c r="W47" i="49"/>
  <c r="AA47" i="49"/>
  <c r="BD47" i="49"/>
  <c r="BE47" i="49"/>
  <c r="W48" i="49"/>
  <c r="AA48" i="49"/>
  <c r="BD48" i="49"/>
  <c r="BE48" i="49"/>
  <c r="W50" i="49"/>
  <c r="AA50" i="49"/>
  <c r="BD50" i="49"/>
  <c r="BE50" i="49"/>
  <c r="BK50" i="49"/>
  <c r="W51" i="49"/>
  <c r="AA51" i="49"/>
  <c r="BD51" i="49"/>
  <c r="BE51" i="49"/>
  <c r="W52" i="49"/>
  <c r="AA52" i="49"/>
  <c r="BD52" i="49"/>
  <c r="BE52" i="49"/>
  <c r="W53" i="49"/>
  <c r="AA53" i="49"/>
  <c r="BD53" i="49"/>
  <c r="BE53" i="49"/>
  <c r="W55" i="49"/>
  <c r="X55" i="49"/>
  <c r="Y55" i="49"/>
  <c r="Z55" i="49"/>
  <c r="AA55" i="49"/>
  <c r="BD55" i="49"/>
  <c r="BE55" i="49"/>
  <c r="X56" i="49"/>
  <c r="Y56" i="49"/>
  <c r="Z56" i="49"/>
  <c r="AA56" i="49"/>
  <c r="BE56" i="49"/>
  <c r="W58" i="49"/>
  <c r="X58" i="49"/>
  <c r="Y58" i="49"/>
  <c r="Z58" i="49"/>
  <c r="AA58" i="49"/>
  <c r="BD58" i="49"/>
  <c r="BE58" i="49"/>
  <c r="BK58" i="49"/>
  <c r="W59" i="49"/>
  <c r="X59" i="49"/>
  <c r="Y59" i="49"/>
  <c r="Z59" i="49"/>
  <c r="AA59" i="49"/>
  <c r="BD59" i="49"/>
  <c r="BE59" i="49"/>
  <c r="W60" i="49"/>
  <c r="X60" i="49"/>
  <c r="Y60" i="49"/>
  <c r="Z60" i="49"/>
  <c r="AA60" i="49"/>
  <c r="BD60" i="49"/>
  <c r="BE60" i="49"/>
  <c r="BK60" i="49"/>
  <c r="W62" i="49"/>
  <c r="X62" i="49"/>
  <c r="Y62" i="49"/>
  <c r="Z62" i="49"/>
  <c r="AA62" i="49"/>
  <c r="BD62" i="49"/>
  <c r="BE62" i="49"/>
  <c r="BK62" i="49"/>
  <c r="W64" i="49"/>
  <c r="X64" i="49"/>
  <c r="Y64" i="49"/>
  <c r="Z64" i="49"/>
  <c r="AA64" i="49"/>
  <c r="BD64" i="49"/>
  <c r="BE64" i="49"/>
  <c r="BK64" i="49"/>
  <c r="W65" i="49"/>
  <c r="X65" i="49"/>
  <c r="Y65" i="49"/>
  <c r="Z65" i="49"/>
  <c r="AA65" i="49"/>
  <c r="BD65" i="49"/>
  <c r="BE65" i="49"/>
  <c r="BD66" i="49"/>
  <c r="BE66" i="49"/>
  <c r="W69" i="49"/>
  <c r="AA69" i="49"/>
  <c r="BD69" i="49"/>
  <c r="BE69" i="49"/>
  <c r="W70" i="49"/>
  <c r="X70" i="49"/>
  <c r="Y70" i="49"/>
  <c r="Z70" i="49"/>
  <c r="AA70" i="49"/>
  <c r="BD70" i="49"/>
  <c r="BE70" i="49"/>
  <c r="W71" i="49"/>
  <c r="X71" i="49"/>
  <c r="Y71" i="49"/>
  <c r="Z71" i="49"/>
  <c r="AA71" i="49"/>
  <c r="BD71" i="49"/>
  <c r="BE71" i="49"/>
  <c r="W72" i="49"/>
  <c r="X72" i="49"/>
  <c r="Y72" i="49"/>
  <c r="Z72" i="49"/>
  <c r="AA72" i="49"/>
  <c r="BD72" i="49"/>
  <c r="BE72" i="49"/>
  <c r="W73" i="49"/>
  <c r="X73" i="49"/>
  <c r="Y73" i="49"/>
  <c r="Z73" i="49"/>
  <c r="AA73" i="49"/>
  <c r="BD73" i="49"/>
  <c r="BE73" i="49"/>
  <c r="BK73" i="49"/>
  <c r="W74" i="49"/>
  <c r="X74" i="49"/>
  <c r="Y74" i="49"/>
  <c r="Z74" i="49"/>
  <c r="AA74" i="49"/>
  <c r="BD74" i="49"/>
  <c r="BE74" i="49"/>
  <c r="W75" i="49"/>
  <c r="X75" i="49"/>
  <c r="Y75" i="49"/>
  <c r="Z75" i="49"/>
  <c r="AA75" i="49"/>
  <c r="BD75" i="49"/>
  <c r="BE75" i="49"/>
  <c r="W76" i="49"/>
  <c r="X76" i="49"/>
  <c r="Y76" i="49"/>
  <c r="Z76" i="49"/>
  <c r="AA76" i="49"/>
  <c r="BD76" i="49"/>
  <c r="BE76" i="49"/>
  <c r="W77" i="49"/>
  <c r="X77" i="49"/>
  <c r="Y77" i="49"/>
  <c r="Z77" i="49"/>
  <c r="AA77" i="49"/>
  <c r="BD77" i="49"/>
  <c r="BE77" i="49"/>
  <c r="X79" i="49"/>
  <c r="Y79" i="49"/>
  <c r="Z79" i="49"/>
  <c r="AA79" i="49"/>
  <c r="BE79" i="49"/>
  <c r="W80" i="49"/>
  <c r="X80" i="49"/>
  <c r="Y80" i="49"/>
  <c r="Z80" i="49"/>
  <c r="AA80" i="49"/>
  <c r="BD80" i="49"/>
  <c r="BE80" i="49"/>
  <c r="W81" i="49"/>
  <c r="X81" i="49"/>
  <c r="Y81" i="49"/>
  <c r="Z81" i="49"/>
  <c r="AA81" i="49"/>
  <c r="BD81" i="49"/>
  <c r="BE81" i="49"/>
  <c r="BK81" i="49"/>
  <c r="W82" i="49"/>
  <c r="X82" i="49"/>
  <c r="Y82" i="49"/>
  <c r="Z82" i="49"/>
  <c r="AA82" i="49"/>
  <c r="BD82" i="49"/>
  <c r="BE82" i="49"/>
  <c r="W85" i="49"/>
  <c r="X85" i="49"/>
  <c r="AA85" i="49"/>
  <c r="BD85" i="49"/>
  <c r="BE85" i="49"/>
  <c r="W87" i="49"/>
  <c r="X87" i="49"/>
  <c r="Y87" i="49"/>
  <c r="Z87" i="49"/>
  <c r="AA87" i="49"/>
  <c r="BD87" i="49"/>
  <c r="BE87" i="49"/>
  <c r="BK87" i="49"/>
  <c r="W98" i="49"/>
  <c r="X98" i="49"/>
  <c r="Y98" i="49"/>
  <c r="Z98" i="49"/>
  <c r="AA98" i="49"/>
  <c r="BD98" i="49"/>
  <c r="BE98" i="49"/>
  <c r="W99" i="49"/>
  <c r="X99" i="49"/>
  <c r="Y99" i="49"/>
  <c r="Z99" i="49"/>
  <c r="AA99" i="49"/>
  <c r="BD99" i="49"/>
  <c r="BE99" i="49"/>
  <c r="BK99" i="49"/>
  <c r="W100" i="49"/>
  <c r="X100" i="49"/>
  <c r="Y100" i="49"/>
  <c r="Z100" i="49"/>
  <c r="AA100" i="49"/>
  <c r="BD100" i="49"/>
  <c r="BE100" i="49"/>
  <c r="W105" i="49"/>
  <c r="BD105" i="49"/>
  <c r="W111" i="49"/>
  <c r="AA111" i="49"/>
  <c r="BD111" i="49"/>
  <c r="BE111" i="49"/>
  <c r="W114" i="49"/>
  <c r="BD114" i="49"/>
  <c r="W120" i="49"/>
  <c r="BD120" i="49"/>
  <c r="BE120" i="49"/>
  <c r="T122" i="49"/>
  <c r="U122" i="49"/>
  <c r="V122" i="49"/>
  <c r="T123" i="49"/>
  <c r="U123" i="49"/>
  <c r="V123" i="49"/>
  <c r="W126" i="49"/>
  <c r="W132" i="49"/>
  <c r="W135" i="49"/>
  <c r="BD135" i="49"/>
  <c r="W136" i="49"/>
  <c r="BD136" i="49"/>
  <c r="W137" i="49"/>
  <c r="BD137" i="49"/>
  <c r="W138" i="49"/>
  <c r="BD138" i="49"/>
  <c r="W139" i="49"/>
  <c r="BD139" i="49"/>
  <c r="W140" i="49"/>
  <c r="BD140" i="49"/>
  <c r="W141" i="49"/>
  <c r="BD141" i="49"/>
  <c r="U156" i="49"/>
  <c r="U157" i="49"/>
  <c r="U161" i="49"/>
  <c r="U162" i="49"/>
  <c r="U166" i="49"/>
  <c r="V166" i="49"/>
  <c r="U167" i="49"/>
  <c r="V167" i="49"/>
  <c r="U173" i="49"/>
  <c r="V173" i="49"/>
  <c r="U186" i="49"/>
  <c r="U189" i="49"/>
  <c r="V189" i="49"/>
  <c r="U202" i="49"/>
  <c r="U205" i="49"/>
  <c r="V205" i="49"/>
  <c r="U218" i="49"/>
  <c r="V218" i="49"/>
  <c r="U221" i="49"/>
  <c r="V221" i="49"/>
  <c r="U222" i="49"/>
  <c r="U223" i="49"/>
  <c r="U224" i="49"/>
  <c r="U225" i="49"/>
  <c r="U226" i="49"/>
  <c r="U227" i="49"/>
  <c r="U228" i="49"/>
  <c r="U229" i="49"/>
  <c r="U230" i="49"/>
  <c r="U231" i="49"/>
  <c r="U232" i="49"/>
  <c r="U233" i="49"/>
  <c r="U234" i="49"/>
  <c r="V234" i="49"/>
  <c r="U237" i="49"/>
  <c r="U250" i="49"/>
  <c r="U270" i="49"/>
  <c r="U271" i="49"/>
  <c r="U272" i="49"/>
  <c r="U273" i="49"/>
  <c r="AA281" i="49"/>
  <c r="BE281" i="49"/>
  <c r="W282" i="49"/>
  <c r="AA282" i="49"/>
  <c r="BD282" i="49"/>
  <c r="BE282" i="49"/>
  <c r="BK282" i="49"/>
  <c r="W283" i="49"/>
  <c r="AA283" i="49"/>
  <c r="BD283" i="49"/>
  <c r="BE283" i="49"/>
  <c r="W284" i="49"/>
  <c r="AA284" i="49"/>
  <c r="BD284" i="49"/>
  <c r="BE284" i="49"/>
  <c r="AA287" i="49"/>
  <c r="BE287" i="49"/>
  <c r="W288" i="49"/>
  <c r="AA288" i="49"/>
  <c r="BD288" i="49"/>
  <c r="BE288" i="49"/>
  <c r="W289" i="49"/>
  <c r="AA289" i="49"/>
  <c r="BD289" i="49"/>
  <c r="BE289" i="49"/>
  <c r="W290" i="49"/>
  <c r="AA290" i="49"/>
  <c r="BD290" i="49"/>
  <c r="BE290" i="49"/>
  <c r="W291" i="49"/>
  <c r="AA291" i="49"/>
  <c r="BD291" i="49"/>
  <c r="BE291" i="49"/>
  <c r="W449" i="49"/>
  <c r="AA449" i="49"/>
  <c r="BD449" i="49"/>
  <c r="BE449" i="49"/>
  <c r="BK449" i="49"/>
  <c r="W450" i="49"/>
  <c r="AA450" i="49"/>
  <c r="BD450" i="49"/>
  <c r="BE450" i="49"/>
  <c r="BK450" i="49"/>
  <c r="W451" i="49"/>
  <c r="AA451" i="49"/>
  <c r="BD451" i="49"/>
  <c r="BE451" i="49"/>
  <c r="BK451" i="49"/>
  <c r="W452" i="49"/>
  <c r="AA452" i="49"/>
  <c r="BD452" i="49"/>
  <c r="BE452" i="49"/>
  <c r="BK452" i="49"/>
  <c r="W453" i="49"/>
  <c r="AA453" i="49"/>
  <c r="BD453" i="49"/>
  <c r="BE453" i="49"/>
  <c r="BK453" i="49"/>
  <c r="BD456" i="49"/>
  <c r="BE456" i="49"/>
  <c r="BD457" i="49"/>
  <c r="BE457" i="49"/>
  <c r="BD458" i="49"/>
  <c r="BE458" i="49"/>
  <c r="BD459" i="49"/>
  <c r="BE459" i="49"/>
  <c r="BD460" i="49"/>
  <c r="BE460" i="49"/>
  <c r="BD462" i="49"/>
  <c r="BE462" i="49"/>
  <c r="BD463" i="49"/>
  <c r="BE463" i="49"/>
  <c r="W466" i="49"/>
  <c r="X466" i="49"/>
  <c r="AA466" i="49"/>
  <c r="BD466" i="49"/>
  <c r="BE466" i="49"/>
  <c r="BK466" i="49"/>
  <c r="W467" i="49"/>
  <c r="X467" i="49"/>
  <c r="AA467" i="49"/>
  <c r="BD467" i="49"/>
  <c r="BE467" i="49"/>
  <c r="BK467" i="49"/>
  <c r="W468" i="49"/>
  <c r="X468" i="49"/>
  <c r="AA468" i="49"/>
  <c r="BD468" i="49"/>
  <c r="BE468" i="49"/>
  <c r="BK468" i="49"/>
  <c r="W469" i="49"/>
  <c r="X469" i="49"/>
  <c r="AA469" i="49"/>
  <c r="BD469" i="49"/>
  <c r="BE469" i="49"/>
  <c r="BK469" i="49"/>
  <c r="W470" i="49"/>
  <c r="X470" i="49"/>
  <c r="AA470" i="49"/>
  <c r="BD470" i="49"/>
  <c r="BE470" i="49"/>
  <c r="BK470" i="49"/>
  <c r="W471" i="49"/>
  <c r="X471" i="49"/>
  <c r="AA471" i="49"/>
  <c r="BD471" i="49"/>
  <c r="BE471" i="49"/>
  <c r="BK471" i="49"/>
  <c r="W472" i="49"/>
  <c r="X472" i="49"/>
  <c r="AA472" i="49"/>
  <c r="BD472" i="49"/>
  <c r="BE472" i="49"/>
  <c r="W476" i="49"/>
  <c r="AA476" i="49"/>
  <c r="BD476" i="49"/>
  <c r="BE476" i="49"/>
  <c r="BK476" i="49"/>
  <c r="W477" i="49"/>
  <c r="AA477" i="49"/>
  <c r="BD477" i="49"/>
  <c r="BE477" i="49"/>
  <c r="BK477" i="49"/>
  <c r="W480" i="49"/>
  <c r="X480" i="49"/>
  <c r="Y480" i="49"/>
  <c r="Z480" i="49"/>
  <c r="AA480" i="49"/>
  <c r="BD480" i="49"/>
  <c r="BE480" i="49"/>
  <c r="BK480" i="49"/>
  <c r="X481" i="49"/>
  <c r="Y481" i="49"/>
  <c r="Z481" i="49"/>
  <c r="AA481" i="49"/>
  <c r="BD481" i="49"/>
  <c r="BE481" i="49"/>
  <c r="W484" i="49"/>
  <c r="X484" i="49"/>
  <c r="Y484" i="49"/>
  <c r="Z484" i="49"/>
  <c r="AA484" i="49"/>
  <c r="BD484" i="49"/>
  <c r="BE484" i="49"/>
  <c r="BK484" i="49"/>
  <c r="X485" i="49"/>
  <c r="Y485" i="49"/>
  <c r="Z485" i="49"/>
  <c r="AA485" i="49"/>
  <c r="BD485" i="49"/>
  <c r="BE485" i="49"/>
  <c r="W486" i="49"/>
  <c r="X486" i="49"/>
  <c r="Y486" i="49"/>
  <c r="Z486" i="49"/>
  <c r="AA486" i="49"/>
  <c r="BD486" i="49"/>
  <c r="BE486" i="49"/>
  <c r="W487" i="49"/>
  <c r="X487" i="49"/>
  <c r="Y487" i="49"/>
  <c r="Z487" i="49"/>
  <c r="AA487" i="49"/>
  <c r="BD487" i="49"/>
  <c r="BE487" i="49"/>
  <c r="BD491" i="49"/>
  <c r="W495" i="49"/>
  <c r="AA495" i="49"/>
  <c r="BD495" i="49"/>
  <c r="BE495" i="49"/>
  <c r="BK495" i="49"/>
  <c r="BD496" i="49"/>
  <c r="BE496" i="49"/>
  <c r="W503" i="49"/>
  <c r="AA503" i="49"/>
  <c r="BD503" i="49"/>
  <c r="BE503" i="49"/>
  <c r="W504" i="49"/>
  <c r="AA504" i="49"/>
  <c r="BD504" i="49"/>
  <c r="BE504" i="49"/>
  <c r="W505" i="49"/>
  <c r="AA505" i="49"/>
  <c r="BD505" i="49"/>
  <c r="BE505" i="49"/>
  <c r="W506" i="49"/>
  <c r="AA506" i="49"/>
  <c r="BD506" i="49"/>
  <c r="BE506" i="49"/>
  <c r="W510" i="49"/>
  <c r="AA510" i="49"/>
  <c r="BD510" i="49"/>
  <c r="BE510" i="49"/>
  <c r="W511" i="49"/>
  <c r="AA511" i="49"/>
  <c r="BD511" i="49"/>
  <c r="BE511" i="49"/>
  <c r="W512" i="49"/>
  <c r="AA512" i="49"/>
  <c r="BD512" i="49"/>
  <c r="BE512" i="49"/>
  <c r="W513" i="49"/>
  <c r="AA513" i="49"/>
  <c r="BD513" i="49"/>
  <c r="BE513" i="49"/>
  <c r="W514" i="49"/>
  <c r="AA514" i="49"/>
  <c r="BD514" i="49"/>
  <c r="BE514" i="49"/>
  <c r="W516" i="49"/>
  <c r="AA516" i="49"/>
  <c r="BD516" i="49"/>
  <c r="BE516" i="49"/>
  <c r="W517" i="49"/>
  <c r="AA517" i="49"/>
  <c r="BD517" i="49"/>
  <c r="BE517" i="49"/>
  <c r="W518" i="49"/>
  <c r="AA518" i="49"/>
  <c r="BD518" i="49"/>
  <c r="BE518" i="49"/>
  <c r="W519" i="49"/>
  <c r="AA519" i="49"/>
  <c r="BD519" i="49"/>
  <c r="BE519" i="49"/>
  <c r="W521" i="49"/>
  <c r="AA521" i="49"/>
  <c r="BD521" i="49"/>
  <c r="BE521" i="49"/>
  <c r="W522" i="49"/>
  <c r="AA522" i="49"/>
  <c r="BD522" i="49"/>
  <c r="BE522" i="49"/>
  <c r="W523" i="49"/>
  <c r="AA523" i="49"/>
  <c r="BD523" i="49"/>
  <c r="BE523" i="49"/>
  <c r="W526" i="49"/>
  <c r="X526" i="49"/>
  <c r="Y526" i="49"/>
  <c r="Z526" i="49"/>
  <c r="AA526" i="49"/>
  <c r="BD526" i="49"/>
  <c r="BE526" i="49"/>
  <c r="W527" i="49"/>
  <c r="AA527" i="49"/>
  <c r="BD527" i="49"/>
  <c r="BE527" i="49"/>
  <c r="W528" i="49"/>
  <c r="X528" i="49"/>
  <c r="Y528" i="49"/>
  <c r="Z528" i="49"/>
  <c r="AA528" i="49"/>
  <c r="BD528" i="49"/>
  <c r="BE528" i="49"/>
  <c r="W529" i="49"/>
  <c r="X529" i="49"/>
  <c r="Y529" i="49"/>
  <c r="Z529" i="49"/>
  <c r="AA529" i="49"/>
  <c r="BD529" i="49"/>
  <c r="BE529" i="49"/>
  <c r="BD530" i="49"/>
  <c r="BE530" i="49"/>
  <c r="W532" i="49"/>
  <c r="X532" i="49"/>
  <c r="Y532" i="49"/>
  <c r="Z532" i="49"/>
  <c r="AA532" i="49"/>
  <c r="BD532" i="49"/>
  <c r="BE532" i="49"/>
  <c r="W533" i="49"/>
  <c r="X533" i="49"/>
  <c r="Y533" i="49"/>
  <c r="Z533" i="49"/>
  <c r="AA533" i="49"/>
  <c r="BD533" i="49"/>
  <c r="BE533" i="49"/>
  <c r="W534" i="49"/>
  <c r="X534" i="49"/>
  <c r="Y534" i="49"/>
  <c r="Z534" i="49"/>
  <c r="AA534" i="49"/>
  <c r="BD534" i="49"/>
  <c r="BE534" i="49"/>
  <c r="W536" i="49"/>
  <c r="X536" i="49"/>
  <c r="Y536" i="49"/>
  <c r="Z536" i="49"/>
  <c r="AA536" i="49"/>
  <c r="BD536" i="49"/>
  <c r="BE536" i="49"/>
  <c r="AH9" i="72"/>
  <c r="AH15" i="72"/>
  <c r="AH16" i="72"/>
  <c r="AH17" i="72"/>
  <c r="AH24" i="72"/>
  <c r="AH25" i="72"/>
  <c r="AD29" i="72"/>
  <c r="AE29" i="72"/>
  <c r="AF29" i="72"/>
  <c r="AG29" i="72"/>
  <c r="AH29" i="72"/>
  <c r="AH31" i="72"/>
  <c r="AH32" i="72"/>
  <c r="AH33" i="72"/>
  <c r="AH34" i="72"/>
  <c r="AH52" i="72"/>
  <c r="AH53" i="72"/>
  <c r="AH54" i="72"/>
  <c r="AH55" i="72"/>
  <c r="AH99" i="72"/>
  <c r="AE10" i="94"/>
  <c r="AF10" i="94"/>
  <c r="AG10" i="94"/>
  <c r="AK10" i="94"/>
  <c r="AL10" i="94"/>
  <c r="AM10" i="94"/>
  <c r="AN10" i="94"/>
  <c r="AE11" i="94"/>
  <c r="AF11" i="94"/>
  <c r="AG11" i="94"/>
  <c r="AE12" i="94"/>
  <c r="AF12" i="94"/>
  <c r="AG12" i="94"/>
  <c r="AE13" i="94"/>
  <c r="AF13" i="94"/>
  <c r="AG13" i="94"/>
  <c r="AK13" i="94"/>
  <c r="AL13" i="94"/>
  <c r="AM13" i="94"/>
  <c r="AN13" i="94"/>
  <c r="AE14" i="94"/>
  <c r="AF14" i="94"/>
  <c r="AG14" i="94"/>
  <c r="AE15" i="94"/>
  <c r="AF15" i="94"/>
  <c r="AG15" i="94"/>
  <c r="AK15" i="94"/>
  <c r="AL15" i="94"/>
  <c r="AM15" i="94"/>
  <c r="AN15" i="94"/>
  <c r="AE16" i="94"/>
  <c r="AF16" i="94"/>
  <c r="AG16" i="94"/>
  <c r="AE17" i="94"/>
  <c r="AF17" i="94"/>
  <c r="AG17" i="94"/>
  <c r="AK17" i="94"/>
  <c r="AL17" i="94"/>
  <c r="AM17" i="94"/>
  <c r="AN17" i="94"/>
  <c r="AE18" i="94"/>
  <c r="AF18" i="94"/>
  <c r="AG18" i="94"/>
  <c r="AE19" i="94"/>
  <c r="AF19" i="94"/>
  <c r="AG19" i="94"/>
  <c r="AE21" i="94"/>
  <c r="AF21" i="94"/>
  <c r="AG21" i="94"/>
  <c r="AK21" i="94"/>
  <c r="AL21" i="94"/>
  <c r="AM21" i="94"/>
  <c r="AN21" i="94"/>
  <c r="AF22" i="94"/>
  <c r="AG22" i="94"/>
  <c r="AE24" i="94"/>
  <c r="AF24" i="94"/>
  <c r="AG24" i="94"/>
  <c r="AK24" i="94"/>
  <c r="AL24" i="94"/>
  <c r="AM24" i="94"/>
  <c r="AN24" i="94"/>
  <c r="AE25" i="94"/>
  <c r="AF25" i="94"/>
  <c r="AG25" i="94"/>
  <c r="AK25" i="94"/>
  <c r="AL25" i="94"/>
  <c r="AM25" i="94"/>
  <c r="AN25" i="94"/>
  <c r="AE26" i="94"/>
  <c r="AF26" i="94"/>
  <c r="AG26" i="94"/>
  <c r="AK26" i="94"/>
  <c r="AL26" i="94"/>
  <c r="AM26" i="94"/>
  <c r="AN26" i="94"/>
  <c r="AE28" i="94"/>
  <c r="AF28" i="94"/>
  <c r="AG28" i="94"/>
  <c r="AK28" i="94"/>
  <c r="AL28" i="94"/>
  <c r="AM28" i="94"/>
  <c r="AN28" i="94"/>
  <c r="AE30" i="94"/>
  <c r="AF30" i="94"/>
  <c r="AG30" i="94"/>
  <c r="AK30" i="94"/>
  <c r="AL30" i="94"/>
  <c r="AM30" i="94"/>
  <c r="AN30" i="94"/>
  <c r="AE31" i="94"/>
  <c r="AF31" i="94"/>
  <c r="AG31" i="94"/>
  <c r="AE34" i="94"/>
  <c r="AF34" i="94"/>
  <c r="AG34" i="94"/>
  <c r="AK34" i="94"/>
  <c r="AL34" i="94"/>
  <c r="AM34" i="94"/>
  <c r="AN34" i="94"/>
  <c r="AE35" i="94"/>
  <c r="AF35" i="94"/>
  <c r="AG35" i="94"/>
  <c r="AK35" i="94"/>
  <c r="AL35" i="94"/>
  <c r="AM35" i="94"/>
  <c r="AN35" i="94"/>
  <c r="AE36" i="94"/>
  <c r="AF36" i="94"/>
  <c r="AG36" i="94"/>
  <c r="AK36" i="94"/>
  <c r="AL36" i="94"/>
  <c r="AM36" i="94"/>
  <c r="AN36" i="94"/>
  <c r="AE37" i="94"/>
  <c r="AF37" i="94"/>
  <c r="AG37" i="94"/>
  <c r="AK37" i="94"/>
  <c r="AL37" i="94"/>
  <c r="AM37" i="94"/>
  <c r="AN37" i="94"/>
  <c r="AE38" i="94"/>
  <c r="AF38" i="94"/>
  <c r="AG38" i="94"/>
  <c r="AK38" i="94"/>
  <c r="AL38" i="94"/>
  <c r="AM38" i="94"/>
  <c r="AN38" i="94"/>
  <c r="AE39" i="94"/>
  <c r="AF39" i="94"/>
  <c r="AG39" i="94"/>
  <c r="AE40" i="94"/>
  <c r="AF40" i="94"/>
  <c r="AG40" i="94"/>
  <c r="AE41" i="94"/>
  <c r="AF41" i="94"/>
  <c r="AG41" i="94"/>
  <c r="AE42" i="94"/>
  <c r="AF42" i="94"/>
  <c r="AG42" i="94"/>
  <c r="AF44" i="94"/>
  <c r="AG44" i="94"/>
  <c r="AE45" i="94"/>
  <c r="AF45" i="94"/>
  <c r="AG45" i="94"/>
  <c r="AK45" i="94"/>
  <c r="AL45" i="94"/>
  <c r="AM45" i="94"/>
  <c r="AN45" i="94"/>
  <c r="AE47" i="94"/>
  <c r="AF47" i="94"/>
  <c r="AG47" i="94"/>
  <c r="AK47" i="94"/>
  <c r="AL47" i="94"/>
  <c r="AM47" i="94"/>
  <c r="AN47" i="94"/>
  <c r="AE48" i="94"/>
  <c r="AF48" i="94"/>
  <c r="AG48" i="94"/>
  <c r="AE49" i="94"/>
  <c r="AF49" i="94"/>
  <c r="AG49" i="94"/>
  <c r="AK49" i="94"/>
  <c r="AL49" i="94"/>
  <c r="AM49" i="94"/>
  <c r="AN49" i="94"/>
  <c r="AE50" i="94"/>
  <c r="AF50" i="94"/>
  <c r="AG50" i="94"/>
  <c r="AE52" i="94"/>
  <c r="AF52" i="94"/>
  <c r="AG52" i="94"/>
  <c r="AE53" i="94"/>
  <c r="AF53" i="94"/>
  <c r="AG53" i="94"/>
  <c r="AK53" i="94"/>
  <c r="AL53" i="94"/>
  <c r="AM53" i="94"/>
  <c r="AN53" i="94"/>
  <c r="AE64" i="94"/>
  <c r="AF64" i="94"/>
  <c r="AG64" i="94"/>
  <c r="AK64" i="94"/>
  <c r="AL64" i="94"/>
  <c r="AM64" i="94"/>
  <c r="AN64" i="94"/>
  <c r="AE65" i="94"/>
  <c r="AF65" i="94"/>
  <c r="AG65" i="94"/>
  <c r="AK65" i="94"/>
  <c r="AL65" i="94"/>
  <c r="AM65" i="94"/>
  <c r="AN65" i="94"/>
  <c r="AE66" i="94"/>
  <c r="AF66" i="94"/>
  <c r="AG66" i="94"/>
  <c r="AE69" i="94"/>
  <c r="AF69" i="94"/>
  <c r="AG69" i="94"/>
  <c r="AK69" i="94"/>
  <c r="AL69" i="94"/>
  <c r="AM69" i="94"/>
  <c r="AN69" i="94"/>
  <c r="AE70" i="94"/>
  <c r="AF70" i="94"/>
  <c r="AG70" i="94"/>
  <c r="AE71" i="94"/>
  <c r="AF71" i="94"/>
  <c r="AG71" i="94"/>
  <c r="AK71" i="94"/>
  <c r="AL71" i="94"/>
  <c r="AM71" i="94"/>
  <c r="AN71" i="94"/>
  <c r="AE72" i="94"/>
  <c r="AF72" i="94"/>
  <c r="AG72" i="94"/>
  <c r="AE73" i="94"/>
  <c r="AE80" i="94"/>
  <c r="AF80" i="94"/>
  <c r="AG80" i="94"/>
  <c r="AI80" i="94"/>
  <c r="AK80" i="94"/>
  <c r="AL80" i="94"/>
  <c r="AM80" i="94"/>
  <c r="AN80" i="94"/>
  <c r="AE82" i="94"/>
  <c r="AF82" i="94"/>
  <c r="AG82" i="94"/>
  <c r="AI82" i="94"/>
  <c r="AK82" i="94"/>
  <c r="AL82" i="94"/>
  <c r="AM82" i="94"/>
  <c r="AN82" i="94"/>
  <c r="AE85" i="94"/>
  <c r="AF85" i="94"/>
  <c r="AG85" i="94"/>
  <c r="AI85" i="94"/>
  <c r="AK85" i="94"/>
  <c r="AL85" i="94"/>
  <c r="AM85" i="94"/>
  <c r="AN85" i="94"/>
  <c r="AE86" i="94"/>
  <c r="AF86" i="94"/>
  <c r="AG86" i="94"/>
  <c r="AI86" i="94"/>
  <c r="AK86" i="94"/>
  <c r="AL86" i="94"/>
  <c r="AM86" i="94"/>
  <c r="AN86" i="94"/>
  <c r="AE87" i="94"/>
  <c r="AF87" i="94"/>
  <c r="AG87" i="94"/>
  <c r="AI87" i="94"/>
  <c r="AK87" i="94"/>
  <c r="AL87" i="94"/>
  <c r="AM87" i="94"/>
  <c r="AN87" i="94"/>
  <c r="AE88" i="94"/>
  <c r="AF88" i="94"/>
  <c r="AG88" i="94"/>
  <c r="AI88" i="94"/>
  <c r="AK88" i="94"/>
  <c r="AL88" i="94"/>
  <c r="AM88" i="94"/>
  <c r="AN88" i="94"/>
  <c r="AD90" i="94"/>
  <c r="AE90" i="94"/>
  <c r="AF90" i="94"/>
  <c r="AI90" i="94"/>
  <c r="AK90" i="94"/>
  <c r="AL90" i="94"/>
  <c r="AM90" i="94"/>
  <c r="AN90" i="94"/>
  <c r="AD91" i="94"/>
  <c r="AE91" i="94"/>
  <c r="AF91" i="94"/>
  <c r="AI91" i="94"/>
  <c r="AK91" i="94"/>
  <c r="AL91" i="94"/>
  <c r="AM91" i="94"/>
  <c r="AN91" i="94"/>
  <c r="AD92" i="94"/>
  <c r="AE92" i="94"/>
  <c r="AF92" i="94"/>
  <c r="AI92" i="94"/>
  <c r="AD93" i="94"/>
  <c r="AE93" i="94"/>
  <c r="AF93" i="94"/>
  <c r="AI93" i="94"/>
  <c r="AD97" i="94"/>
  <c r="AE97" i="94"/>
  <c r="AF97" i="94"/>
  <c r="AI97" i="94"/>
  <c r="B1" i="89"/>
  <c r="J9" i="89"/>
  <c r="J12" i="89"/>
  <c r="K12" i="89"/>
  <c r="L12" i="89"/>
  <c r="M12" i="89"/>
  <c r="N12" i="89"/>
  <c r="O12" i="89"/>
  <c r="P12" i="89"/>
  <c r="Q12" i="89"/>
  <c r="R12" i="89"/>
  <c r="S12" i="89"/>
  <c r="T12" i="89"/>
  <c r="U12" i="89"/>
  <c r="J13" i="89"/>
  <c r="K13" i="89"/>
  <c r="L13" i="89"/>
  <c r="M13" i="89"/>
  <c r="N13" i="89"/>
  <c r="O13" i="89"/>
  <c r="P13" i="89"/>
  <c r="Q13" i="89"/>
  <c r="R13" i="89"/>
  <c r="S13" i="89"/>
  <c r="T13" i="89"/>
  <c r="U13" i="89"/>
  <c r="W13" i="89"/>
  <c r="X13" i="89"/>
  <c r="AA13" i="89"/>
  <c r="L14" i="89"/>
  <c r="M14" i="89"/>
  <c r="N14" i="89"/>
  <c r="O14" i="89"/>
  <c r="P14" i="89"/>
  <c r="Q14" i="89"/>
  <c r="R14" i="89"/>
  <c r="S14" i="89"/>
  <c r="T14" i="89"/>
  <c r="U14" i="89"/>
  <c r="AA14" i="89"/>
  <c r="J18" i="89"/>
  <c r="K18" i="89"/>
  <c r="L18" i="89"/>
  <c r="M18" i="89"/>
  <c r="N18" i="89"/>
  <c r="O18" i="89"/>
  <c r="P18" i="89"/>
  <c r="Q18" i="89"/>
  <c r="R18" i="89"/>
  <c r="S18" i="89"/>
  <c r="T18" i="89"/>
  <c r="U18" i="89"/>
  <c r="J19" i="89"/>
  <c r="K19" i="89"/>
  <c r="L19" i="89"/>
  <c r="M19" i="89"/>
  <c r="N19" i="89"/>
  <c r="O19" i="89"/>
  <c r="P19" i="89"/>
  <c r="Q19" i="89"/>
  <c r="R19" i="89"/>
  <c r="S19" i="89"/>
  <c r="T19" i="89"/>
  <c r="U19" i="89"/>
  <c r="J20" i="89"/>
  <c r="K20" i="89"/>
  <c r="L20" i="89"/>
  <c r="M20" i="89"/>
  <c r="N20" i="89"/>
  <c r="O20" i="89"/>
  <c r="P20" i="89"/>
  <c r="Q20" i="89"/>
  <c r="R20" i="89"/>
  <c r="S20" i="89"/>
  <c r="T20" i="89"/>
  <c r="U20" i="89"/>
  <c r="J21" i="89"/>
  <c r="K21" i="89"/>
  <c r="L21" i="89"/>
  <c r="M21" i="89"/>
  <c r="N21" i="89"/>
  <c r="O21" i="89"/>
  <c r="P21" i="89"/>
  <c r="Q21" i="89"/>
  <c r="R21" i="89"/>
  <c r="S21" i="89"/>
  <c r="T21" i="89"/>
  <c r="U21" i="89"/>
  <c r="J22" i="89"/>
  <c r="K22" i="89"/>
  <c r="L22" i="89"/>
  <c r="M22" i="89"/>
  <c r="N22" i="89"/>
  <c r="O22" i="89"/>
  <c r="P22" i="89"/>
  <c r="Q22" i="89"/>
  <c r="R22" i="89"/>
  <c r="S22" i="89"/>
  <c r="T22" i="89"/>
  <c r="U22" i="89"/>
  <c r="W22" i="89"/>
  <c r="X22" i="89"/>
  <c r="J25" i="89"/>
  <c r="K25" i="89"/>
  <c r="L25" i="89"/>
  <c r="M25" i="89"/>
  <c r="N25" i="89"/>
  <c r="O25" i="89"/>
  <c r="P25" i="89"/>
  <c r="Q25" i="89"/>
  <c r="R25" i="89"/>
  <c r="S25" i="89"/>
  <c r="T25" i="89"/>
  <c r="U25" i="89"/>
  <c r="J26" i="89"/>
  <c r="K26" i="89"/>
  <c r="L26" i="89"/>
  <c r="M26" i="89"/>
  <c r="N26" i="89"/>
  <c r="O26" i="89"/>
  <c r="P26" i="89"/>
  <c r="Q26" i="89"/>
  <c r="R26" i="89"/>
  <c r="S26" i="89"/>
  <c r="T26" i="89"/>
  <c r="U26" i="89"/>
  <c r="J27" i="89"/>
  <c r="K27" i="89"/>
  <c r="L27" i="89"/>
  <c r="M27" i="89"/>
  <c r="N27" i="89"/>
  <c r="O27" i="89"/>
  <c r="P27" i="89"/>
  <c r="Q27" i="89"/>
  <c r="R27" i="89"/>
  <c r="S27" i="89"/>
  <c r="T27" i="89"/>
  <c r="J29" i="89"/>
  <c r="K29" i="89"/>
  <c r="L29" i="89"/>
  <c r="M29" i="89"/>
  <c r="N29" i="89"/>
  <c r="O29" i="89"/>
  <c r="P29" i="89"/>
  <c r="Q29" i="89"/>
  <c r="R29" i="89"/>
  <c r="S29" i="89"/>
  <c r="T29" i="89"/>
  <c r="U29" i="89"/>
  <c r="J30" i="89"/>
  <c r="K30" i="89"/>
  <c r="L30" i="89"/>
  <c r="M30" i="89"/>
  <c r="N30" i="89"/>
  <c r="O30" i="89"/>
  <c r="P30" i="89"/>
  <c r="Q30" i="89"/>
  <c r="R30" i="89"/>
  <c r="S30" i="89"/>
  <c r="T30" i="89"/>
  <c r="U30" i="89"/>
  <c r="L31" i="89"/>
  <c r="M31" i="89"/>
  <c r="N31" i="89"/>
  <c r="O31" i="89"/>
  <c r="P31" i="89"/>
  <c r="Q31" i="89"/>
  <c r="R31" i="89"/>
  <c r="S31" i="89"/>
  <c r="T31" i="89"/>
  <c r="U31" i="89"/>
  <c r="J32" i="89"/>
  <c r="K32" i="89"/>
  <c r="L32" i="89"/>
  <c r="M32" i="89"/>
  <c r="N32" i="89"/>
  <c r="O32" i="89"/>
  <c r="P32" i="89"/>
  <c r="Q32" i="89"/>
  <c r="R32" i="89"/>
  <c r="S32" i="89"/>
  <c r="T32" i="89"/>
  <c r="U32" i="89"/>
  <c r="Y32" i="89"/>
  <c r="J33" i="89"/>
  <c r="K33" i="89"/>
  <c r="L33" i="89"/>
  <c r="M33" i="89"/>
  <c r="N33" i="89"/>
  <c r="O33" i="89"/>
  <c r="P33" i="89"/>
  <c r="Q33" i="89"/>
  <c r="R33" i="89"/>
  <c r="S33" i="89"/>
  <c r="T33" i="89"/>
  <c r="U33" i="89"/>
  <c r="W33" i="89"/>
  <c r="X33" i="89"/>
  <c r="K36" i="89"/>
  <c r="L36" i="89"/>
  <c r="M36" i="89"/>
  <c r="N36" i="89"/>
  <c r="O36" i="89"/>
  <c r="P36" i="89"/>
  <c r="Q36" i="89"/>
  <c r="R36" i="89"/>
  <c r="S36" i="89"/>
  <c r="T36" i="89"/>
  <c r="U36" i="89"/>
  <c r="J37" i="89"/>
  <c r="J39" i="89"/>
  <c r="K39" i="89"/>
  <c r="L39" i="89"/>
  <c r="M39" i="89"/>
  <c r="N39" i="89"/>
  <c r="O39" i="89"/>
  <c r="P39" i="89"/>
  <c r="Q39" i="89"/>
  <c r="R39" i="89"/>
  <c r="S39" i="89"/>
  <c r="T39" i="89"/>
  <c r="U39" i="89"/>
  <c r="J40" i="89"/>
  <c r="K40" i="89"/>
  <c r="J42" i="89"/>
  <c r="K42" i="89"/>
  <c r="L42" i="89"/>
  <c r="M42" i="89"/>
  <c r="N42" i="89"/>
  <c r="O42" i="89"/>
  <c r="P42" i="89"/>
  <c r="Q42" i="89"/>
  <c r="R42" i="89"/>
  <c r="S42" i="89"/>
  <c r="T42" i="89"/>
  <c r="U42" i="89"/>
  <c r="J43" i="89"/>
  <c r="K43" i="89"/>
  <c r="L43" i="89"/>
  <c r="M43" i="89"/>
  <c r="N43" i="89"/>
  <c r="O43" i="89"/>
  <c r="P43" i="89"/>
  <c r="Q43" i="89"/>
  <c r="R43" i="89"/>
  <c r="S43" i="89"/>
  <c r="T43" i="89"/>
  <c r="U43" i="89"/>
  <c r="J45" i="89"/>
  <c r="K45" i="89"/>
  <c r="L45" i="89"/>
  <c r="M45" i="89"/>
  <c r="N45" i="89"/>
  <c r="O45" i="89"/>
  <c r="P45" i="89"/>
  <c r="Q45" i="89"/>
  <c r="R45" i="89"/>
  <c r="S45" i="89"/>
  <c r="T45" i="89"/>
  <c r="U45" i="89"/>
  <c r="J46" i="89"/>
  <c r="K46" i="89"/>
  <c r="L46" i="89"/>
  <c r="M46" i="89"/>
  <c r="N46" i="89"/>
  <c r="O46" i="89"/>
  <c r="P46" i="89"/>
  <c r="Q46" i="89"/>
  <c r="R46" i="89"/>
  <c r="S46" i="89"/>
  <c r="T46" i="89"/>
  <c r="U46" i="89"/>
  <c r="J49" i="89"/>
  <c r="K49" i="89"/>
  <c r="L49" i="89"/>
  <c r="M49" i="89"/>
  <c r="N49" i="89"/>
  <c r="O49" i="89"/>
  <c r="P49" i="89"/>
  <c r="Q49" i="89"/>
  <c r="R49" i="89"/>
  <c r="S49" i="89"/>
  <c r="T49" i="89"/>
  <c r="U49" i="89"/>
  <c r="J51" i="89"/>
  <c r="K51" i="89"/>
  <c r="L51" i="89"/>
  <c r="M51" i="89"/>
  <c r="N51" i="89"/>
  <c r="O51" i="89"/>
  <c r="P51" i="89"/>
  <c r="Q51" i="89"/>
  <c r="R51" i="89"/>
  <c r="S51" i="89"/>
  <c r="T51" i="89"/>
  <c r="U51" i="89"/>
  <c r="J52" i="89"/>
  <c r="K52" i="89"/>
  <c r="L52" i="89"/>
  <c r="M52" i="89"/>
  <c r="N52" i="89"/>
  <c r="O52" i="89"/>
  <c r="P52" i="89"/>
  <c r="Q52" i="89"/>
  <c r="R52" i="89"/>
  <c r="S52" i="89"/>
  <c r="T52" i="89"/>
  <c r="U52" i="89"/>
  <c r="J53" i="89"/>
  <c r="K53" i="89"/>
  <c r="L53" i="89"/>
  <c r="M53" i="89"/>
  <c r="N53" i="89"/>
  <c r="O53" i="89"/>
  <c r="P53" i="89"/>
  <c r="Q53" i="89"/>
  <c r="R53" i="89"/>
  <c r="S53" i="89"/>
  <c r="T53" i="89"/>
  <c r="U53" i="89"/>
  <c r="J55" i="89"/>
  <c r="K55" i="89"/>
  <c r="L55" i="89"/>
  <c r="M55" i="89"/>
  <c r="N55" i="89"/>
  <c r="O55" i="89"/>
  <c r="P55" i="89"/>
  <c r="Q55" i="89"/>
  <c r="R55" i="89"/>
  <c r="S55" i="89"/>
  <c r="T55" i="89"/>
  <c r="U55" i="89"/>
  <c r="J56" i="89"/>
  <c r="K56" i="89"/>
  <c r="L56" i="89"/>
  <c r="M56" i="89"/>
  <c r="N56" i="89"/>
  <c r="O56" i="89"/>
  <c r="P56" i="89"/>
  <c r="Q56" i="89"/>
  <c r="R56" i="89"/>
  <c r="S56" i="89"/>
  <c r="T56" i="89"/>
  <c r="U56" i="89"/>
  <c r="J57" i="89"/>
  <c r="K57" i="89"/>
  <c r="L57" i="89"/>
  <c r="M57" i="89"/>
  <c r="N57" i="89"/>
  <c r="O57" i="89"/>
  <c r="P57" i="89"/>
  <c r="Q57" i="89"/>
  <c r="R57" i="89"/>
  <c r="S57" i="89"/>
  <c r="T57" i="89"/>
  <c r="U57" i="89"/>
  <c r="J59" i="89"/>
  <c r="K59" i="89"/>
  <c r="L59" i="89"/>
  <c r="M59" i="89"/>
  <c r="N59" i="89"/>
  <c r="O59" i="89"/>
  <c r="P59" i="89"/>
  <c r="Q59" i="89"/>
  <c r="R59" i="89"/>
  <c r="S59" i="89"/>
  <c r="T59" i="89"/>
  <c r="U59" i="89"/>
  <c r="J60" i="89"/>
  <c r="Y60" i="89"/>
  <c r="J63" i="89"/>
  <c r="K63" i="89"/>
  <c r="L63" i="89"/>
  <c r="M63" i="89"/>
  <c r="N63" i="89"/>
  <c r="O63" i="89"/>
  <c r="P63" i="89"/>
  <c r="Q63" i="89"/>
  <c r="R63" i="89"/>
  <c r="S63" i="89"/>
  <c r="T63" i="89"/>
  <c r="U63" i="89"/>
  <c r="J64" i="89"/>
  <c r="K64" i="89"/>
  <c r="L64" i="89"/>
  <c r="M64" i="89"/>
  <c r="N64" i="89"/>
  <c r="O64" i="89"/>
  <c r="P64" i="89"/>
  <c r="Q64" i="89"/>
  <c r="R64" i="89"/>
  <c r="S64" i="89"/>
  <c r="T64" i="89"/>
  <c r="U64" i="89"/>
  <c r="J65" i="89"/>
  <c r="K65" i="89"/>
  <c r="L65" i="89"/>
  <c r="M65" i="89"/>
  <c r="N65" i="89"/>
  <c r="O65" i="89"/>
  <c r="P65" i="89"/>
  <c r="Q65" i="89"/>
  <c r="R65" i="89"/>
  <c r="S65" i="89"/>
  <c r="T65" i="89"/>
  <c r="U65" i="89"/>
  <c r="J68" i="89"/>
  <c r="K68" i="89"/>
  <c r="L68" i="89"/>
  <c r="M68" i="89"/>
  <c r="N68" i="89"/>
  <c r="O68" i="89"/>
  <c r="P68" i="89"/>
  <c r="Q68" i="89"/>
  <c r="R68" i="89"/>
  <c r="S68" i="89"/>
  <c r="T68" i="89"/>
  <c r="U68" i="89"/>
  <c r="J69" i="89"/>
  <c r="K69" i="89"/>
  <c r="L69" i="89"/>
  <c r="M69" i="89"/>
  <c r="N69" i="89"/>
  <c r="O69" i="89"/>
  <c r="P69" i="89"/>
  <c r="Q69" i="89"/>
  <c r="R69" i="89"/>
  <c r="S69" i="89"/>
  <c r="T69" i="89"/>
  <c r="U69" i="89"/>
  <c r="J70" i="89"/>
  <c r="K70" i="89"/>
  <c r="K72" i="89"/>
  <c r="L72" i="89"/>
  <c r="M72" i="89"/>
  <c r="N72" i="89"/>
  <c r="O72" i="89"/>
  <c r="P72" i="89"/>
  <c r="Q72" i="89"/>
  <c r="R72" i="89"/>
  <c r="S72" i="89"/>
  <c r="T72" i="89"/>
  <c r="U72" i="89"/>
  <c r="J73" i="89"/>
  <c r="K73" i="89"/>
  <c r="L73" i="89"/>
  <c r="M73" i="89"/>
  <c r="N73" i="89"/>
  <c r="O73" i="89"/>
  <c r="P73" i="89"/>
  <c r="Q73" i="89"/>
  <c r="R73" i="89"/>
  <c r="S73" i="89"/>
  <c r="T73" i="89"/>
  <c r="U73" i="89"/>
  <c r="J74" i="89"/>
  <c r="K74" i="89"/>
  <c r="L74" i="89"/>
  <c r="M74" i="89"/>
  <c r="N74" i="89"/>
  <c r="O74" i="89"/>
  <c r="P74" i="89"/>
  <c r="Q74" i="89"/>
  <c r="R74" i="89"/>
  <c r="S74" i="89"/>
  <c r="T74" i="89"/>
  <c r="U74" i="89"/>
  <c r="J75" i="89"/>
  <c r="K75" i="89"/>
  <c r="L75" i="89"/>
  <c r="M75" i="89"/>
  <c r="N75" i="89"/>
  <c r="O75" i="89"/>
  <c r="P75" i="89"/>
  <c r="Q75" i="89"/>
  <c r="R75" i="89"/>
  <c r="S75" i="89"/>
  <c r="T75" i="89"/>
  <c r="U75" i="89"/>
  <c r="J78" i="89"/>
  <c r="K78" i="89"/>
  <c r="L78" i="89"/>
  <c r="M78" i="89"/>
  <c r="N78" i="89"/>
  <c r="O78" i="89"/>
  <c r="P78" i="89"/>
  <c r="Q78" i="89"/>
  <c r="R78" i="89"/>
  <c r="S78" i="89"/>
  <c r="T78" i="89"/>
  <c r="U78" i="89"/>
  <c r="J80" i="89"/>
  <c r="K80" i="89"/>
  <c r="L80" i="89"/>
  <c r="M80" i="89"/>
  <c r="N80" i="89"/>
  <c r="O80" i="89"/>
  <c r="P80" i="89"/>
  <c r="Q80" i="89"/>
  <c r="R80" i="89"/>
  <c r="S80" i="89"/>
  <c r="T80" i="89"/>
  <c r="U80" i="89"/>
  <c r="K82" i="89"/>
  <c r="L82" i="89"/>
  <c r="M82" i="89"/>
  <c r="N82" i="89"/>
  <c r="O82" i="89"/>
  <c r="P82" i="89"/>
  <c r="Q82" i="89"/>
  <c r="R82" i="89"/>
  <c r="S82" i="89"/>
  <c r="T82" i="89"/>
  <c r="U82" i="89"/>
  <c r="J83" i="89"/>
  <c r="J84" i="89"/>
  <c r="K84" i="89"/>
  <c r="L84" i="89"/>
  <c r="M84" i="89"/>
  <c r="N84" i="89"/>
  <c r="O84" i="89"/>
  <c r="P84" i="89"/>
  <c r="Q84" i="89"/>
  <c r="R84" i="89"/>
  <c r="S84" i="89"/>
  <c r="T84" i="89"/>
  <c r="U84" i="89"/>
  <c r="J85" i="89"/>
  <c r="K87" i="89"/>
  <c r="L87" i="89"/>
  <c r="M87" i="89"/>
  <c r="N87" i="89"/>
  <c r="O87" i="89"/>
  <c r="P87" i="89"/>
  <c r="Q87" i="89"/>
  <c r="R87" i="89"/>
  <c r="S87" i="89"/>
  <c r="T87" i="89"/>
  <c r="U87" i="89"/>
  <c r="K88" i="89"/>
  <c r="L88" i="89"/>
  <c r="M88" i="89"/>
  <c r="N88" i="89"/>
  <c r="O88" i="89"/>
  <c r="P88" i="89"/>
  <c r="Q88" i="89"/>
  <c r="R88" i="89"/>
  <c r="S88" i="89"/>
  <c r="T88" i="89"/>
  <c r="U88" i="89"/>
  <c r="K90" i="89"/>
  <c r="L90" i="89"/>
  <c r="M90" i="89"/>
  <c r="N90" i="89"/>
  <c r="O90" i="89"/>
  <c r="P90" i="89"/>
  <c r="Q90" i="89"/>
  <c r="R90" i="89"/>
  <c r="S90" i="89"/>
  <c r="T90" i="89"/>
  <c r="U90" i="89"/>
  <c r="K91" i="89"/>
  <c r="L91" i="89"/>
  <c r="M91" i="89"/>
  <c r="N91" i="89"/>
  <c r="O91" i="89"/>
  <c r="P91" i="89"/>
  <c r="Q91" i="89"/>
  <c r="R91" i="89"/>
  <c r="S91" i="89"/>
  <c r="T91" i="89"/>
  <c r="U91" i="89"/>
  <c r="K95" i="89"/>
  <c r="L95" i="89"/>
  <c r="M95" i="89"/>
  <c r="N95" i="89"/>
  <c r="O95" i="89"/>
  <c r="P95" i="89"/>
  <c r="Q95" i="89"/>
  <c r="R95" i="89"/>
  <c r="S95" i="89"/>
  <c r="T95" i="89"/>
  <c r="U95" i="89"/>
  <c r="K96" i="89"/>
  <c r="L96" i="89"/>
  <c r="M96" i="89"/>
  <c r="N96" i="89"/>
  <c r="O96" i="89"/>
  <c r="P96" i="89"/>
  <c r="Q96" i="89"/>
  <c r="R96" i="89"/>
  <c r="S96" i="89"/>
  <c r="T96" i="89"/>
  <c r="U96" i="89"/>
  <c r="J97" i="89"/>
  <c r="K97" i="89"/>
  <c r="L97" i="89"/>
  <c r="M97" i="89"/>
  <c r="N97" i="89"/>
  <c r="O97" i="89"/>
  <c r="P97" i="89"/>
  <c r="Q97" i="89"/>
  <c r="R97" i="89"/>
  <c r="S97" i="89"/>
  <c r="T97" i="89"/>
  <c r="U97" i="89"/>
  <c r="J99" i="89"/>
  <c r="K99" i="89"/>
  <c r="L99" i="89"/>
  <c r="M99" i="89"/>
  <c r="N99" i="89"/>
  <c r="O99" i="89"/>
  <c r="P99" i="89"/>
  <c r="Q99" i="89"/>
  <c r="R99" i="89"/>
  <c r="S99" i="89"/>
  <c r="T99" i="89"/>
  <c r="U99" i="89"/>
  <c r="J102" i="89"/>
  <c r="K102" i="89"/>
  <c r="L102" i="89"/>
  <c r="M102" i="89"/>
  <c r="N102" i="89"/>
  <c r="O102" i="89"/>
  <c r="P102" i="89"/>
  <c r="Q102" i="89"/>
  <c r="R102" i="89"/>
  <c r="S102" i="89"/>
  <c r="T102" i="89"/>
  <c r="U102" i="89"/>
  <c r="J103" i="89"/>
  <c r="K103" i="89"/>
  <c r="L103" i="89"/>
  <c r="M103" i="89"/>
  <c r="N103" i="89"/>
  <c r="O103" i="89"/>
  <c r="P103" i="89"/>
  <c r="Q103" i="89"/>
  <c r="R103" i="89"/>
  <c r="S103" i="89"/>
  <c r="T103" i="89"/>
  <c r="U103" i="89"/>
  <c r="J104" i="89"/>
  <c r="K104" i="89"/>
  <c r="L104" i="89"/>
  <c r="M104" i="89"/>
  <c r="N104" i="89"/>
  <c r="O104" i="89"/>
  <c r="P104" i="89"/>
  <c r="Q104" i="89"/>
  <c r="R104" i="89"/>
  <c r="S104" i="89"/>
  <c r="T104" i="89"/>
  <c r="U104" i="89"/>
  <c r="J105" i="89"/>
  <c r="K105" i="89"/>
  <c r="L105" i="89"/>
  <c r="M105" i="89"/>
  <c r="N105" i="89"/>
  <c r="O105" i="89"/>
  <c r="P105" i="89"/>
  <c r="Q105" i="89"/>
  <c r="R105" i="89"/>
  <c r="S105" i="89"/>
  <c r="T105" i="89"/>
  <c r="U105" i="89"/>
  <c r="J106" i="89"/>
  <c r="K106" i="89"/>
  <c r="L106" i="89"/>
  <c r="M106" i="89"/>
  <c r="N106" i="89"/>
  <c r="O106" i="89"/>
  <c r="P106" i="89"/>
  <c r="Q106" i="89"/>
  <c r="R106" i="89"/>
  <c r="S106" i="89"/>
  <c r="T106" i="89"/>
  <c r="U106" i="89"/>
  <c r="AE106" i="89"/>
  <c r="AF106" i="89"/>
  <c r="AG106" i="89"/>
  <c r="AH106" i="89"/>
  <c r="J107" i="89"/>
  <c r="K107" i="89"/>
  <c r="L107" i="89"/>
  <c r="M107" i="89"/>
  <c r="N107" i="89"/>
  <c r="O107" i="89"/>
  <c r="P107" i="89"/>
  <c r="Q107" i="89"/>
  <c r="R107" i="89"/>
  <c r="S107" i="89"/>
  <c r="T107" i="89"/>
  <c r="U107" i="89"/>
  <c r="AE107" i="89"/>
  <c r="AF107" i="89"/>
  <c r="AG107" i="89"/>
  <c r="AH107" i="89"/>
  <c r="AE109" i="89"/>
  <c r="AF109" i="89"/>
  <c r="AG109" i="89"/>
  <c r="AH109" i="89"/>
  <c r="T111" i="89"/>
  <c r="U111" i="89"/>
  <c r="K112" i="89"/>
  <c r="L112" i="89"/>
  <c r="M112" i="89"/>
  <c r="N112" i="89"/>
  <c r="O112" i="89"/>
  <c r="P112" i="89"/>
  <c r="Q112" i="89"/>
  <c r="R112" i="89"/>
  <c r="S112" i="89"/>
  <c r="T112" i="89"/>
  <c r="U112" i="89"/>
  <c r="K114" i="89"/>
  <c r="L114" i="89"/>
  <c r="M114" i="89"/>
  <c r="N114" i="89"/>
  <c r="O114" i="89"/>
  <c r="P114" i="89"/>
  <c r="Q114" i="89"/>
  <c r="R114" i="89"/>
  <c r="S114" i="89"/>
  <c r="T114" i="89"/>
  <c r="U114" i="89"/>
  <c r="F116" i="89"/>
  <c r="J138" i="89"/>
  <c r="K138" i="89"/>
  <c r="L138" i="89"/>
  <c r="M138" i="89"/>
  <c r="N138" i="89"/>
  <c r="O138" i="89"/>
  <c r="P138" i="89"/>
  <c r="Q138" i="89"/>
  <c r="R138" i="89"/>
  <c r="S138" i="89"/>
  <c r="T138" i="89"/>
  <c r="U138" i="89"/>
  <c r="J139" i="89"/>
  <c r="K139" i="89"/>
  <c r="L139" i="89"/>
  <c r="M139" i="89"/>
  <c r="N139" i="89"/>
  <c r="O139" i="89"/>
  <c r="P139" i="89"/>
  <c r="Q139" i="89"/>
  <c r="R139" i="89"/>
  <c r="S139" i="89"/>
  <c r="T139" i="89"/>
  <c r="U139" i="89"/>
  <c r="J141" i="89"/>
  <c r="K141" i="89"/>
  <c r="L141" i="89"/>
  <c r="M141" i="89"/>
  <c r="N141" i="89"/>
  <c r="O141" i="89"/>
  <c r="P141" i="89"/>
  <c r="Q141" i="89"/>
  <c r="R141" i="89"/>
  <c r="S141" i="89"/>
  <c r="T141" i="89"/>
  <c r="U141" i="89"/>
  <c r="J142" i="89"/>
  <c r="K142" i="89"/>
  <c r="L142" i="89"/>
  <c r="M142" i="89"/>
  <c r="N142" i="89"/>
  <c r="O142" i="89"/>
  <c r="P142" i="89"/>
  <c r="Q142" i="89"/>
  <c r="R142" i="89"/>
  <c r="S142" i="89"/>
  <c r="T142" i="89"/>
  <c r="U142" i="89"/>
  <c r="J143" i="89"/>
  <c r="K143" i="89"/>
  <c r="L143" i="89"/>
  <c r="M143" i="89"/>
  <c r="N143" i="89"/>
  <c r="O143" i="89"/>
  <c r="P143" i="89"/>
  <c r="Q143" i="89"/>
  <c r="R143" i="89"/>
  <c r="S143" i="89"/>
  <c r="T143" i="89"/>
  <c r="J144" i="89"/>
  <c r="K144" i="89"/>
  <c r="L144" i="89"/>
  <c r="M144" i="89"/>
  <c r="N144" i="89"/>
  <c r="O144" i="89"/>
  <c r="P144" i="89"/>
  <c r="Q144" i="89"/>
  <c r="R144" i="89"/>
  <c r="S144" i="89"/>
  <c r="T144" i="89"/>
  <c r="U144" i="89"/>
  <c r="J147" i="89"/>
  <c r="K147" i="89"/>
  <c r="L147" i="89"/>
  <c r="M147" i="89"/>
  <c r="N147" i="89"/>
  <c r="O147" i="89"/>
  <c r="P147" i="89"/>
  <c r="Q147" i="89"/>
  <c r="R147" i="89"/>
  <c r="S147" i="89"/>
  <c r="T147" i="89"/>
  <c r="U147" i="89"/>
  <c r="J148" i="89"/>
  <c r="K148" i="89"/>
  <c r="J151" i="89"/>
  <c r="K151" i="89"/>
  <c r="L151" i="89"/>
  <c r="M151" i="89"/>
  <c r="N151" i="89"/>
  <c r="O151" i="89"/>
  <c r="P151" i="89"/>
  <c r="Q151" i="89"/>
  <c r="R151" i="89"/>
  <c r="S151" i="89"/>
  <c r="T151" i="89"/>
  <c r="U151" i="89"/>
  <c r="J152" i="89"/>
  <c r="K152" i="89"/>
  <c r="L152" i="89"/>
  <c r="M152" i="89"/>
  <c r="N152" i="89"/>
  <c r="O152" i="89"/>
  <c r="P152" i="89"/>
  <c r="Q152" i="89"/>
  <c r="R152" i="89"/>
  <c r="S152" i="89"/>
  <c r="T152" i="89"/>
  <c r="U152" i="89"/>
  <c r="J153" i="89"/>
  <c r="K153" i="89"/>
  <c r="L153" i="89"/>
  <c r="M153" i="89"/>
  <c r="N153" i="89"/>
  <c r="O153" i="89"/>
  <c r="P153" i="89"/>
  <c r="Q153" i="89"/>
  <c r="R153" i="89"/>
  <c r="S153" i="89"/>
  <c r="T153" i="89"/>
  <c r="U153" i="89"/>
  <c r="J154" i="89"/>
  <c r="K154" i="89"/>
  <c r="L154" i="89"/>
  <c r="M154" i="89"/>
  <c r="N154" i="89"/>
  <c r="O154" i="89"/>
  <c r="P154" i="89"/>
  <c r="Q154" i="89"/>
  <c r="R154" i="89"/>
  <c r="S154" i="89"/>
  <c r="T154" i="89"/>
  <c r="U154" i="89"/>
  <c r="J156" i="89"/>
  <c r="K156" i="89"/>
  <c r="L156" i="89"/>
  <c r="M156" i="89"/>
  <c r="N156" i="89"/>
  <c r="O156" i="89"/>
  <c r="P156" i="89"/>
  <c r="Q156" i="89"/>
  <c r="R156" i="89"/>
  <c r="S156" i="89"/>
  <c r="T156" i="89"/>
  <c r="U156" i="89"/>
  <c r="J157" i="89"/>
  <c r="K157" i="89"/>
  <c r="L157" i="89"/>
  <c r="M157" i="89"/>
  <c r="N157" i="89"/>
  <c r="O157" i="89"/>
  <c r="P157" i="89"/>
  <c r="Q157" i="89"/>
  <c r="R157" i="89"/>
  <c r="S157" i="89"/>
  <c r="T157" i="89"/>
  <c r="U157" i="89"/>
  <c r="J158" i="89"/>
  <c r="K158" i="89"/>
  <c r="L158" i="89"/>
  <c r="M158" i="89"/>
  <c r="N158" i="89"/>
  <c r="O158" i="89"/>
  <c r="P158" i="89"/>
  <c r="Q158" i="89"/>
  <c r="R158" i="89"/>
  <c r="S158" i="89"/>
  <c r="T158" i="89"/>
  <c r="U158" i="89"/>
  <c r="J160" i="89"/>
  <c r="K160" i="89"/>
  <c r="J161" i="89"/>
  <c r="K161" i="89"/>
  <c r="L161" i="89"/>
  <c r="M161" i="89"/>
  <c r="N161" i="89"/>
  <c r="O161" i="89"/>
  <c r="P161" i="89"/>
  <c r="Q161" i="89"/>
  <c r="R161" i="89"/>
  <c r="S161" i="89"/>
  <c r="T161" i="89"/>
  <c r="U161" i="89"/>
  <c r="J166" i="89"/>
  <c r="K166" i="89"/>
  <c r="L166" i="89"/>
  <c r="M166" i="89"/>
  <c r="N166" i="89"/>
  <c r="O166" i="89"/>
  <c r="P166" i="89"/>
  <c r="Q166" i="89"/>
  <c r="R166" i="89"/>
  <c r="S166" i="89"/>
  <c r="T166" i="89"/>
  <c r="U166" i="89"/>
  <c r="J168" i="89"/>
  <c r="K168" i="89"/>
  <c r="L168" i="89"/>
  <c r="M168" i="89"/>
  <c r="N168" i="89"/>
  <c r="O168" i="89"/>
  <c r="P168" i="89"/>
  <c r="Q168" i="89"/>
  <c r="R168" i="89"/>
  <c r="S168" i="89"/>
  <c r="T168" i="89"/>
  <c r="U168" i="89"/>
  <c r="J169" i="89"/>
  <c r="K169" i="89"/>
  <c r="L169" i="89"/>
  <c r="M169" i="89"/>
  <c r="N169" i="89"/>
  <c r="O169" i="89"/>
  <c r="P169" i="89"/>
  <c r="Q169" i="89"/>
  <c r="R169" i="89"/>
  <c r="S169" i="89"/>
  <c r="T169" i="89"/>
  <c r="U169" i="89"/>
  <c r="J170" i="89"/>
  <c r="K170" i="89"/>
  <c r="L170" i="89"/>
  <c r="M170" i="89"/>
  <c r="N170" i="89"/>
  <c r="O170" i="89"/>
  <c r="P170" i="89"/>
  <c r="Q170" i="89"/>
  <c r="R170" i="89"/>
  <c r="S170" i="89"/>
  <c r="T170" i="89"/>
  <c r="U170" i="89"/>
  <c r="J181" i="89"/>
  <c r="K181" i="89"/>
  <c r="L181" i="89"/>
  <c r="M181" i="89"/>
  <c r="N181" i="89"/>
  <c r="O181" i="89"/>
  <c r="P181" i="89"/>
  <c r="Q181" i="89"/>
  <c r="R181" i="89"/>
  <c r="S181" i="89"/>
  <c r="T181" i="89"/>
  <c r="U181" i="89"/>
  <c r="K182" i="89"/>
  <c r="L182" i="89"/>
  <c r="M182" i="89"/>
  <c r="N182" i="89"/>
  <c r="O182" i="89"/>
  <c r="P182" i="89"/>
  <c r="Q182" i="89"/>
  <c r="R182" i="89"/>
  <c r="S182" i="89"/>
  <c r="T182" i="89"/>
  <c r="U182" i="89"/>
  <c r="L183" i="89"/>
  <c r="M183" i="89"/>
  <c r="N183" i="89"/>
  <c r="O183" i="89"/>
  <c r="P183" i="89"/>
  <c r="Q183" i="89"/>
  <c r="R183" i="89"/>
  <c r="S183" i="89"/>
  <c r="T183" i="89"/>
  <c r="U183" i="89"/>
  <c r="M184" i="89"/>
  <c r="N184" i="89"/>
  <c r="O184" i="89"/>
  <c r="P184" i="89"/>
  <c r="Q184" i="89"/>
  <c r="R184" i="89"/>
  <c r="S184" i="89"/>
  <c r="T184" i="89"/>
  <c r="U184" i="89"/>
  <c r="N185" i="89"/>
  <c r="O185" i="89"/>
  <c r="P185" i="89"/>
  <c r="Q185" i="89"/>
  <c r="R185" i="89"/>
  <c r="S185" i="89"/>
  <c r="T185" i="89"/>
  <c r="U185" i="89"/>
  <c r="O186" i="89"/>
  <c r="P186" i="89"/>
  <c r="Q186" i="89"/>
  <c r="R186" i="89"/>
  <c r="S186" i="89"/>
  <c r="T186" i="89"/>
  <c r="U186" i="89"/>
  <c r="P187" i="89"/>
  <c r="Q187" i="89"/>
  <c r="R187" i="89"/>
  <c r="S187" i="89"/>
  <c r="T187" i="89"/>
  <c r="U187" i="89"/>
  <c r="Q188" i="89"/>
  <c r="R188" i="89"/>
  <c r="S188" i="89"/>
  <c r="T188" i="89"/>
  <c r="U188" i="89"/>
  <c r="R189" i="89"/>
  <c r="S189" i="89"/>
  <c r="T189" i="89"/>
  <c r="U189" i="89"/>
  <c r="S190" i="89"/>
  <c r="T190" i="89"/>
  <c r="U190" i="89"/>
  <c r="T191" i="89"/>
  <c r="U191" i="89"/>
  <c r="U192" i="89"/>
  <c r="J193" i="89"/>
  <c r="K193" i="89"/>
  <c r="L193" i="89"/>
  <c r="M193" i="89"/>
  <c r="N193" i="89"/>
  <c r="O193" i="89"/>
  <c r="P193" i="89"/>
  <c r="Q193" i="89"/>
  <c r="R193" i="89"/>
  <c r="S193" i="89"/>
  <c r="T193" i="89"/>
  <c r="U193" i="89"/>
  <c r="J201" i="89"/>
  <c r="K201" i="89"/>
  <c r="L201" i="89"/>
  <c r="M201" i="89"/>
  <c r="N201" i="89"/>
  <c r="O201" i="89"/>
  <c r="P201" i="89"/>
  <c r="Q201" i="89"/>
  <c r="R201" i="89"/>
  <c r="S201" i="89"/>
  <c r="T201" i="89"/>
  <c r="U201" i="89"/>
  <c r="J202" i="89"/>
  <c r="K202" i="89"/>
  <c r="L202" i="89"/>
  <c r="M202" i="89"/>
  <c r="N202" i="89"/>
  <c r="O202" i="89"/>
  <c r="P202" i="89"/>
  <c r="Q202" i="89"/>
  <c r="R202" i="89"/>
  <c r="S202" i="89"/>
  <c r="T202" i="89"/>
  <c r="U202" i="89"/>
  <c r="J203" i="89"/>
  <c r="K203" i="89"/>
  <c r="L203" i="89"/>
  <c r="M203" i="89"/>
  <c r="N203" i="89"/>
  <c r="O203" i="89"/>
  <c r="P203" i="89"/>
  <c r="Q203" i="89"/>
  <c r="R203" i="89"/>
  <c r="S203" i="89"/>
  <c r="T203" i="89"/>
  <c r="U203" i="89"/>
  <c r="K212" i="89"/>
  <c r="L212" i="89"/>
  <c r="M212" i="89"/>
  <c r="N212" i="89"/>
  <c r="O212" i="89"/>
  <c r="P212" i="89"/>
  <c r="Q212" i="89"/>
  <c r="R212" i="89"/>
  <c r="S212" i="89"/>
  <c r="T212" i="89"/>
  <c r="U212" i="89"/>
  <c r="T213" i="89"/>
  <c r="K214" i="89"/>
  <c r="L214" i="89"/>
  <c r="M214" i="89"/>
  <c r="N214" i="89"/>
  <c r="O214" i="89"/>
  <c r="P214" i="89"/>
  <c r="Q214" i="89"/>
  <c r="R214" i="89"/>
  <c r="S214" i="89"/>
  <c r="T214" i="89"/>
  <c r="D215" i="89"/>
  <c r="K215" i="89"/>
  <c r="L215" i="89"/>
  <c r="M215" i="89"/>
  <c r="N215" i="89"/>
  <c r="O215" i="89"/>
  <c r="P215" i="89"/>
  <c r="Q215" i="89"/>
  <c r="R215" i="89"/>
  <c r="S215" i="89"/>
  <c r="T215" i="89"/>
  <c r="J216" i="89"/>
  <c r="J218" i="89"/>
  <c r="J220" i="89"/>
  <c r="J221" i="89"/>
  <c r="B1" i="108"/>
  <c r="J9" i="108"/>
  <c r="J12" i="108"/>
  <c r="K12" i="108"/>
  <c r="L12" i="108"/>
  <c r="M12" i="108"/>
  <c r="N12" i="108"/>
  <c r="O12" i="108"/>
  <c r="P12" i="108"/>
  <c r="Q12" i="108"/>
  <c r="R12" i="108"/>
  <c r="S12" i="108"/>
  <c r="T12" i="108"/>
  <c r="U12" i="108"/>
  <c r="J13" i="108"/>
  <c r="K13" i="108"/>
  <c r="L13" i="108"/>
  <c r="M13" i="108"/>
  <c r="N13" i="108"/>
  <c r="O13" i="108"/>
  <c r="P13" i="108"/>
  <c r="Q13" i="108"/>
  <c r="R13" i="108"/>
  <c r="S13" i="108"/>
  <c r="T13" i="108"/>
  <c r="U13" i="108"/>
  <c r="W13" i="108"/>
  <c r="X13" i="108"/>
  <c r="J14" i="108"/>
  <c r="K14" i="108"/>
  <c r="L14" i="108"/>
  <c r="M14" i="108"/>
  <c r="N14" i="108"/>
  <c r="O14" i="108"/>
  <c r="P14" i="108"/>
  <c r="Q14" i="108"/>
  <c r="R14" i="108"/>
  <c r="S14" i="108"/>
  <c r="T14" i="108"/>
  <c r="U14" i="108"/>
  <c r="J18" i="108"/>
  <c r="K18" i="108"/>
  <c r="L18" i="108"/>
  <c r="M18" i="108"/>
  <c r="N18" i="108"/>
  <c r="O18" i="108"/>
  <c r="P18" i="108"/>
  <c r="Q18" i="108"/>
  <c r="R18" i="108"/>
  <c r="S18" i="108"/>
  <c r="T18" i="108"/>
  <c r="U18" i="108"/>
  <c r="J19" i="108"/>
  <c r="K19" i="108"/>
  <c r="L19" i="108"/>
  <c r="M19" i="108"/>
  <c r="N19" i="108"/>
  <c r="O19" i="108"/>
  <c r="P19" i="108"/>
  <c r="Q19" i="108"/>
  <c r="R19" i="108"/>
  <c r="S19" i="108"/>
  <c r="T19" i="108"/>
  <c r="U19" i="108"/>
  <c r="J20" i="108"/>
  <c r="K20" i="108"/>
  <c r="L20" i="108"/>
  <c r="M20" i="108"/>
  <c r="N20" i="108"/>
  <c r="O20" i="108"/>
  <c r="P20" i="108"/>
  <c r="Q20" i="108"/>
  <c r="R20" i="108"/>
  <c r="S20" i="108"/>
  <c r="T20" i="108"/>
  <c r="U20" i="108"/>
  <c r="J21" i="108"/>
  <c r="K21" i="108"/>
  <c r="L21" i="108"/>
  <c r="M21" i="108"/>
  <c r="N21" i="108"/>
  <c r="O21" i="108"/>
  <c r="P21" i="108"/>
  <c r="Q21" i="108"/>
  <c r="R21" i="108"/>
  <c r="S21" i="108"/>
  <c r="T21" i="108"/>
  <c r="U21" i="108"/>
  <c r="J22" i="108"/>
  <c r="K22" i="108"/>
  <c r="L22" i="108"/>
  <c r="M22" i="108"/>
  <c r="N22" i="108"/>
  <c r="O22" i="108"/>
  <c r="P22" i="108"/>
  <c r="Q22" i="108"/>
  <c r="R22" i="108"/>
  <c r="S22" i="108"/>
  <c r="T22" i="108"/>
  <c r="U22" i="108"/>
  <c r="W22" i="108"/>
  <c r="X22" i="108"/>
  <c r="J25" i="108"/>
  <c r="K25" i="108"/>
  <c r="L25" i="108"/>
  <c r="M25" i="108"/>
  <c r="N25" i="108"/>
  <c r="O25" i="108"/>
  <c r="P25" i="108"/>
  <c r="Q25" i="108"/>
  <c r="R25" i="108"/>
  <c r="S25" i="108"/>
  <c r="T25" i="108"/>
  <c r="U25" i="108"/>
  <c r="J26" i="108"/>
  <c r="K26" i="108"/>
  <c r="L26" i="108"/>
  <c r="M26" i="108"/>
  <c r="N26" i="108"/>
  <c r="O26" i="108"/>
  <c r="P26" i="108"/>
  <c r="Q26" i="108"/>
  <c r="R26" i="108"/>
  <c r="S26" i="108"/>
  <c r="T26" i="108"/>
  <c r="U26" i="108"/>
  <c r="J27" i="108"/>
  <c r="K27" i="108"/>
  <c r="L27" i="108"/>
  <c r="M27" i="108"/>
  <c r="N27" i="108"/>
  <c r="O27" i="108"/>
  <c r="P27" i="108"/>
  <c r="Q27" i="108"/>
  <c r="R27" i="108"/>
  <c r="S27" i="108"/>
  <c r="T27" i="108"/>
  <c r="J29" i="108"/>
  <c r="K29" i="108"/>
  <c r="L29" i="108"/>
  <c r="M29" i="108"/>
  <c r="N29" i="108"/>
  <c r="O29" i="108"/>
  <c r="P29" i="108"/>
  <c r="Q29" i="108"/>
  <c r="R29" i="108"/>
  <c r="S29" i="108"/>
  <c r="T29" i="108"/>
  <c r="U29" i="108"/>
  <c r="J30" i="108"/>
  <c r="K30" i="108"/>
  <c r="L30" i="108"/>
  <c r="M30" i="108"/>
  <c r="N30" i="108"/>
  <c r="O30" i="108"/>
  <c r="P30" i="108"/>
  <c r="Q30" i="108"/>
  <c r="R30" i="108"/>
  <c r="S30" i="108"/>
  <c r="T30" i="108"/>
  <c r="U30" i="108"/>
  <c r="J31" i="108"/>
  <c r="K31" i="108"/>
  <c r="L31" i="108"/>
  <c r="M31" i="108"/>
  <c r="N31" i="108"/>
  <c r="O31" i="108"/>
  <c r="P31" i="108"/>
  <c r="Q31" i="108"/>
  <c r="R31" i="108"/>
  <c r="S31" i="108"/>
  <c r="T31" i="108"/>
  <c r="U31" i="108"/>
  <c r="Y31" i="108"/>
  <c r="J32" i="108"/>
  <c r="K32" i="108"/>
  <c r="L32" i="108"/>
  <c r="M32" i="108"/>
  <c r="N32" i="108"/>
  <c r="O32" i="108"/>
  <c r="P32" i="108"/>
  <c r="Q32" i="108"/>
  <c r="R32" i="108"/>
  <c r="S32" i="108"/>
  <c r="T32" i="108"/>
  <c r="U32" i="108"/>
  <c r="W32" i="108"/>
  <c r="X32" i="108"/>
  <c r="K35" i="108"/>
  <c r="L35" i="108"/>
  <c r="M35" i="108"/>
  <c r="N35" i="108"/>
  <c r="O35" i="108"/>
  <c r="P35" i="108"/>
  <c r="Q35" i="108"/>
  <c r="R35" i="108"/>
  <c r="S35" i="108"/>
  <c r="T35" i="108"/>
  <c r="U35" i="108"/>
  <c r="J36" i="108"/>
  <c r="J38" i="108"/>
  <c r="K38" i="108"/>
  <c r="L38" i="108"/>
  <c r="M38" i="108"/>
  <c r="N38" i="108"/>
  <c r="O38" i="108"/>
  <c r="P38" i="108"/>
  <c r="Q38" i="108"/>
  <c r="R38" i="108"/>
  <c r="S38" i="108"/>
  <c r="T38" i="108"/>
  <c r="U38" i="108"/>
  <c r="J39" i="108"/>
  <c r="J41" i="108"/>
  <c r="K41" i="108"/>
  <c r="L41" i="108"/>
  <c r="M41" i="108"/>
  <c r="N41" i="108"/>
  <c r="O41" i="108"/>
  <c r="P41" i="108"/>
  <c r="Q41" i="108"/>
  <c r="R41" i="108"/>
  <c r="S41" i="108"/>
  <c r="T41" i="108"/>
  <c r="U41" i="108"/>
  <c r="J42" i="108"/>
  <c r="K42" i="108"/>
  <c r="L42" i="108"/>
  <c r="M42" i="108"/>
  <c r="N42" i="108"/>
  <c r="O42" i="108"/>
  <c r="P42" i="108"/>
  <c r="Q42" i="108"/>
  <c r="R42" i="108"/>
  <c r="S42" i="108"/>
  <c r="T42" i="108"/>
  <c r="U42" i="108"/>
  <c r="J44" i="108"/>
  <c r="K44" i="108"/>
  <c r="L44" i="108"/>
  <c r="M44" i="108"/>
  <c r="N44" i="108"/>
  <c r="O44" i="108"/>
  <c r="P44" i="108"/>
  <c r="Q44" i="108"/>
  <c r="R44" i="108"/>
  <c r="S44" i="108"/>
  <c r="T44" i="108"/>
  <c r="U44" i="108"/>
  <c r="J45" i="108"/>
  <c r="K45" i="108"/>
  <c r="L45" i="108"/>
  <c r="M45" i="108"/>
  <c r="N45" i="108"/>
  <c r="O45" i="108"/>
  <c r="P45" i="108"/>
  <c r="Q45" i="108"/>
  <c r="R45" i="108"/>
  <c r="S45" i="108"/>
  <c r="T45" i="108"/>
  <c r="U45" i="108"/>
  <c r="J48" i="108"/>
  <c r="K48" i="108"/>
  <c r="L48" i="108"/>
  <c r="M48" i="108"/>
  <c r="N48" i="108"/>
  <c r="O48" i="108"/>
  <c r="P48" i="108"/>
  <c r="Q48" i="108"/>
  <c r="R48" i="108"/>
  <c r="S48" i="108"/>
  <c r="T48" i="108"/>
  <c r="U48" i="108"/>
  <c r="J50" i="108"/>
  <c r="K50" i="108"/>
  <c r="L50" i="108"/>
  <c r="M50" i="108"/>
  <c r="N50" i="108"/>
  <c r="O50" i="108"/>
  <c r="P50" i="108"/>
  <c r="Q50" i="108"/>
  <c r="R50" i="108"/>
  <c r="S50" i="108"/>
  <c r="T50" i="108"/>
  <c r="U50" i="108"/>
  <c r="J51" i="108"/>
  <c r="K51" i="108"/>
  <c r="L51" i="108"/>
  <c r="M51" i="108"/>
  <c r="N51" i="108"/>
  <c r="O51" i="108"/>
  <c r="P51" i="108"/>
  <c r="Q51" i="108"/>
  <c r="R51" i="108"/>
  <c r="S51" i="108"/>
  <c r="T51" i="108"/>
  <c r="U51" i="108"/>
  <c r="J52" i="108"/>
  <c r="K52" i="108"/>
  <c r="L52" i="108"/>
  <c r="M52" i="108"/>
  <c r="N52" i="108"/>
  <c r="O52" i="108"/>
  <c r="P52" i="108"/>
  <c r="Q52" i="108"/>
  <c r="R52" i="108"/>
  <c r="S52" i="108"/>
  <c r="T52" i="108"/>
  <c r="U52" i="108"/>
  <c r="J54" i="108"/>
  <c r="K54" i="108"/>
  <c r="L54" i="108"/>
  <c r="M54" i="108"/>
  <c r="N54" i="108"/>
  <c r="O54" i="108"/>
  <c r="P54" i="108"/>
  <c r="Q54" i="108"/>
  <c r="R54" i="108"/>
  <c r="S54" i="108"/>
  <c r="T54" i="108"/>
  <c r="U54" i="108"/>
  <c r="J55" i="108"/>
  <c r="K55" i="108"/>
  <c r="L55" i="108"/>
  <c r="M55" i="108"/>
  <c r="N55" i="108"/>
  <c r="O55" i="108"/>
  <c r="P55" i="108"/>
  <c r="Q55" i="108"/>
  <c r="R55" i="108"/>
  <c r="S55" i="108"/>
  <c r="T55" i="108"/>
  <c r="U55" i="108"/>
  <c r="J56" i="108"/>
  <c r="K56" i="108"/>
  <c r="L56" i="108"/>
  <c r="M56" i="108"/>
  <c r="N56" i="108"/>
  <c r="O56" i="108"/>
  <c r="P56" i="108"/>
  <c r="Q56" i="108"/>
  <c r="R56" i="108"/>
  <c r="S56" i="108"/>
  <c r="T56" i="108"/>
  <c r="U56" i="108"/>
  <c r="J58" i="108"/>
  <c r="K58" i="108"/>
  <c r="L58" i="108"/>
  <c r="M58" i="108"/>
  <c r="N58" i="108"/>
  <c r="O58" i="108"/>
  <c r="P58" i="108"/>
  <c r="Q58" i="108"/>
  <c r="R58" i="108"/>
  <c r="S58" i="108"/>
  <c r="T58" i="108"/>
  <c r="U58" i="108"/>
  <c r="J59" i="108"/>
  <c r="Y59" i="108"/>
  <c r="J62" i="108"/>
  <c r="K62" i="108"/>
  <c r="L62" i="108"/>
  <c r="M62" i="108"/>
  <c r="N62" i="108"/>
  <c r="O62" i="108"/>
  <c r="P62" i="108"/>
  <c r="Q62" i="108"/>
  <c r="R62" i="108"/>
  <c r="S62" i="108"/>
  <c r="T62" i="108"/>
  <c r="U62" i="108"/>
  <c r="J63" i="108"/>
  <c r="K63" i="108"/>
  <c r="L63" i="108"/>
  <c r="M63" i="108"/>
  <c r="N63" i="108"/>
  <c r="O63" i="108"/>
  <c r="P63" i="108"/>
  <c r="Q63" i="108"/>
  <c r="R63" i="108"/>
  <c r="S63" i="108"/>
  <c r="T63" i="108"/>
  <c r="U63" i="108"/>
  <c r="J64" i="108"/>
  <c r="K64" i="108"/>
  <c r="L64" i="108"/>
  <c r="M64" i="108"/>
  <c r="N64" i="108"/>
  <c r="O64" i="108"/>
  <c r="P64" i="108"/>
  <c r="Q64" i="108"/>
  <c r="R64" i="108"/>
  <c r="S64" i="108"/>
  <c r="T64" i="108"/>
  <c r="U64" i="108"/>
  <c r="J67" i="108"/>
  <c r="K67" i="108"/>
  <c r="L67" i="108"/>
  <c r="M67" i="108"/>
  <c r="N67" i="108"/>
  <c r="O67" i="108"/>
  <c r="P67" i="108"/>
  <c r="Q67" i="108"/>
  <c r="R67" i="108"/>
  <c r="S67" i="108"/>
  <c r="T67" i="108"/>
  <c r="U67" i="108"/>
  <c r="J68" i="108"/>
  <c r="K68" i="108"/>
  <c r="L68" i="108"/>
  <c r="M68" i="108"/>
  <c r="N68" i="108"/>
  <c r="O68" i="108"/>
  <c r="P68" i="108"/>
  <c r="Q68" i="108"/>
  <c r="R68" i="108"/>
  <c r="S68" i="108"/>
  <c r="T68" i="108"/>
  <c r="U68" i="108"/>
  <c r="J69" i="108"/>
  <c r="K69" i="108"/>
  <c r="K71" i="108"/>
  <c r="L71" i="108"/>
  <c r="M71" i="108"/>
  <c r="N71" i="108"/>
  <c r="O71" i="108"/>
  <c r="P71" i="108"/>
  <c r="Q71" i="108"/>
  <c r="R71" i="108"/>
  <c r="S71" i="108"/>
  <c r="T71" i="108"/>
  <c r="U71" i="108"/>
  <c r="J72" i="108"/>
  <c r="K72" i="108"/>
  <c r="L72" i="108"/>
  <c r="M72" i="108"/>
  <c r="N72" i="108"/>
  <c r="O72" i="108"/>
  <c r="P72" i="108"/>
  <c r="Q72" i="108"/>
  <c r="R72" i="108"/>
  <c r="S72" i="108"/>
  <c r="T72" i="108"/>
  <c r="U72" i="108"/>
  <c r="J73" i="108"/>
  <c r="K73" i="108"/>
  <c r="L73" i="108"/>
  <c r="M73" i="108"/>
  <c r="N73" i="108"/>
  <c r="O73" i="108"/>
  <c r="P73" i="108"/>
  <c r="Q73" i="108"/>
  <c r="R73" i="108"/>
  <c r="S73" i="108"/>
  <c r="T73" i="108"/>
  <c r="U73" i="108"/>
  <c r="J74" i="108"/>
  <c r="K74" i="108"/>
  <c r="L74" i="108"/>
  <c r="M74" i="108"/>
  <c r="N74" i="108"/>
  <c r="O74" i="108"/>
  <c r="P74" i="108"/>
  <c r="Q74" i="108"/>
  <c r="R74" i="108"/>
  <c r="S74" i="108"/>
  <c r="T74" i="108"/>
  <c r="U74" i="108"/>
  <c r="J77" i="108"/>
  <c r="K77" i="108"/>
  <c r="L77" i="108"/>
  <c r="M77" i="108"/>
  <c r="N77" i="108"/>
  <c r="O77" i="108"/>
  <c r="P77" i="108"/>
  <c r="Q77" i="108"/>
  <c r="R77" i="108"/>
  <c r="S77" i="108"/>
  <c r="T77" i="108"/>
  <c r="U77" i="108"/>
  <c r="J79" i="108"/>
  <c r="K79" i="108"/>
  <c r="L79" i="108"/>
  <c r="M79" i="108"/>
  <c r="N79" i="108"/>
  <c r="O79" i="108"/>
  <c r="P79" i="108"/>
  <c r="Q79" i="108"/>
  <c r="R79" i="108"/>
  <c r="S79" i="108"/>
  <c r="T79" i="108"/>
  <c r="U79" i="108"/>
  <c r="K81" i="108"/>
  <c r="L81" i="108"/>
  <c r="M81" i="108"/>
  <c r="N81" i="108"/>
  <c r="O81" i="108"/>
  <c r="P81" i="108"/>
  <c r="Q81" i="108"/>
  <c r="R81" i="108"/>
  <c r="S81" i="108"/>
  <c r="T81" i="108"/>
  <c r="U81" i="108"/>
  <c r="J82" i="108"/>
  <c r="J83" i="108"/>
  <c r="K83" i="108"/>
  <c r="L83" i="108"/>
  <c r="M83" i="108"/>
  <c r="N83" i="108"/>
  <c r="O83" i="108"/>
  <c r="P83" i="108"/>
  <c r="Q83" i="108"/>
  <c r="R83" i="108"/>
  <c r="S83" i="108"/>
  <c r="T83" i="108"/>
  <c r="U83" i="108"/>
  <c r="J84" i="108"/>
  <c r="K86" i="108"/>
  <c r="L86" i="108"/>
  <c r="M86" i="108"/>
  <c r="N86" i="108"/>
  <c r="O86" i="108"/>
  <c r="P86" i="108"/>
  <c r="Q86" i="108"/>
  <c r="R86" i="108"/>
  <c r="S86" i="108"/>
  <c r="T86" i="108"/>
  <c r="U86" i="108"/>
  <c r="K87" i="108"/>
  <c r="L87" i="108"/>
  <c r="M87" i="108"/>
  <c r="N87" i="108"/>
  <c r="O87" i="108"/>
  <c r="P87" i="108"/>
  <c r="Q87" i="108"/>
  <c r="R87" i="108"/>
  <c r="S87" i="108"/>
  <c r="T87" i="108"/>
  <c r="U87" i="108"/>
  <c r="K89" i="108"/>
  <c r="L89" i="108"/>
  <c r="M89" i="108"/>
  <c r="N89" i="108"/>
  <c r="O89" i="108"/>
  <c r="P89" i="108"/>
  <c r="Q89" i="108"/>
  <c r="R89" i="108"/>
  <c r="S89" i="108"/>
  <c r="T89" i="108"/>
  <c r="U89" i="108"/>
  <c r="K90" i="108"/>
  <c r="L90" i="108"/>
  <c r="M90" i="108"/>
  <c r="N90" i="108"/>
  <c r="O90" i="108"/>
  <c r="P90" i="108"/>
  <c r="Q90" i="108"/>
  <c r="R90" i="108"/>
  <c r="S90" i="108"/>
  <c r="T90" i="108"/>
  <c r="U90" i="108"/>
  <c r="K94" i="108"/>
  <c r="L94" i="108"/>
  <c r="M94" i="108"/>
  <c r="N94" i="108"/>
  <c r="O94" i="108"/>
  <c r="P94" i="108"/>
  <c r="Q94" i="108"/>
  <c r="R94" i="108"/>
  <c r="S94" i="108"/>
  <c r="T94" i="108"/>
  <c r="U94" i="108"/>
  <c r="K95" i="108"/>
  <c r="L95" i="108"/>
  <c r="M95" i="108"/>
  <c r="N95" i="108"/>
  <c r="O95" i="108"/>
  <c r="P95" i="108"/>
  <c r="Q95" i="108"/>
  <c r="R95" i="108"/>
  <c r="S95" i="108"/>
  <c r="T95" i="108"/>
  <c r="U95" i="108"/>
  <c r="J96" i="108"/>
  <c r="K96" i="108"/>
  <c r="L96" i="108"/>
  <c r="M96" i="108"/>
  <c r="N96" i="108"/>
  <c r="O96" i="108"/>
  <c r="P96" i="108"/>
  <c r="Q96" i="108"/>
  <c r="R96" i="108"/>
  <c r="S96" i="108"/>
  <c r="T96" i="108"/>
  <c r="U96" i="108"/>
  <c r="J98" i="108"/>
  <c r="K98" i="108"/>
  <c r="L98" i="108"/>
  <c r="M98" i="108"/>
  <c r="N98" i="108"/>
  <c r="O98" i="108"/>
  <c r="P98" i="108"/>
  <c r="Q98" i="108"/>
  <c r="R98" i="108"/>
  <c r="S98" i="108"/>
  <c r="T98" i="108"/>
  <c r="U98" i="108"/>
  <c r="J101" i="108"/>
  <c r="K101" i="108"/>
  <c r="L101" i="108"/>
  <c r="M101" i="108"/>
  <c r="N101" i="108"/>
  <c r="O101" i="108"/>
  <c r="P101" i="108"/>
  <c r="Q101" i="108"/>
  <c r="R101" i="108"/>
  <c r="S101" i="108"/>
  <c r="T101" i="108"/>
  <c r="U101" i="108"/>
  <c r="J102" i="108"/>
  <c r="K102" i="108"/>
  <c r="L102" i="108"/>
  <c r="M102" i="108"/>
  <c r="N102" i="108"/>
  <c r="O102" i="108"/>
  <c r="P102" i="108"/>
  <c r="Q102" i="108"/>
  <c r="R102" i="108"/>
  <c r="S102" i="108"/>
  <c r="T102" i="108"/>
  <c r="U102" i="108"/>
  <c r="J103" i="108"/>
  <c r="K103" i="108"/>
  <c r="L103" i="108"/>
  <c r="M103" i="108"/>
  <c r="N103" i="108"/>
  <c r="O103" i="108"/>
  <c r="P103" i="108"/>
  <c r="Q103" i="108"/>
  <c r="R103" i="108"/>
  <c r="S103" i="108"/>
  <c r="T103" i="108"/>
  <c r="U103" i="108"/>
  <c r="J104" i="108"/>
  <c r="K104" i="108"/>
  <c r="L104" i="108"/>
  <c r="M104" i="108"/>
  <c r="N104" i="108"/>
  <c r="O104" i="108"/>
  <c r="P104" i="108"/>
  <c r="Q104" i="108"/>
  <c r="R104" i="108"/>
  <c r="S104" i="108"/>
  <c r="T104" i="108"/>
  <c r="U104" i="108"/>
  <c r="J105" i="108"/>
  <c r="K105" i="108"/>
  <c r="L105" i="108"/>
  <c r="M105" i="108"/>
  <c r="N105" i="108"/>
  <c r="O105" i="108"/>
  <c r="P105" i="108"/>
  <c r="Q105" i="108"/>
  <c r="R105" i="108"/>
  <c r="S105" i="108"/>
  <c r="T105" i="108"/>
  <c r="U105" i="108"/>
  <c r="J106" i="108"/>
  <c r="K106" i="108"/>
  <c r="L106" i="108"/>
  <c r="M106" i="108"/>
  <c r="N106" i="108"/>
  <c r="O106" i="108"/>
  <c r="P106" i="108"/>
  <c r="Q106" i="108"/>
  <c r="R106" i="108"/>
  <c r="S106" i="108"/>
  <c r="T106" i="108"/>
  <c r="U106" i="108"/>
  <c r="T110" i="108"/>
  <c r="U110" i="108"/>
  <c r="K111" i="108"/>
  <c r="L111" i="108"/>
  <c r="M111" i="108"/>
  <c r="N111" i="108"/>
  <c r="O111" i="108"/>
  <c r="P111" i="108"/>
  <c r="Q111" i="108"/>
  <c r="R111" i="108"/>
  <c r="S111" i="108"/>
  <c r="T111" i="108"/>
  <c r="U111" i="108"/>
  <c r="K113" i="108"/>
  <c r="L113" i="108"/>
  <c r="M113" i="108"/>
  <c r="N113" i="108"/>
  <c r="O113" i="108"/>
  <c r="P113" i="108"/>
  <c r="Q113" i="108"/>
  <c r="R113" i="108"/>
  <c r="S113" i="108"/>
  <c r="T113" i="108"/>
  <c r="U113" i="108"/>
  <c r="F115" i="108"/>
  <c r="J137" i="108"/>
  <c r="K137" i="108"/>
  <c r="L137" i="108"/>
  <c r="M137" i="108"/>
  <c r="N137" i="108"/>
  <c r="O137" i="108"/>
  <c r="P137" i="108"/>
  <c r="Q137" i="108"/>
  <c r="R137" i="108"/>
  <c r="S137" i="108"/>
  <c r="T137" i="108"/>
  <c r="U137" i="108"/>
  <c r="J138" i="108"/>
  <c r="K138" i="108"/>
  <c r="L138" i="108"/>
  <c r="M138" i="108"/>
  <c r="N138" i="108"/>
  <c r="O138" i="108"/>
  <c r="P138" i="108"/>
  <c r="Q138" i="108"/>
  <c r="R138" i="108"/>
  <c r="S138" i="108"/>
  <c r="T138" i="108"/>
  <c r="U138" i="108"/>
  <c r="J140" i="108"/>
  <c r="K140" i="108"/>
  <c r="L140" i="108"/>
  <c r="M140" i="108"/>
  <c r="N140" i="108"/>
  <c r="O140" i="108"/>
  <c r="P140" i="108"/>
  <c r="Q140" i="108"/>
  <c r="R140" i="108"/>
  <c r="S140" i="108"/>
  <c r="T140" i="108"/>
  <c r="U140" i="108"/>
  <c r="J141" i="108"/>
  <c r="K141" i="108"/>
  <c r="L141" i="108"/>
  <c r="M141" i="108"/>
  <c r="N141" i="108"/>
  <c r="O141" i="108"/>
  <c r="P141" i="108"/>
  <c r="Q141" i="108"/>
  <c r="R141" i="108"/>
  <c r="S141" i="108"/>
  <c r="T141" i="108"/>
  <c r="U141" i="108"/>
  <c r="J142" i="108"/>
  <c r="K142" i="108"/>
  <c r="L142" i="108"/>
  <c r="M142" i="108"/>
  <c r="N142" i="108"/>
  <c r="O142" i="108"/>
  <c r="P142" i="108"/>
  <c r="Q142" i="108"/>
  <c r="R142" i="108"/>
  <c r="S142" i="108"/>
  <c r="T142" i="108"/>
  <c r="U142" i="108"/>
  <c r="W142" i="108"/>
  <c r="J143" i="108"/>
  <c r="K143" i="108"/>
  <c r="L143" i="108"/>
  <c r="M143" i="108"/>
  <c r="N143" i="108"/>
  <c r="O143" i="108"/>
  <c r="P143" i="108"/>
  <c r="Q143" i="108"/>
  <c r="R143" i="108"/>
  <c r="S143" i="108"/>
  <c r="T143" i="108"/>
  <c r="U143" i="108"/>
  <c r="J146" i="108"/>
  <c r="K146" i="108"/>
  <c r="L146" i="108"/>
  <c r="M146" i="108"/>
  <c r="N146" i="108"/>
  <c r="O146" i="108"/>
  <c r="P146" i="108"/>
  <c r="Q146" i="108"/>
  <c r="R146" i="108"/>
  <c r="S146" i="108"/>
  <c r="T146" i="108"/>
  <c r="U146" i="108"/>
  <c r="J147" i="108"/>
  <c r="K147" i="108"/>
  <c r="J150" i="108"/>
  <c r="K150" i="108"/>
  <c r="L150" i="108"/>
  <c r="M150" i="108"/>
  <c r="N150" i="108"/>
  <c r="O150" i="108"/>
  <c r="P150" i="108"/>
  <c r="Q150" i="108"/>
  <c r="R150" i="108"/>
  <c r="S150" i="108"/>
  <c r="T150" i="108"/>
  <c r="U150" i="108"/>
  <c r="J151" i="108"/>
  <c r="K151" i="108"/>
  <c r="L151" i="108"/>
  <c r="M151" i="108"/>
  <c r="N151" i="108"/>
  <c r="O151" i="108"/>
  <c r="P151" i="108"/>
  <c r="Q151" i="108"/>
  <c r="R151" i="108"/>
  <c r="S151" i="108"/>
  <c r="T151" i="108"/>
  <c r="U151" i="108"/>
  <c r="J152" i="108"/>
  <c r="K152" i="108"/>
  <c r="L152" i="108"/>
  <c r="M152" i="108"/>
  <c r="N152" i="108"/>
  <c r="O152" i="108"/>
  <c r="P152" i="108"/>
  <c r="Q152" i="108"/>
  <c r="R152" i="108"/>
  <c r="S152" i="108"/>
  <c r="T152" i="108"/>
  <c r="U152" i="108"/>
  <c r="J153" i="108"/>
  <c r="K153" i="108"/>
  <c r="L153" i="108"/>
  <c r="M153" i="108"/>
  <c r="N153" i="108"/>
  <c r="O153" i="108"/>
  <c r="P153" i="108"/>
  <c r="Q153" i="108"/>
  <c r="R153" i="108"/>
  <c r="S153" i="108"/>
  <c r="T153" i="108"/>
  <c r="U153" i="108"/>
  <c r="J155" i="108"/>
  <c r="K155" i="108"/>
  <c r="L155" i="108"/>
  <c r="M155" i="108"/>
  <c r="N155" i="108"/>
  <c r="O155" i="108"/>
  <c r="P155" i="108"/>
  <c r="Q155" i="108"/>
  <c r="R155" i="108"/>
  <c r="S155" i="108"/>
  <c r="T155" i="108"/>
  <c r="U155" i="108"/>
  <c r="J156" i="108"/>
  <c r="K156" i="108"/>
  <c r="L156" i="108"/>
  <c r="M156" i="108"/>
  <c r="N156" i="108"/>
  <c r="O156" i="108"/>
  <c r="P156" i="108"/>
  <c r="Q156" i="108"/>
  <c r="R156" i="108"/>
  <c r="S156" i="108"/>
  <c r="T156" i="108"/>
  <c r="U156" i="108"/>
  <c r="J157" i="108"/>
  <c r="K157" i="108"/>
  <c r="L157" i="108"/>
  <c r="M157" i="108"/>
  <c r="N157" i="108"/>
  <c r="O157" i="108"/>
  <c r="P157" i="108"/>
  <c r="Q157" i="108"/>
  <c r="R157" i="108"/>
  <c r="S157" i="108"/>
  <c r="T157" i="108"/>
  <c r="U157" i="108"/>
  <c r="J159" i="108"/>
  <c r="K159" i="108"/>
  <c r="X159" i="108"/>
  <c r="J160" i="108"/>
  <c r="K160" i="108"/>
  <c r="L160" i="108"/>
  <c r="M160" i="108"/>
  <c r="N160" i="108"/>
  <c r="O160" i="108"/>
  <c r="P160" i="108"/>
  <c r="Q160" i="108"/>
  <c r="R160" i="108"/>
  <c r="S160" i="108"/>
  <c r="T160" i="108"/>
  <c r="U160" i="108"/>
  <c r="J165" i="108"/>
  <c r="K165" i="108"/>
  <c r="L165" i="108"/>
  <c r="M165" i="108"/>
  <c r="N165" i="108"/>
  <c r="O165" i="108"/>
  <c r="P165" i="108"/>
  <c r="Q165" i="108"/>
  <c r="R165" i="108"/>
  <c r="S165" i="108"/>
  <c r="T165" i="108"/>
  <c r="U165" i="108"/>
  <c r="J167" i="108"/>
  <c r="K167" i="108"/>
  <c r="L167" i="108"/>
  <c r="M167" i="108"/>
  <c r="N167" i="108"/>
  <c r="O167" i="108"/>
  <c r="P167" i="108"/>
  <c r="Q167" i="108"/>
  <c r="R167" i="108"/>
  <c r="S167" i="108"/>
  <c r="T167" i="108"/>
  <c r="U167" i="108"/>
  <c r="J168" i="108"/>
  <c r="K168" i="108"/>
  <c r="L168" i="108"/>
  <c r="M168" i="108"/>
  <c r="N168" i="108"/>
  <c r="O168" i="108"/>
  <c r="P168" i="108"/>
  <c r="Q168" i="108"/>
  <c r="R168" i="108"/>
  <c r="S168" i="108"/>
  <c r="T168" i="108"/>
  <c r="U168" i="108"/>
  <c r="J169" i="108"/>
  <c r="K169" i="108"/>
  <c r="L169" i="108"/>
  <c r="M169" i="108"/>
  <c r="N169" i="108"/>
  <c r="O169" i="108"/>
  <c r="P169" i="108"/>
  <c r="Q169" i="108"/>
  <c r="R169" i="108"/>
  <c r="S169" i="108"/>
  <c r="T169" i="108"/>
  <c r="U169" i="108"/>
  <c r="J180" i="108"/>
  <c r="K180" i="108"/>
  <c r="L180" i="108"/>
  <c r="M180" i="108"/>
  <c r="N180" i="108"/>
  <c r="O180" i="108"/>
  <c r="P180" i="108"/>
  <c r="Q180" i="108"/>
  <c r="R180" i="108"/>
  <c r="S180" i="108"/>
  <c r="T180" i="108"/>
  <c r="U180" i="108"/>
  <c r="K181" i="108"/>
  <c r="L181" i="108"/>
  <c r="M181" i="108"/>
  <c r="N181" i="108"/>
  <c r="O181" i="108"/>
  <c r="P181" i="108"/>
  <c r="Q181" i="108"/>
  <c r="R181" i="108"/>
  <c r="S181" i="108"/>
  <c r="T181" i="108"/>
  <c r="U181" i="108"/>
  <c r="L182" i="108"/>
  <c r="M182" i="108"/>
  <c r="N182" i="108"/>
  <c r="O182" i="108"/>
  <c r="P182" i="108"/>
  <c r="Q182" i="108"/>
  <c r="R182" i="108"/>
  <c r="S182" i="108"/>
  <c r="T182" i="108"/>
  <c r="U182" i="108"/>
  <c r="M183" i="108"/>
  <c r="N183" i="108"/>
  <c r="O183" i="108"/>
  <c r="P183" i="108"/>
  <c r="Q183" i="108"/>
  <c r="R183" i="108"/>
  <c r="S183" i="108"/>
  <c r="T183" i="108"/>
  <c r="U183" i="108"/>
  <c r="N184" i="108"/>
  <c r="O184" i="108"/>
  <c r="P184" i="108"/>
  <c r="Q184" i="108"/>
  <c r="R184" i="108"/>
  <c r="S184" i="108"/>
  <c r="T184" i="108"/>
  <c r="U184" i="108"/>
  <c r="O185" i="108"/>
  <c r="P185" i="108"/>
  <c r="Q185" i="108"/>
  <c r="R185" i="108"/>
  <c r="S185" i="108"/>
  <c r="T185" i="108"/>
  <c r="U185" i="108"/>
  <c r="P186" i="108"/>
  <c r="Q186" i="108"/>
  <c r="R186" i="108"/>
  <c r="S186" i="108"/>
  <c r="T186" i="108"/>
  <c r="U186" i="108"/>
  <c r="Q187" i="108"/>
  <c r="R187" i="108"/>
  <c r="S187" i="108"/>
  <c r="T187" i="108"/>
  <c r="U187" i="108"/>
  <c r="R188" i="108"/>
  <c r="S188" i="108"/>
  <c r="T188" i="108"/>
  <c r="U188" i="108"/>
  <c r="S189" i="108"/>
  <c r="T189" i="108"/>
  <c r="U189" i="108"/>
  <c r="T190" i="108"/>
  <c r="U190" i="108"/>
  <c r="U191" i="108"/>
  <c r="J192" i="108"/>
  <c r="K192" i="108"/>
  <c r="L192" i="108"/>
  <c r="M192" i="108"/>
  <c r="N192" i="108"/>
  <c r="O192" i="108"/>
  <c r="P192" i="108"/>
  <c r="Q192" i="108"/>
  <c r="R192" i="108"/>
  <c r="S192" i="108"/>
  <c r="T192" i="108"/>
  <c r="U192" i="108"/>
  <c r="J200" i="108"/>
  <c r="K200" i="108"/>
  <c r="L200" i="108"/>
  <c r="M200" i="108"/>
  <c r="N200" i="108"/>
  <c r="O200" i="108"/>
  <c r="P200" i="108"/>
  <c r="Q200" i="108"/>
  <c r="R200" i="108"/>
  <c r="S200" i="108"/>
  <c r="T200" i="108"/>
  <c r="U200" i="108"/>
  <c r="J201" i="108"/>
  <c r="K201" i="108"/>
  <c r="L201" i="108"/>
  <c r="M201" i="108"/>
  <c r="N201" i="108"/>
  <c r="O201" i="108"/>
  <c r="P201" i="108"/>
  <c r="Q201" i="108"/>
  <c r="R201" i="108"/>
  <c r="S201" i="108"/>
  <c r="T201" i="108"/>
  <c r="U201" i="108"/>
  <c r="J202" i="108"/>
  <c r="K202" i="108"/>
  <c r="L202" i="108"/>
  <c r="M202" i="108"/>
  <c r="N202" i="108"/>
  <c r="O202" i="108"/>
  <c r="P202" i="108"/>
  <c r="Q202" i="108"/>
  <c r="R202" i="108"/>
  <c r="S202" i="108"/>
  <c r="T202" i="108"/>
  <c r="U202" i="108"/>
  <c r="K211" i="108"/>
  <c r="L211" i="108"/>
  <c r="M211" i="108"/>
  <c r="N211" i="108"/>
  <c r="O211" i="108"/>
  <c r="P211" i="108"/>
  <c r="Q211" i="108"/>
  <c r="R211" i="108"/>
  <c r="S211" i="108"/>
  <c r="T211" i="108"/>
  <c r="U211" i="108"/>
  <c r="T212" i="108"/>
  <c r="K213" i="108"/>
  <c r="L213" i="108"/>
  <c r="M213" i="108"/>
  <c r="N213" i="108"/>
  <c r="O213" i="108"/>
  <c r="P213" i="108"/>
  <c r="Q213" i="108"/>
  <c r="R213" i="108"/>
  <c r="S213" i="108"/>
  <c r="T213" i="108"/>
  <c r="D214" i="108"/>
  <c r="K214" i="108"/>
  <c r="L214" i="108"/>
  <c r="M214" i="108"/>
  <c r="N214" i="108"/>
  <c r="O214" i="108"/>
  <c r="P214" i="108"/>
  <c r="Q214" i="108"/>
  <c r="R214" i="108"/>
  <c r="S214" i="108"/>
  <c r="T214" i="108"/>
  <c r="J215" i="108"/>
  <c r="J217" i="108"/>
  <c r="J219" i="108"/>
  <c r="J220" i="108"/>
  <c r="B1" i="110"/>
  <c r="J9" i="110"/>
  <c r="J12" i="110"/>
  <c r="K12" i="110"/>
  <c r="L12" i="110"/>
  <c r="M12" i="110"/>
  <c r="N12" i="110"/>
  <c r="O12" i="110"/>
  <c r="P12" i="110"/>
  <c r="Q12" i="110"/>
  <c r="R12" i="110"/>
  <c r="S12" i="110"/>
  <c r="T12" i="110"/>
  <c r="U12" i="110"/>
  <c r="J13" i="110"/>
  <c r="K13" i="110"/>
  <c r="L13" i="110"/>
  <c r="M13" i="110"/>
  <c r="N13" i="110"/>
  <c r="O13" i="110"/>
  <c r="P13" i="110"/>
  <c r="Q13" i="110"/>
  <c r="R13" i="110"/>
  <c r="S13" i="110"/>
  <c r="T13" i="110"/>
  <c r="U13" i="110"/>
  <c r="W13" i="110"/>
  <c r="X13" i="110"/>
  <c r="J14" i="110"/>
  <c r="K14" i="110"/>
  <c r="L14" i="110"/>
  <c r="M14" i="110"/>
  <c r="N14" i="110"/>
  <c r="O14" i="110"/>
  <c r="P14" i="110"/>
  <c r="Q14" i="110"/>
  <c r="R14" i="110"/>
  <c r="S14" i="110"/>
  <c r="T14" i="110"/>
  <c r="U14" i="110"/>
  <c r="J18" i="110"/>
  <c r="K18" i="110"/>
  <c r="L18" i="110"/>
  <c r="M18" i="110"/>
  <c r="N18" i="110"/>
  <c r="O18" i="110"/>
  <c r="P18" i="110"/>
  <c r="Q18" i="110"/>
  <c r="R18" i="110"/>
  <c r="S18" i="110"/>
  <c r="T18" i="110"/>
  <c r="U18" i="110"/>
  <c r="J19" i="110"/>
  <c r="K19" i="110"/>
  <c r="L19" i="110"/>
  <c r="M19" i="110"/>
  <c r="N19" i="110"/>
  <c r="O19" i="110"/>
  <c r="P19" i="110"/>
  <c r="Q19" i="110"/>
  <c r="R19" i="110"/>
  <c r="S19" i="110"/>
  <c r="T19" i="110"/>
  <c r="U19" i="110"/>
  <c r="J20" i="110"/>
  <c r="K20" i="110"/>
  <c r="L20" i="110"/>
  <c r="M20" i="110"/>
  <c r="N20" i="110"/>
  <c r="O20" i="110"/>
  <c r="P20" i="110"/>
  <c r="Q20" i="110"/>
  <c r="R20" i="110"/>
  <c r="S20" i="110"/>
  <c r="T20" i="110"/>
  <c r="U20" i="110"/>
  <c r="J21" i="110"/>
  <c r="K21" i="110"/>
  <c r="L21" i="110"/>
  <c r="M21" i="110"/>
  <c r="N21" i="110"/>
  <c r="O21" i="110"/>
  <c r="P21" i="110"/>
  <c r="Q21" i="110"/>
  <c r="R21" i="110"/>
  <c r="S21" i="110"/>
  <c r="T21" i="110"/>
  <c r="U21" i="110"/>
  <c r="J22" i="110"/>
  <c r="K22" i="110"/>
  <c r="L22" i="110"/>
  <c r="M22" i="110"/>
  <c r="N22" i="110"/>
  <c r="O22" i="110"/>
  <c r="P22" i="110"/>
  <c r="Q22" i="110"/>
  <c r="R22" i="110"/>
  <c r="S22" i="110"/>
  <c r="T22" i="110"/>
  <c r="U22" i="110"/>
  <c r="W22" i="110"/>
  <c r="X22" i="110"/>
  <c r="J25" i="110"/>
  <c r="K25" i="110"/>
  <c r="L25" i="110"/>
  <c r="M25" i="110"/>
  <c r="N25" i="110"/>
  <c r="O25" i="110"/>
  <c r="P25" i="110"/>
  <c r="Q25" i="110"/>
  <c r="R25" i="110"/>
  <c r="S25" i="110"/>
  <c r="T25" i="110"/>
  <c r="U25" i="110"/>
  <c r="J26" i="110"/>
  <c r="K26" i="110"/>
  <c r="L26" i="110"/>
  <c r="M26" i="110"/>
  <c r="N26" i="110"/>
  <c r="O26" i="110"/>
  <c r="P26" i="110"/>
  <c r="Q26" i="110"/>
  <c r="R26" i="110"/>
  <c r="S26" i="110"/>
  <c r="T26" i="110"/>
  <c r="U26" i="110"/>
  <c r="J27" i="110"/>
  <c r="K27" i="110"/>
  <c r="L27" i="110"/>
  <c r="M27" i="110"/>
  <c r="N27" i="110"/>
  <c r="O27" i="110"/>
  <c r="P27" i="110"/>
  <c r="Q27" i="110"/>
  <c r="R27" i="110"/>
  <c r="S27" i="110"/>
  <c r="T27" i="110"/>
  <c r="U27" i="110"/>
  <c r="J29" i="110"/>
  <c r="K29" i="110"/>
  <c r="L29" i="110"/>
  <c r="M29" i="110"/>
  <c r="N29" i="110"/>
  <c r="O29" i="110"/>
  <c r="P29" i="110"/>
  <c r="Q29" i="110"/>
  <c r="R29" i="110"/>
  <c r="S29" i="110"/>
  <c r="T29" i="110"/>
  <c r="U29" i="110"/>
  <c r="J30" i="110"/>
  <c r="K30" i="110"/>
  <c r="L30" i="110"/>
  <c r="M30" i="110"/>
  <c r="N30" i="110"/>
  <c r="O30" i="110"/>
  <c r="P30" i="110"/>
  <c r="Q30" i="110"/>
  <c r="R30" i="110"/>
  <c r="S30" i="110"/>
  <c r="T30" i="110"/>
  <c r="U30" i="110"/>
  <c r="J31" i="110"/>
  <c r="K31" i="110"/>
  <c r="L31" i="110"/>
  <c r="M31" i="110"/>
  <c r="N31" i="110"/>
  <c r="O31" i="110"/>
  <c r="P31" i="110"/>
  <c r="Q31" i="110"/>
  <c r="R31" i="110"/>
  <c r="S31" i="110"/>
  <c r="T31" i="110"/>
  <c r="U31" i="110"/>
  <c r="Y31" i="110"/>
  <c r="J32" i="110"/>
  <c r="K32" i="110"/>
  <c r="L32" i="110"/>
  <c r="M32" i="110"/>
  <c r="N32" i="110"/>
  <c r="O32" i="110"/>
  <c r="P32" i="110"/>
  <c r="Q32" i="110"/>
  <c r="R32" i="110"/>
  <c r="S32" i="110"/>
  <c r="T32" i="110"/>
  <c r="U32" i="110"/>
  <c r="W32" i="110"/>
  <c r="X32" i="110"/>
  <c r="J33" i="110"/>
  <c r="K33" i="110"/>
  <c r="L33" i="110"/>
  <c r="M33" i="110"/>
  <c r="N33" i="110"/>
  <c r="O33" i="110"/>
  <c r="P33" i="110"/>
  <c r="Q33" i="110"/>
  <c r="R33" i="110"/>
  <c r="S33" i="110"/>
  <c r="T33" i="110"/>
  <c r="K36" i="110"/>
  <c r="L36" i="110"/>
  <c r="M36" i="110"/>
  <c r="N36" i="110"/>
  <c r="O36" i="110"/>
  <c r="P36" i="110"/>
  <c r="Q36" i="110"/>
  <c r="R36" i="110"/>
  <c r="S36" i="110"/>
  <c r="T36" i="110"/>
  <c r="U36" i="110"/>
  <c r="J37" i="110"/>
  <c r="J39" i="110"/>
  <c r="K39" i="110"/>
  <c r="L39" i="110"/>
  <c r="M39" i="110"/>
  <c r="N39" i="110"/>
  <c r="O39" i="110"/>
  <c r="P39" i="110"/>
  <c r="Q39" i="110"/>
  <c r="R39" i="110"/>
  <c r="S39" i="110"/>
  <c r="T39" i="110"/>
  <c r="U39" i="110"/>
  <c r="J40" i="110"/>
  <c r="J42" i="110"/>
  <c r="K42" i="110"/>
  <c r="L42" i="110"/>
  <c r="M42" i="110"/>
  <c r="N42" i="110"/>
  <c r="O42" i="110"/>
  <c r="P42" i="110"/>
  <c r="Q42" i="110"/>
  <c r="R42" i="110"/>
  <c r="S42" i="110"/>
  <c r="T42" i="110"/>
  <c r="U42" i="110"/>
  <c r="J43" i="110"/>
  <c r="K43" i="110"/>
  <c r="L43" i="110"/>
  <c r="M43" i="110"/>
  <c r="N43" i="110"/>
  <c r="O43" i="110"/>
  <c r="P43" i="110"/>
  <c r="Q43" i="110"/>
  <c r="R43" i="110"/>
  <c r="S43" i="110"/>
  <c r="T43" i="110"/>
  <c r="U43" i="110"/>
  <c r="J45" i="110"/>
  <c r="K45" i="110"/>
  <c r="L45" i="110"/>
  <c r="M45" i="110"/>
  <c r="N45" i="110"/>
  <c r="O45" i="110"/>
  <c r="P45" i="110"/>
  <c r="Q45" i="110"/>
  <c r="R45" i="110"/>
  <c r="S45" i="110"/>
  <c r="T45" i="110"/>
  <c r="U45" i="110"/>
  <c r="J46" i="110"/>
  <c r="K46" i="110"/>
  <c r="L46" i="110"/>
  <c r="M46" i="110"/>
  <c r="N46" i="110"/>
  <c r="O46" i="110"/>
  <c r="P46" i="110"/>
  <c r="Q46" i="110"/>
  <c r="R46" i="110"/>
  <c r="S46" i="110"/>
  <c r="T46" i="110"/>
  <c r="U46" i="110"/>
  <c r="J49" i="110"/>
  <c r="K49" i="110"/>
  <c r="L49" i="110"/>
  <c r="M49" i="110"/>
  <c r="N49" i="110"/>
  <c r="O49" i="110"/>
  <c r="P49" i="110"/>
  <c r="Q49" i="110"/>
  <c r="R49" i="110"/>
  <c r="S49" i="110"/>
  <c r="T49" i="110"/>
  <c r="U49" i="110"/>
  <c r="J51" i="110"/>
  <c r="K51" i="110"/>
  <c r="L51" i="110"/>
  <c r="M51" i="110"/>
  <c r="N51" i="110"/>
  <c r="O51" i="110"/>
  <c r="P51" i="110"/>
  <c r="Q51" i="110"/>
  <c r="R51" i="110"/>
  <c r="S51" i="110"/>
  <c r="T51" i="110"/>
  <c r="U51" i="110"/>
  <c r="J52" i="110"/>
  <c r="K52" i="110"/>
  <c r="L52" i="110"/>
  <c r="M52" i="110"/>
  <c r="N52" i="110"/>
  <c r="O52" i="110"/>
  <c r="P52" i="110"/>
  <c r="Q52" i="110"/>
  <c r="R52" i="110"/>
  <c r="S52" i="110"/>
  <c r="T52" i="110"/>
  <c r="U52" i="110"/>
  <c r="J53" i="110"/>
  <c r="K53" i="110"/>
  <c r="L53" i="110"/>
  <c r="M53" i="110"/>
  <c r="N53" i="110"/>
  <c r="O53" i="110"/>
  <c r="P53" i="110"/>
  <c r="Q53" i="110"/>
  <c r="R53" i="110"/>
  <c r="S53" i="110"/>
  <c r="T53" i="110"/>
  <c r="U53" i="110"/>
  <c r="J55" i="110"/>
  <c r="K55" i="110"/>
  <c r="L55" i="110"/>
  <c r="M55" i="110"/>
  <c r="N55" i="110"/>
  <c r="O55" i="110"/>
  <c r="P55" i="110"/>
  <c r="Q55" i="110"/>
  <c r="R55" i="110"/>
  <c r="S55" i="110"/>
  <c r="T55" i="110"/>
  <c r="U55" i="110"/>
  <c r="J56" i="110"/>
  <c r="K56" i="110"/>
  <c r="L56" i="110"/>
  <c r="M56" i="110"/>
  <c r="N56" i="110"/>
  <c r="O56" i="110"/>
  <c r="P56" i="110"/>
  <c r="Q56" i="110"/>
  <c r="R56" i="110"/>
  <c r="S56" i="110"/>
  <c r="T56" i="110"/>
  <c r="U56" i="110"/>
  <c r="J57" i="110"/>
  <c r="K57" i="110"/>
  <c r="L57" i="110"/>
  <c r="M57" i="110"/>
  <c r="N57" i="110"/>
  <c r="O57" i="110"/>
  <c r="P57" i="110"/>
  <c r="Q57" i="110"/>
  <c r="R57" i="110"/>
  <c r="S57" i="110"/>
  <c r="T57" i="110"/>
  <c r="U57" i="110"/>
  <c r="J59" i="110"/>
  <c r="K59" i="110"/>
  <c r="L59" i="110"/>
  <c r="M59" i="110"/>
  <c r="N59" i="110"/>
  <c r="O59" i="110"/>
  <c r="P59" i="110"/>
  <c r="Q59" i="110"/>
  <c r="R59" i="110"/>
  <c r="S59" i="110"/>
  <c r="T59" i="110"/>
  <c r="U59" i="110"/>
  <c r="J60" i="110"/>
  <c r="Y60" i="110"/>
  <c r="J63" i="110"/>
  <c r="K63" i="110"/>
  <c r="L63" i="110"/>
  <c r="M63" i="110"/>
  <c r="N63" i="110"/>
  <c r="O63" i="110"/>
  <c r="P63" i="110"/>
  <c r="Q63" i="110"/>
  <c r="R63" i="110"/>
  <c r="S63" i="110"/>
  <c r="T63" i="110"/>
  <c r="U63" i="110"/>
  <c r="J64" i="110"/>
  <c r="K64" i="110"/>
  <c r="L64" i="110"/>
  <c r="M64" i="110"/>
  <c r="N64" i="110"/>
  <c r="O64" i="110"/>
  <c r="P64" i="110"/>
  <c r="Q64" i="110"/>
  <c r="R64" i="110"/>
  <c r="S64" i="110"/>
  <c r="T64" i="110"/>
  <c r="U64" i="110"/>
  <c r="J65" i="110"/>
  <c r="K65" i="110"/>
  <c r="L65" i="110"/>
  <c r="M65" i="110"/>
  <c r="N65" i="110"/>
  <c r="O65" i="110"/>
  <c r="P65" i="110"/>
  <c r="Q65" i="110"/>
  <c r="R65" i="110"/>
  <c r="S65" i="110"/>
  <c r="T65" i="110"/>
  <c r="U65" i="110"/>
  <c r="J68" i="110"/>
  <c r="K68" i="110"/>
  <c r="L68" i="110"/>
  <c r="M68" i="110"/>
  <c r="N68" i="110"/>
  <c r="O68" i="110"/>
  <c r="P68" i="110"/>
  <c r="Q68" i="110"/>
  <c r="R68" i="110"/>
  <c r="S68" i="110"/>
  <c r="T68" i="110"/>
  <c r="U68" i="110"/>
  <c r="J69" i="110"/>
  <c r="K69" i="110"/>
  <c r="L69" i="110"/>
  <c r="M69" i="110"/>
  <c r="N69" i="110"/>
  <c r="O69" i="110"/>
  <c r="P69" i="110"/>
  <c r="Q69" i="110"/>
  <c r="R69" i="110"/>
  <c r="S69" i="110"/>
  <c r="T69" i="110"/>
  <c r="U69" i="110"/>
  <c r="J70" i="110"/>
  <c r="L70" i="110"/>
  <c r="M70" i="110"/>
  <c r="N70" i="110"/>
  <c r="O70" i="110"/>
  <c r="P70" i="110"/>
  <c r="Q70" i="110"/>
  <c r="R70" i="110"/>
  <c r="S70" i="110"/>
  <c r="T70" i="110"/>
  <c r="K72" i="110"/>
  <c r="L72" i="110"/>
  <c r="M72" i="110"/>
  <c r="N72" i="110"/>
  <c r="O72" i="110"/>
  <c r="P72" i="110"/>
  <c r="Q72" i="110"/>
  <c r="R72" i="110"/>
  <c r="S72" i="110"/>
  <c r="T72" i="110"/>
  <c r="U72" i="110"/>
  <c r="J73" i="110"/>
  <c r="K73" i="110"/>
  <c r="L73" i="110"/>
  <c r="M73" i="110"/>
  <c r="N73" i="110"/>
  <c r="O73" i="110"/>
  <c r="P73" i="110"/>
  <c r="Q73" i="110"/>
  <c r="R73" i="110"/>
  <c r="S73" i="110"/>
  <c r="T73" i="110"/>
  <c r="U73" i="110"/>
  <c r="J74" i="110"/>
  <c r="K74" i="110"/>
  <c r="L74" i="110"/>
  <c r="M74" i="110"/>
  <c r="N74" i="110"/>
  <c r="O74" i="110"/>
  <c r="P74" i="110"/>
  <c r="Q74" i="110"/>
  <c r="R74" i="110"/>
  <c r="S74" i="110"/>
  <c r="T74" i="110"/>
  <c r="U74" i="110"/>
  <c r="J75" i="110"/>
  <c r="K75" i="110"/>
  <c r="L75" i="110"/>
  <c r="M75" i="110"/>
  <c r="N75" i="110"/>
  <c r="O75" i="110"/>
  <c r="P75" i="110"/>
  <c r="Q75" i="110"/>
  <c r="R75" i="110"/>
  <c r="S75" i="110"/>
  <c r="T75" i="110"/>
  <c r="U75" i="110"/>
  <c r="J78" i="110"/>
  <c r="K78" i="110"/>
  <c r="L78" i="110"/>
  <c r="M78" i="110"/>
  <c r="N78" i="110"/>
  <c r="O78" i="110"/>
  <c r="P78" i="110"/>
  <c r="Q78" i="110"/>
  <c r="R78" i="110"/>
  <c r="S78" i="110"/>
  <c r="T78" i="110"/>
  <c r="U78" i="110"/>
  <c r="J80" i="110"/>
  <c r="K80" i="110"/>
  <c r="L80" i="110"/>
  <c r="M80" i="110"/>
  <c r="N80" i="110"/>
  <c r="O80" i="110"/>
  <c r="P80" i="110"/>
  <c r="Q80" i="110"/>
  <c r="R80" i="110"/>
  <c r="S80" i="110"/>
  <c r="T80" i="110"/>
  <c r="U80" i="110"/>
  <c r="K82" i="110"/>
  <c r="L82" i="110"/>
  <c r="M82" i="110"/>
  <c r="N82" i="110"/>
  <c r="O82" i="110"/>
  <c r="P82" i="110"/>
  <c r="Q82" i="110"/>
  <c r="R82" i="110"/>
  <c r="S82" i="110"/>
  <c r="T82" i="110"/>
  <c r="U82" i="110"/>
  <c r="J83" i="110"/>
  <c r="J84" i="110"/>
  <c r="K84" i="110"/>
  <c r="L84" i="110"/>
  <c r="M84" i="110"/>
  <c r="N84" i="110"/>
  <c r="O84" i="110"/>
  <c r="P84" i="110"/>
  <c r="Q84" i="110"/>
  <c r="R84" i="110"/>
  <c r="S84" i="110"/>
  <c r="T84" i="110"/>
  <c r="U84" i="110"/>
  <c r="J85" i="110"/>
  <c r="K87" i="110"/>
  <c r="L87" i="110"/>
  <c r="M87" i="110"/>
  <c r="N87" i="110"/>
  <c r="O87" i="110"/>
  <c r="P87" i="110"/>
  <c r="Q87" i="110"/>
  <c r="R87" i="110"/>
  <c r="S87" i="110"/>
  <c r="T87" i="110"/>
  <c r="U87" i="110"/>
  <c r="K88" i="110"/>
  <c r="L88" i="110"/>
  <c r="M88" i="110"/>
  <c r="N88" i="110"/>
  <c r="O88" i="110"/>
  <c r="P88" i="110"/>
  <c r="Q88" i="110"/>
  <c r="R88" i="110"/>
  <c r="S88" i="110"/>
  <c r="T88" i="110"/>
  <c r="U88" i="110"/>
  <c r="K90" i="110"/>
  <c r="L90" i="110"/>
  <c r="M90" i="110"/>
  <c r="N90" i="110"/>
  <c r="O90" i="110"/>
  <c r="P90" i="110"/>
  <c r="Q90" i="110"/>
  <c r="R90" i="110"/>
  <c r="S90" i="110"/>
  <c r="T90" i="110"/>
  <c r="U90" i="110"/>
  <c r="K91" i="110"/>
  <c r="L91" i="110"/>
  <c r="M91" i="110"/>
  <c r="N91" i="110"/>
  <c r="O91" i="110"/>
  <c r="P91" i="110"/>
  <c r="Q91" i="110"/>
  <c r="R91" i="110"/>
  <c r="S91" i="110"/>
  <c r="T91" i="110"/>
  <c r="U91" i="110"/>
  <c r="K95" i="110"/>
  <c r="L95" i="110"/>
  <c r="M95" i="110"/>
  <c r="N95" i="110"/>
  <c r="O95" i="110"/>
  <c r="P95" i="110"/>
  <c r="Q95" i="110"/>
  <c r="R95" i="110"/>
  <c r="S95" i="110"/>
  <c r="T95" i="110"/>
  <c r="U95" i="110"/>
  <c r="K96" i="110"/>
  <c r="L96" i="110"/>
  <c r="M96" i="110"/>
  <c r="N96" i="110"/>
  <c r="O96" i="110"/>
  <c r="P96" i="110"/>
  <c r="Q96" i="110"/>
  <c r="R96" i="110"/>
  <c r="S96" i="110"/>
  <c r="T96" i="110"/>
  <c r="U96" i="110"/>
  <c r="J97" i="110"/>
  <c r="K97" i="110"/>
  <c r="L97" i="110"/>
  <c r="M97" i="110"/>
  <c r="N97" i="110"/>
  <c r="O97" i="110"/>
  <c r="P97" i="110"/>
  <c r="Q97" i="110"/>
  <c r="R97" i="110"/>
  <c r="S97" i="110"/>
  <c r="T97" i="110"/>
  <c r="U97" i="110"/>
  <c r="J99" i="110"/>
  <c r="K99" i="110"/>
  <c r="L99" i="110"/>
  <c r="M99" i="110"/>
  <c r="N99" i="110"/>
  <c r="O99" i="110"/>
  <c r="P99" i="110"/>
  <c r="Q99" i="110"/>
  <c r="R99" i="110"/>
  <c r="S99" i="110"/>
  <c r="T99" i="110"/>
  <c r="U99" i="110"/>
  <c r="J102" i="110"/>
  <c r="K102" i="110"/>
  <c r="L102" i="110"/>
  <c r="M102" i="110"/>
  <c r="N102" i="110"/>
  <c r="O102" i="110"/>
  <c r="P102" i="110"/>
  <c r="Q102" i="110"/>
  <c r="R102" i="110"/>
  <c r="S102" i="110"/>
  <c r="T102" i="110"/>
  <c r="U102" i="110"/>
  <c r="J103" i="110"/>
  <c r="K103" i="110"/>
  <c r="L103" i="110"/>
  <c r="M103" i="110"/>
  <c r="N103" i="110"/>
  <c r="O103" i="110"/>
  <c r="P103" i="110"/>
  <c r="Q103" i="110"/>
  <c r="R103" i="110"/>
  <c r="S103" i="110"/>
  <c r="T103" i="110"/>
  <c r="U103" i="110"/>
  <c r="J104" i="110"/>
  <c r="K104" i="110"/>
  <c r="L104" i="110"/>
  <c r="M104" i="110"/>
  <c r="N104" i="110"/>
  <c r="O104" i="110"/>
  <c r="P104" i="110"/>
  <c r="Q104" i="110"/>
  <c r="R104" i="110"/>
  <c r="S104" i="110"/>
  <c r="T104" i="110"/>
  <c r="U104" i="110"/>
  <c r="J105" i="110"/>
  <c r="K105" i="110"/>
  <c r="L105" i="110"/>
  <c r="M105" i="110"/>
  <c r="N105" i="110"/>
  <c r="O105" i="110"/>
  <c r="P105" i="110"/>
  <c r="Q105" i="110"/>
  <c r="R105" i="110"/>
  <c r="S105" i="110"/>
  <c r="T105" i="110"/>
  <c r="U105" i="110"/>
  <c r="J106" i="110"/>
  <c r="K106" i="110"/>
  <c r="L106" i="110"/>
  <c r="M106" i="110"/>
  <c r="N106" i="110"/>
  <c r="O106" i="110"/>
  <c r="P106" i="110"/>
  <c r="Q106" i="110"/>
  <c r="R106" i="110"/>
  <c r="S106" i="110"/>
  <c r="T106" i="110"/>
  <c r="U106" i="110"/>
  <c r="J107" i="110"/>
  <c r="K107" i="110"/>
  <c r="L107" i="110"/>
  <c r="M107" i="110"/>
  <c r="N107" i="110"/>
  <c r="O107" i="110"/>
  <c r="P107" i="110"/>
  <c r="Q107" i="110"/>
  <c r="R107" i="110"/>
  <c r="S107" i="110"/>
  <c r="T107" i="110"/>
  <c r="U107" i="110"/>
  <c r="T111" i="110"/>
  <c r="U111" i="110"/>
  <c r="K112" i="110"/>
  <c r="L112" i="110"/>
  <c r="M112" i="110"/>
  <c r="N112" i="110"/>
  <c r="O112" i="110"/>
  <c r="P112" i="110"/>
  <c r="Q112" i="110"/>
  <c r="R112" i="110"/>
  <c r="S112" i="110"/>
  <c r="T112" i="110"/>
  <c r="U112" i="110"/>
  <c r="K114" i="110"/>
  <c r="L114" i="110"/>
  <c r="M114" i="110"/>
  <c r="N114" i="110"/>
  <c r="O114" i="110"/>
  <c r="P114" i="110"/>
  <c r="Q114" i="110"/>
  <c r="R114" i="110"/>
  <c r="S114" i="110"/>
  <c r="T114" i="110"/>
  <c r="U114" i="110"/>
  <c r="F116" i="110"/>
  <c r="J138" i="110"/>
  <c r="K138" i="110"/>
  <c r="L138" i="110"/>
  <c r="M138" i="110"/>
  <c r="N138" i="110"/>
  <c r="O138" i="110"/>
  <c r="P138" i="110"/>
  <c r="Q138" i="110"/>
  <c r="R138" i="110"/>
  <c r="S138" i="110"/>
  <c r="T138" i="110"/>
  <c r="U138" i="110"/>
  <c r="J139" i="110"/>
  <c r="K139" i="110"/>
  <c r="L139" i="110"/>
  <c r="M139" i="110"/>
  <c r="N139" i="110"/>
  <c r="O139" i="110"/>
  <c r="P139" i="110"/>
  <c r="Q139" i="110"/>
  <c r="R139" i="110"/>
  <c r="S139" i="110"/>
  <c r="T139" i="110"/>
  <c r="U139" i="110"/>
  <c r="J141" i="110"/>
  <c r="K141" i="110"/>
  <c r="L141" i="110"/>
  <c r="M141" i="110"/>
  <c r="N141" i="110"/>
  <c r="O141" i="110"/>
  <c r="P141" i="110"/>
  <c r="Q141" i="110"/>
  <c r="R141" i="110"/>
  <c r="S141" i="110"/>
  <c r="T141" i="110"/>
  <c r="U141" i="110"/>
  <c r="J142" i="110"/>
  <c r="K142" i="110"/>
  <c r="L142" i="110"/>
  <c r="M142" i="110"/>
  <c r="N142" i="110"/>
  <c r="O142" i="110"/>
  <c r="P142" i="110"/>
  <c r="Q142" i="110"/>
  <c r="R142" i="110"/>
  <c r="S142" i="110"/>
  <c r="T142" i="110"/>
  <c r="U142" i="110"/>
  <c r="J143" i="110"/>
  <c r="L143" i="110"/>
  <c r="M143" i="110"/>
  <c r="N143" i="110"/>
  <c r="O143" i="110"/>
  <c r="P143" i="110"/>
  <c r="Q143" i="110"/>
  <c r="R143" i="110"/>
  <c r="S143" i="110"/>
  <c r="T143" i="110"/>
  <c r="J144" i="110"/>
  <c r="K144" i="110"/>
  <c r="L144" i="110"/>
  <c r="M144" i="110"/>
  <c r="N144" i="110"/>
  <c r="O144" i="110"/>
  <c r="P144" i="110"/>
  <c r="Q144" i="110"/>
  <c r="R144" i="110"/>
  <c r="S144" i="110"/>
  <c r="T144" i="110"/>
  <c r="U144" i="110"/>
  <c r="J147" i="110"/>
  <c r="K147" i="110"/>
  <c r="L147" i="110"/>
  <c r="M147" i="110"/>
  <c r="N147" i="110"/>
  <c r="O147" i="110"/>
  <c r="P147" i="110"/>
  <c r="Q147" i="110"/>
  <c r="R147" i="110"/>
  <c r="S147" i="110"/>
  <c r="T147" i="110"/>
  <c r="U147" i="110"/>
  <c r="J148" i="110"/>
  <c r="J151" i="110"/>
  <c r="K151" i="110"/>
  <c r="L151" i="110"/>
  <c r="M151" i="110"/>
  <c r="N151" i="110"/>
  <c r="O151" i="110"/>
  <c r="P151" i="110"/>
  <c r="Q151" i="110"/>
  <c r="R151" i="110"/>
  <c r="S151" i="110"/>
  <c r="T151" i="110"/>
  <c r="U151" i="110"/>
  <c r="J152" i="110"/>
  <c r="K152" i="110"/>
  <c r="L152" i="110"/>
  <c r="M152" i="110"/>
  <c r="N152" i="110"/>
  <c r="O152" i="110"/>
  <c r="P152" i="110"/>
  <c r="Q152" i="110"/>
  <c r="R152" i="110"/>
  <c r="S152" i="110"/>
  <c r="T152" i="110"/>
  <c r="U152" i="110"/>
  <c r="J153" i="110"/>
  <c r="K153" i="110"/>
  <c r="L153" i="110"/>
  <c r="M153" i="110"/>
  <c r="N153" i="110"/>
  <c r="O153" i="110"/>
  <c r="P153" i="110"/>
  <c r="Q153" i="110"/>
  <c r="R153" i="110"/>
  <c r="S153" i="110"/>
  <c r="T153" i="110"/>
  <c r="U153" i="110"/>
  <c r="J154" i="110"/>
  <c r="K154" i="110"/>
  <c r="L154" i="110"/>
  <c r="M154" i="110"/>
  <c r="N154" i="110"/>
  <c r="O154" i="110"/>
  <c r="P154" i="110"/>
  <c r="Q154" i="110"/>
  <c r="R154" i="110"/>
  <c r="S154" i="110"/>
  <c r="T154" i="110"/>
  <c r="U154" i="110"/>
  <c r="J156" i="110"/>
  <c r="K156" i="110"/>
  <c r="L156" i="110"/>
  <c r="M156" i="110"/>
  <c r="N156" i="110"/>
  <c r="O156" i="110"/>
  <c r="P156" i="110"/>
  <c r="Q156" i="110"/>
  <c r="R156" i="110"/>
  <c r="S156" i="110"/>
  <c r="T156" i="110"/>
  <c r="U156" i="110"/>
  <c r="J157" i="110"/>
  <c r="K157" i="110"/>
  <c r="L157" i="110"/>
  <c r="M157" i="110"/>
  <c r="N157" i="110"/>
  <c r="O157" i="110"/>
  <c r="P157" i="110"/>
  <c r="Q157" i="110"/>
  <c r="R157" i="110"/>
  <c r="S157" i="110"/>
  <c r="T157" i="110"/>
  <c r="U157" i="110"/>
  <c r="J158" i="110"/>
  <c r="K158" i="110"/>
  <c r="L158" i="110"/>
  <c r="M158" i="110"/>
  <c r="N158" i="110"/>
  <c r="O158" i="110"/>
  <c r="P158" i="110"/>
  <c r="Q158" i="110"/>
  <c r="R158" i="110"/>
  <c r="S158" i="110"/>
  <c r="T158" i="110"/>
  <c r="U158" i="110"/>
  <c r="J160" i="110"/>
  <c r="L160" i="110"/>
  <c r="M160" i="110"/>
  <c r="N160" i="110"/>
  <c r="O160" i="110"/>
  <c r="P160" i="110"/>
  <c r="Q160" i="110"/>
  <c r="R160" i="110"/>
  <c r="S160" i="110"/>
  <c r="T160" i="110"/>
  <c r="Y160" i="110"/>
  <c r="J161" i="110"/>
  <c r="K161" i="110"/>
  <c r="L161" i="110"/>
  <c r="M161" i="110"/>
  <c r="N161" i="110"/>
  <c r="O161" i="110"/>
  <c r="P161" i="110"/>
  <c r="Q161" i="110"/>
  <c r="R161" i="110"/>
  <c r="S161" i="110"/>
  <c r="T161" i="110"/>
  <c r="U161" i="110"/>
  <c r="J166" i="110"/>
  <c r="K166" i="110"/>
  <c r="L166" i="110"/>
  <c r="M166" i="110"/>
  <c r="N166" i="110"/>
  <c r="O166" i="110"/>
  <c r="P166" i="110"/>
  <c r="Q166" i="110"/>
  <c r="R166" i="110"/>
  <c r="S166" i="110"/>
  <c r="T166" i="110"/>
  <c r="U166" i="110"/>
  <c r="J168" i="110"/>
  <c r="K168" i="110"/>
  <c r="L168" i="110"/>
  <c r="M168" i="110"/>
  <c r="N168" i="110"/>
  <c r="O168" i="110"/>
  <c r="P168" i="110"/>
  <c r="Q168" i="110"/>
  <c r="R168" i="110"/>
  <c r="S168" i="110"/>
  <c r="T168" i="110"/>
  <c r="U168" i="110"/>
  <c r="J169" i="110"/>
  <c r="K169" i="110"/>
  <c r="L169" i="110"/>
  <c r="M169" i="110"/>
  <c r="N169" i="110"/>
  <c r="O169" i="110"/>
  <c r="P169" i="110"/>
  <c r="Q169" i="110"/>
  <c r="R169" i="110"/>
  <c r="S169" i="110"/>
  <c r="T169" i="110"/>
  <c r="U169" i="110"/>
  <c r="J170" i="110"/>
  <c r="K170" i="110"/>
  <c r="L170" i="110"/>
  <c r="M170" i="110"/>
  <c r="N170" i="110"/>
  <c r="O170" i="110"/>
  <c r="P170" i="110"/>
  <c r="Q170" i="110"/>
  <c r="R170" i="110"/>
  <c r="S170" i="110"/>
  <c r="T170" i="110"/>
  <c r="U170" i="110"/>
  <c r="J181" i="110"/>
  <c r="K181" i="110"/>
  <c r="L181" i="110"/>
  <c r="M181" i="110"/>
  <c r="N181" i="110"/>
  <c r="O181" i="110"/>
  <c r="P181" i="110"/>
  <c r="Q181" i="110"/>
  <c r="R181" i="110"/>
  <c r="S181" i="110"/>
  <c r="T181" i="110"/>
  <c r="U181" i="110"/>
  <c r="K182" i="110"/>
  <c r="L182" i="110"/>
  <c r="M182" i="110"/>
  <c r="N182" i="110"/>
  <c r="O182" i="110"/>
  <c r="P182" i="110"/>
  <c r="Q182" i="110"/>
  <c r="R182" i="110"/>
  <c r="S182" i="110"/>
  <c r="T182" i="110"/>
  <c r="U182" i="110"/>
  <c r="L183" i="110"/>
  <c r="M183" i="110"/>
  <c r="N183" i="110"/>
  <c r="O183" i="110"/>
  <c r="P183" i="110"/>
  <c r="Q183" i="110"/>
  <c r="R183" i="110"/>
  <c r="S183" i="110"/>
  <c r="T183" i="110"/>
  <c r="U183" i="110"/>
  <c r="M184" i="110"/>
  <c r="N184" i="110"/>
  <c r="O184" i="110"/>
  <c r="P184" i="110"/>
  <c r="Q184" i="110"/>
  <c r="R184" i="110"/>
  <c r="S184" i="110"/>
  <c r="T184" i="110"/>
  <c r="U184" i="110"/>
  <c r="N185" i="110"/>
  <c r="O185" i="110"/>
  <c r="P185" i="110"/>
  <c r="Q185" i="110"/>
  <c r="R185" i="110"/>
  <c r="S185" i="110"/>
  <c r="T185" i="110"/>
  <c r="U185" i="110"/>
  <c r="O186" i="110"/>
  <c r="P186" i="110"/>
  <c r="Q186" i="110"/>
  <c r="R186" i="110"/>
  <c r="S186" i="110"/>
  <c r="T186" i="110"/>
  <c r="U186" i="110"/>
  <c r="P187" i="110"/>
  <c r="Q187" i="110"/>
  <c r="R187" i="110"/>
  <c r="S187" i="110"/>
  <c r="T187" i="110"/>
  <c r="U187" i="110"/>
  <c r="Q188" i="110"/>
  <c r="R188" i="110"/>
  <c r="S188" i="110"/>
  <c r="T188" i="110"/>
  <c r="U188" i="110"/>
  <c r="R189" i="110"/>
  <c r="S189" i="110"/>
  <c r="T189" i="110"/>
  <c r="U189" i="110"/>
  <c r="S190" i="110"/>
  <c r="T190" i="110"/>
  <c r="U190" i="110"/>
  <c r="T191" i="110"/>
  <c r="U191" i="110"/>
  <c r="U192" i="110"/>
  <c r="J193" i="110"/>
  <c r="K193" i="110"/>
  <c r="L193" i="110"/>
  <c r="M193" i="110"/>
  <c r="N193" i="110"/>
  <c r="O193" i="110"/>
  <c r="P193" i="110"/>
  <c r="Q193" i="110"/>
  <c r="R193" i="110"/>
  <c r="S193" i="110"/>
  <c r="T193" i="110"/>
  <c r="U193" i="110"/>
  <c r="J201" i="110"/>
  <c r="K201" i="110"/>
  <c r="L201" i="110"/>
  <c r="M201" i="110"/>
  <c r="N201" i="110"/>
  <c r="O201" i="110"/>
  <c r="P201" i="110"/>
  <c r="Q201" i="110"/>
  <c r="R201" i="110"/>
  <c r="S201" i="110"/>
  <c r="T201" i="110"/>
  <c r="U201" i="110"/>
  <c r="J202" i="110"/>
  <c r="K202" i="110"/>
  <c r="L202" i="110"/>
  <c r="M202" i="110"/>
  <c r="N202" i="110"/>
  <c r="O202" i="110"/>
  <c r="P202" i="110"/>
  <c r="Q202" i="110"/>
  <c r="R202" i="110"/>
  <c r="S202" i="110"/>
  <c r="T202" i="110"/>
  <c r="U202" i="110"/>
  <c r="J203" i="110"/>
  <c r="K203" i="110"/>
  <c r="L203" i="110"/>
  <c r="M203" i="110"/>
  <c r="N203" i="110"/>
  <c r="O203" i="110"/>
  <c r="P203" i="110"/>
  <c r="Q203" i="110"/>
  <c r="R203" i="110"/>
  <c r="S203" i="110"/>
  <c r="T203" i="110"/>
  <c r="U203" i="110"/>
  <c r="K212" i="110"/>
  <c r="L212" i="110"/>
  <c r="M212" i="110"/>
  <c r="N212" i="110"/>
  <c r="O212" i="110"/>
  <c r="P212" i="110"/>
  <c r="Q212" i="110"/>
  <c r="R212" i="110"/>
  <c r="S212" i="110"/>
  <c r="T212" i="110"/>
  <c r="U212" i="110"/>
  <c r="T213" i="110"/>
  <c r="K214" i="110"/>
  <c r="L214" i="110"/>
  <c r="M214" i="110"/>
  <c r="N214" i="110"/>
  <c r="O214" i="110"/>
  <c r="P214" i="110"/>
  <c r="Q214" i="110"/>
  <c r="R214" i="110"/>
  <c r="S214" i="110"/>
  <c r="T214" i="110"/>
  <c r="D215" i="110"/>
  <c r="K215" i="110"/>
  <c r="L215" i="110"/>
  <c r="M215" i="110"/>
  <c r="N215" i="110"/>
  <c r="O215" i="110"/>
  <c r="P215" i="110"/>
  <c r="Q215" i="110"/>
  <c r="R215" i="110"/>
  <c r="S215" i="110"/>
  <c r="T215" i="110"/>
  <c r="J216" i="110"/>
  <c r="J218" i="110"/>
  <c r="J220" i="110"/>
  <c r="J221" i="1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79" authorId="0" shapeId="0" xr:uid="{D5E9357D-F638-40BC-9A73-7770FF739CFC}">
      <text>
        <r>
          <rPr>
            <b/>
            <sz val="9"/>
            <color indexed="81"/>
            <rFont val="Tahoma"/>
            <family val="2"/>
          </rPr>
          <t>Author:</t>
        </r>
        <r>
          <rPr>
            <sz val="9"/>
            <color indexed="81"/>
            <rFont val="Tahoma"/>
            <family val="2"/>
          </rPr>
          <t xml:space="preserve">
Share of profits of associates; FX loss gain; 
financial assets; other non-current liabilities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6" authorId="0" shapeId="0" xr:uid="{E894958B-5714-4936-9F28-BD71EA2CF610}">
      <text>
        <r>
          <rPr>
            <b/>
            <sz val="9"/>
            <color indexed="81"/>
            <rFont val="Tahoma"/>
            <family val="2"/>
          </rPr>
          <t>Author:</t>
        </r>
        <r>
          <rPr>
            <sz val="9"/>
            <color indexed="81"/>
            <rFont val="Tahoma"/>
            <family val="2"/>
          </rPr>
          <t xml:space="preserve">
Estimate</t>
        </r>
      </text>
    </comment>
    <comment ref="E153" authorId="0" shapeId="0" xr:uid="{937C3C9A-B11F-489E-9953-C27AD45285D0}">
      <text>
        <r>
          <rPr>
            <b/>
            <sz val="9"/>
            <color indexed="81"/>
            <rFont val="Tahoma"/>
            <family val="2"/>
          </rPr>
          <t>Author:</t>
        </r>
        <r>
          <rPr>
            <sz val="9"/>
            <color indexed="81"/>
            <rFont val="Tahoma"/>
            <family val="2"/>
          </rPr>
          <t xml:space="preserve">
Estimate</t>
        </r>
      </text>
    </comment>
    <comment ref="E154" authorId="0" shapeId="0" xr:uid="{AA316895-BCF1-47E8-93AC-0F7C3322F05A}">
      <text>
        <r>
          <rPr>
            <b/>
            <sz val="9"/>
            <color indexed="81"/>
            <rFont val="Tahoma"/>
            <family val="2"/>
          </rPr>
          <t>Author:</t>
        </r>
        <r>
          <rPr>
            <sz val="9"/>
            <color indexed="81"/>
            <rFont val="Tahoma"/>
            <family val="2"/>
          </rPr>
          <t xml:space="preserve">
Estimate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78" authorId="0" shapeId="0" xr:uid="{8AD7ACB3-3DDE-4C89-AA5F-0EB8D25343CF}">
      <text>
        <r>
          <rPr>
            <b/>
            <sz val="9"/>
            <color indexed="81"/>
            <rFont val="Tahoma"/>
            <family val="2"/>
          </rPr>
          <t>Author:</t>
        </r>
        <r>
          <rPr>
            <sz val="9"/>
            <color indexed="81"/>
            <rFont val="Tahoma"/>
            <family val="2"/>
          </rPr>
          <t xml:space="preserve">
Share of profits of associates; FX loss gain; 
financial assets; other non-current liabilities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6" authorId="0" shapeId="0" xr:uid="{C1E72BE8-E34D-486D-970C-CD66F9A9C006}">
      <text>
        <r>
          <rPr>
            <b/>
            <sz val="9"/>
            <color indexed="81"/>
            <rFont val="Tahoma"/>
            <family val="2"/>
          </rPr>
          <t>Author:</t>
        </r>
        <r>
          <rPr>
            <sz val="9"/>
            <color indexed="81"/>
            <rFont val="Tahoma"/>
            <family val="2"/>
          </rPr>
          <t xml:space="preserve">
Estimate</t>
        </r>
      </text>
    </comment>
    <comment ref="E153" authorId="0" shapeId="0" xr:uid="{F38DC317-09CC-475C-9940-DCEF6CD20E45}">
      <text>
        <r>
          <rPr>
            <b/>
            <sz val="9"/>
            <color indexed="81"/>
            <rFont val="Tahoma"/>
            <family val="2"/>
          </rPr>
          <t>Author:</t>
        </r>
        <r>
          <rPr>
            <sz val="9"/>
            <color indexed="81"/>
            <rFont val="Tahoma"/>
            <family val="2"/>
          </rPr>
          <t xml:space="preserve">
Estimate</t>
        </r>
      </text>
    </comment>
    <comment ref="E154" authorId="0" shapeId="0" xr:uid="{7C4B9B70-B21D-4066-A1DC-3A0AA964D3B1}">
      <text>
        <r>
          <rPr>
            <b/>
            <sz val="9"/>
            <color indexed="81"/>
            <rFont val="Tahoma"/>
            <family val="2"/>
          </rPr>
          <t>Author:</t>
        </r>
        <r>
          <rPr>
            <sz val="9"/>
            <color indexed="81"/>
            <rFont val="Tahoma"/>
            <family val="2"/>
          </rPr>
          <t xml:space="preserve">
Estimate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79" authorId="0" shapeId="0" xr:uid="{02F0123B-65D5-4CD3-BDB9-7BFF7B8392F4}">
      <text>
        <r>
          <rPr>
            <b/>
            <sz val="9"/>
            <color indexed="81"/>
            <rFont val="Tahoma"/>
            <family val="2"/>
          </rPr>
          <t>Author:</t>
        </r>
        <r>
          <rPr>
            <sz val="9"/>
            <color indexed="81"/>
            <rFont val="Tahoma"/>
            <family val="2"/>
          </rPr>
          <t xml:space="preserve">
Share of profits of associates; FX loss gain; 
financial assets; other non-current liabilities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6" authorId="0" shapeId="0" xr:uid="{69154958-DE4A-4126-BBB8-E3EBED4DAF76}">
      <text>
        <r>
          <rPr>
            <b/>
            <sz val="9"/>
            <color indexed="81"/>
            <rFont val="Tahoma"/>
            <family val="2"/>
          </rPr>
          <t>Author:</t>
        </r>
        <r>
          <rPr>
            <sz val="9"/>
            <color indexed="81"/>
            <rFont val="Tahoma"/>
            <family val="2"/>
          </rPr>
          <t xml:space="preserve">
Estimate</t>
        </r>
      </text>
    </comment>
    <comment ref="E153" authorId="0" shapeId="0" xr:uid="{8B96C117-624B-43A1-BA2E-EEFA778A6169}">
      <text>
        <r>
          <rPr>
            <b/>
            <sz val="9"/>
            <color indexed="81"/>
            <rFont val="Tahoma"/>
            <family val="2"/>
          </rPr>
          <t>Author:</t>
        </r>
        <r>
          <rPr>
            <sz val="9"/>
            <color indexed="81"/>
            <rFont val="Tahoma"/>
            <family val="2"/>
          </rPr>
          <t xml:space="preserve">
Estimate</t>
        </r>
      </text>
    </comment>
    <comment ref="E154" authorId="0" shapeId="0" xr:uid="{403AC085-E35C-4246-BC77-327D7622C3F2}">
      <text>
        <r>
          <rPr>
            <b/>
            <sz val="9"/>
            <color indexed="81"/>
            <rFont val="Tahoma"/>
            <family val="2"/>
          </rPr>
          <t>Author:</t>
        </r>
        <r>
          <rPr>
            <sz val="9"/>
            <color indexed="81"/>
            <rFont val="Tahoma"/>
            <family val="2"/>
          </rPr>
          <t xml:space="preserve">
Estimate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D19" authorId="0" shapeId="0" xr:uid="{3EFA6D54-5EEB-4B4B-B2F1-2B0DE50A8F71}">
      <text>
        <r>
          <rPr>
            <b/>
            <sz val="9"/>
            <color indexed="81"/>
            <rFont val="Tahoma"/>
            <family val="2"/>
          </rPr>
          <t>Author:</t>
        </r>
        <r>
          <rPr>
            <sz val="9"/>
            <color indexed="81"/>
            <rFont val="Tahoma"/>
            <family val="2"/>
          </rPr>
          <t xml:space="preserve">
""slightly above mid-20s percent in USD"</t>
        </r>
      </text>
    </comment>
    <comment ref="V56" authorId="0" shapeId="0" xr:uid="{04067883-C8EC-4518-A462-9F8768AC02E8}">
      <text>
        <r>
          <rPr>
            <b/>
            <sz val="9"/>
            <color indexed="81"/>
            <rFont val="Tahoma"/>
            <family val="2"/>
          </rPr>
          <t>Author:</t>
        </r>
        <r>
          <rPr>
            <sz val="9"/>
            <color indexed="81"/>
            <rFont val="Tahoma"/>
            <family val="2"/>
          </rPr>
          <t xml:space="preserve">
Use last period's net debt figure to avoid a circ</t>
        </r>
      </text>
    </comment>
    <comment ref="D66" authorId="0" shapeId="0" xr:uid="{11DF6BFE-953D-433B-B987-E4855FE882FA}">
      <text>
        <r>
          <rPr>
            <b/>
            <sz val="9"/>
            <color indexed="81"/>
            <rFont val="Tahoma"/>
            <family val="2"/>
          </rPr>
          <t>Author:</t>
        </r>
        <r>
          <rPr>
            <sz val="9"/>
            <color indexed="81"/>
            <rFont val="Tahoma"/>
            <family val="2"/>
          </rPr>
          <t xml:space="preserve">
1/12/23 guidance
https://www.bamsec.com/transcripts/ef9a588a-a98b-4c44-9dab-902169818205?hl_id=vkiflzg_gx</t>
        </r>
      </text>
    </comment>
    <comment ref="W105" authorId="0" shapeId="0" xr:uid="{1CCCDC01-0E94-4696-9ED9-25ED69701280}">
      <text>
        <r>
          <rPr>
            <b/>
            <sz val="9"/>
            <color indexed="81"/>
            <rFont val="Tahoma"/>
            <family val="2"/>
          </rPr>
          <t>Author:</t>
        </r>
        <r>
          <rPr>
            <sz val="9"/>
            <color indexed="81"/>
            <rFont val="Tahoma"/>
            <family val="2"/>
          </rPr>
          <t xml:space="preserve">
Circular</t>
        </r>
      </text>
    </comment>
    <comment ref="AC312" authorId="0" shapeId="0" xr:uid="{54BF0EAF-27C0-4378-94D9-DED53AE8B412}">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D312" authorId="0" shapeId="0" xr:uid="{5478C09E-AA34-4F44-BD91-40D68662C5FA}">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E312" authorId="0" shapeId="0" xr:uid="{A1ED143D-9867-4E3F-AFEF-3B5BF9872D15}">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F312" authorId="0" shapeId="0" xr:uid="{1A735178-1F8A-4942-8002-58FDE355F8D2}">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G312" authorId="0" shapeId="0" xr:uid="{B06B8965-EB54-4C5B-87AD-B1F85E1BAB6B}">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H312" authorId="0" shapeId="0" xr:uid="{3AD33549-DF9A-4DD1-9EE8-D8E374F54129}">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I312" authorId="0" shapeId="0" xr:uid="{C5DDCCF8-6624-44F0-8D8C-CAABAFBECCBB}">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J312" authorId="0" shapeId="0" xr:uid="{68FC14D6-C7EC-4E7C-96CF-E08E7D7C87EA}">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K312" authorId="0" shapeId="0" xr:uid="{DF90DAD9-D81B-4E3E-B04E-6E3629AA75DF}">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L312" authorId="0" shapeId="0" xr:uid="{AF722B5A-6BAC-4CC8-A64F-FCAF427D6631}">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M312" authorId="0" shapeId="0" xr:uid="{83C097A9-0436-4506-A64C-9A216A6455B2}">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N312" authorId="0" shapeId="0" xr:uid="{970921A3-C300-4952-9C87-5C08F6D74B17}">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O312" authorId="0" shapeId="0" xr:uid="{06C6BC5B-88CA-415C-A022-9B881A239A44}">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P312" authorId="0" shapeId="0" xr:uid="{E145D761-09F4-45CA-B530-1D4D82215504}">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Q312" authorId="0" shapeId="0" xr:uid="{F6166232-866A-44B4-84A2-0B25AEFCDF1B}">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C321" authorId="0" shapeId="0" xr:uid="{573005AB-DDA9-4749-8C3D-A87F4E0AB202}">
      <text>
        <r>
          <rPr>
            <b/>
            <sz val="9"/>
            <color indexed="81"/>
            <rFont val="Tahoma"/>
            <family val="2"/>
          </rPr>
          <t>Author:</t>
        </r>
        <r>
          <rPr>
            <sz val="9"/>
            <color indexed="81"/>
            <rFont val="Tahoma"/>
            <family val="2"/>
          </rPr>
          <t xml:space="preserve">
not specified</t>
        </r>
      </text>
    </comment>
    <comment ref="AC471" authorId="0" shapeId="0" xr:uid="{A8AB1098-4495-4797-BBBC-7195A89C8E47}">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R495" authorId="0" shapeId="0" xr:uid="{63C79979-3E22-41C3-A978-08ACA50CAEAB}">
      <text>
        <r>
          <rPr>
            <b/>
            <sz val="9"/>
            <color indexed="81"/>
            <rFont val="Tahoma"/>
            <family val="2"/>
          </rPr>
          <t>Author:</t>
        </r>
        <r>
          <rPr>
            <sz val="9"/>
            <color indexed="81"/>
            <rFont val="Tahoma"/>
            <family val="2"/>
          </rPr>
          <t xml:space="preserve">
CapIQ</t>
        </r>
      </text>
    </comment>
    <comment ref="AS495" authorId="0" shapeId="0" xr:uid="{6E082593-9884-40BC-AD3E-B04BF4FA3A82}">
      <text>
        <r>
          <rPr>
            <b/>
            <sz val="9"/>
            <color indexed="81"/>
            <rFont val="Tahoma"/>
            <family val="2"/>
          </rPr>
          <t>Author:</t>
        </r>
        <r>
          <rPr>
            <sz val="9"/>
            <color indexed="81"/>
            <rFont val="Tahoma"/>
            <family val="2"/>
          </rPr>
          <t xml:space="preserve">
CapIQ</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69" authorId="0" shapeId="0" xr:uid="{0A5E9338-55F9-4BCA-8055-4A3BD9177D2C}">
      <text>
        <r>
          <rPr>
            <b/>
            <sz val="9"/>
            <color indexed="81"/>
            <rFont val="Tahoma"/>
            <family val="2"/>
          </rPr>
          <t>Author:</t>
        </r>
        <r>
          <rPr>
            <sz val="9"/>
            <color indexed="81"/>
            <rFont val="Tahoma"/>
            <family val="2"/>
          </rPr>
          <t xml:space="preserve">
From MS model a/o 7/30/24</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3" authorId="0" shapeId="0" xr:uid="{22CC6E5B-E68A-4776-93A9-73CEFB85C6D2}">
      <text>
        <r>
          <rPr>
            <b/>
            <sz val="9"/>
            <color indexed="81"/>
            <rFont val="Tahoma"/>
            <family val="2"/>
          </rPr>
          <t>Author:</t>
        </r>
        <r>
          <rPr>
            <sz val="9"/>
            <color indexed="81"/>
            <rFont val="Tahoma"/>
            <family val="2"/>
          </rPr>
          <t xml:space="preserve">
1Q24</t>
        </r>
      </text>
    </comment>
    <comment ref="G44" authorId="0" shapeId="0" xr:uid="{6C6B3DD2-94FA-45BC-8FC9-1C4999EA2AD9}">
      <text>
        <r>
          <rPr>
            <b/>
            <sz val="9"/>
            <color indexed="81"/>
            <rFont val="Tahoma"/>
            <family val="2"/>
          </rPr>
          <t>Author:</t>
        </r>
        <r>
          <rPr>
            <sz val="9"/>
            <color indexed="81"/>
            <rFont val="Tahoma"/>
            <family val="2"/>
          </rPr>
          <t xml:space="preserve">
1Q24
</t>
        </r>
      </text>
    </comment>
    <comment ref="G47" authorId="0" shapeId="0" xr:uid="{B365491F-5FCA-4E5E-8231-626640772569}">
      <text>
        <r>
          <rPr>
            <b/>
            <sz val="9"/>
            <color indexed="81"/>
            <rFont val="Tahoma"/>
            <family val="2"/>
          </rPr>
          <t>Author:</t>
        </r>
        <r>
          <rPr>
            <sz val="9"/>
            <color indexed="81"/>
            <rFont val="Tahoma"/>
            <family val="2"/>
          </rPr>
          <t xml:space="preserve">
FY23</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16" authorId="0" shapeId="0" xr:uid="{1382F512-5371-4786-AEEA-3C772D9F9CFE}">
      <text>
        <r>
          <rPr>
            <b/>
            <sz val="9"/>
            <color indexed="81"/>
            <rFont val="Tahoma"/>
            <family val="2"/>
          </rPr>
          <t>Author:</t>
        </r>
        <r>
          <rPr>
            <sz val="9"/>
            <color indexed="81"/>
            <rFont val="Tahoma"/>
            <family val="2"/>
          </rPr>
          <t xml:space="preserve">
"Despite the continuous launch of new products, pull-in momentum is weak, sources said. TSMC's top 10 customers have all made order adjustments, including the return of new orders from Nvidia for 7nm A100 chips and 4nm H100 chips, as well as adjustments and pull-in delays for the RTX 40 series."
https://www.digitimes.com/news/a20221109PD204/7nm-ic-manufacturing-tsmc.html</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5" authorId="0" shapeId="0" xr:uid="{FE108141-E997-4706-A70A-3CB5DD755ADF}">
      <text>
        <r>
          <rPr>
            <b/>
            <sz val="9"/>
            <color indexed="81"/>
            <rFont val="Tahoma"/>
            <family val="2"/>
          </rPr>
          <t xml:space="preserve">Author: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31" authorId="0" shapeId="0" xr:uid="{660AEB27-8304-4908-AD1A-2E5699C19B60}">
      <text>
        <r>
          <rPr>
            <b/>
            <sz val="9"/>
            <color indexed="81"/>
            <rFont val="Tahoma"/>
            <family val="2"/>
          </rPr>
          <t>Author:</t>
        </r>
        <r>
          <rPr>
            <sz val="9"/>
            <color indexed="81"/>
            <rFont val="Tahoma"/>
            <family val="2"/>
          </rPr>
          <t xml:space="preserve">
Mistake in capacity planning
</t>
        </r>
      </text>
    </comment>
    <comment ref="B32" authorId="0" shapeId="0" xr:uid="{510C4AF3-62FD-4E87-8198-17148BC577BB}">
      <text>
        <r>
          <rPr>
            <b/>
            <sz val="9"/>
            <color indexed="81"/>
            <rFont val="Tahoma"/>
            <family val="2"/>
          </rPr>
          <t>Author:</t>
        </r>
        <r>
          <rPr>
            <sz val="9"/>
            <color indexed="81"/>
            <rFont val="Tahoma"/>
            <family val="2"/>
          </rPr>
          <t xml:space="preserve">
Mistake in capacity planning
</t>
        </r>
      </text>
    </comment>
    <comment ref="C34" authorId="0" shapeId="0" xr:uid="{A3A4D9BA-C441-4E5D-9BC1-0F1A59BD740C}">
      <text>
        <r>
          <rPr>
            <b/>
            <sz val="9"/>
            <color indexed="81"/>
            <rFont val="Tahoma"/>
            <family val="2"/>
          </rPr>
          <t>Author:</t>
        </r>
        <r>
          <rPr>
            <sz val="9"/>
            <color indexed="81"/>
            <rFont val="Tahoma"/>
            <family val="2"/>
          </rPr>
          <t xml:space="preserve">
Guidance
$30-32bn USD</t>
        </r>
      </text>
    </comment>
    <comment ref="D34" authorId="0" shapeId="0" xr:uid="{150F3151-4604-4BA8-9753-3FB64A7B4F46}">
      <text>
        <r>
          <rPr>
            <b/>
            <sz val="9"/>
            <color indexed="81"/>
            <rFont val="Tahoma"/>
            <family val="2"/>
          </rPr>
          <t>Author:</t>
        </r>
        <r>
          <rPr>
            <sz val="9"/>
            <color indexed="81"/>
            <rFont val="Tahoma"/>
            <family val="2"/>
          </rPr>
          <t xml:space="preserve">
Guidance
""slightly above mid-20s percent in USD"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2" authorId="0" shapeId="0" xr:uid="{2A5A763C-BD3E-4684-B17D-48BB0897B417}">
      <text>
        <r>
          <rPr>
            <b/>
            <sz val="9"/>
            <color indexed="81"/>
            <rFont val="Tahoma"/>
            <family val="2"/>
          </rPr>
          <t>Author:</t>
        </r>
        <r>
          <rPr>
            <sz val="9"/>
            <color indexed="81"/>
            <rFont val="Tahoma"/>
            <family val="2"/>
          </rPr>
          <t xml:space="preserve">
Extraced using WebPlotDigitizer</t>
        </r>
      </text>
    </comment>
    <comment ref="D47" authorId="0" shapeId="0" xr:uid="{9AF4FC61-59A7-4408-8811-CB9F35E3BDE6}">
      <text>
        <r>
          <rPr>
            <b/>
            <sz val="9"/>
            <color indexed="81"/>
            <rFont val="Tahoma"/>
            <family val="2"/>
          </rPr>
          <t>Author:</t>
        </r>
        <r>
          <rPr>
            <sz val="9"/>
            <color indexed="81"/>
            <rFont val="Tahoma"/>
            <family val="2"/>
          </rPr>
          <t xml:space="preserve">
TSMC
</t>
        </r>
      </text>
    </comment>
    <comment ref="E47" authorId="0" shapeId="0" xr:uid="{2EBA2090-F6D5-4434-A618-984AEF2023ED}">
      <text>
        <r>
          <rPr>
            <b/>
            <sz val="9"/>
            <color indexed="81"/>
            <rFont val="Tahoma"/>
            <family val="2"/>
          </rPr>
          <t>Author:</t>
        </r>
        <r>
          <rPr>
            <sz val="9"/>
            <color indexed="81"/>
            <rFont val="Tahoma"/>
            <family val="2"/>
          </rPr>
          <t xml:space="preserve">
TSMC
</t>
        </r>
      </text>
    </comment>
    <comment ref="F47" authorId="0" shapeId="0" xr:uid="{5D770CF8-B793-47B7-B489-182140A6F13B}">
      <text>
        <r>
          <rPr>
            <b/>
            <sz val="9"/>
            <color indexed="81"/>
            <rFont val="Tahoma"/>
            <family val="2"/>
          </rPr>
          <t>Author:</t>
        </r>
        <r>
          <rPr>
            <sz val="9"/>
            <color indexed="81"/>
            <rFont val="Tahoma"/>
            <family val="2"/>
          </rPr>
          <t xml:space="preserve">
TSMC
</t>
        </r>
      </text>
    </comment>
    <comment ref="G47" authorId="0" shapeId="0" xr:uid="{A080BA05-91D3-4091-B9E2-11136C9F3F23}">
      <text>
        <r>
          <rPr>
            <b/>
            <sz val="9"/>
            <color indexed="81"/>
            <rFont val="Tahoma"/>
            <family val="2"/>
          </rPr>
          <t>Author:</t>
        </r>
        <r>
          <rPr>
            <sz val="9"/>
            <color indexed="81"/>
            <rFont val="Tahoma"/>
            <family val="2"/>
          </rPr>
          <t xml:space="preserve">
TSMC
</t>
        </r>
      </text>
    </comment>
    <comment ref="H47" authorId="0" shapeId="0" xr:uid="{6B50C46F-C2DA-429F-8F58-FAF0556E00DA}">
      <text>
        <r>
          <rPr>
            <b/>
            <sz val="9"/>
            <color indexed="81"/>
            <rFont val="Tahoma"/>
            <family val="2"/>
          </rPr>
          <t>Author:</t>
        </r>
        <r>
          <rPr>
            <sz val="9"/>
            <color indexed="81"/>
            <rFont val="Tahoma"/>
            <family val="2"/>
          </rPr>
          <t xml:space="preserve">
TSMC
</t>
        </r>
      </text>
    </comment>
    <comment ref="D48" authorId="0" shapeId="0" xr:uid="{B51B6545-AA62-40C6-B613-5446F6131AF9}">
      <text>
        <r>
          <rPr>
            <b/>
            <sz val="9"/>
            <color indexed="81"/>
            <rFont val="Tahoma"/>
            <family val="2"/>
          </rPr>
          <t>Author:</t>
        </r>
        <r>
          <rPr>
            <sz val="9"/>
            <color indexed="81"/>
            <rFont val="Tahoma"/>
            <family val="2"/>
          </rPr>
          <t xml:space="preserve">
TSMC
</t>
        </r>
      </text>
    </comment>
    <comment ref="E48" authorId="0" shapeId="0" xr:uid="{2722E704-1C59-4DBA-AC1D-98E43E2BAC8F}">
      <text>
        <r>
          <rPr>
            <b/>
            <sz val="9"/>
            <color indexed="81"/>
            <rFont val="Tahoma"/>
            <family val="2"/>
          </rPr>
          <t>Author:</t>
        </r>
        <r>
          <rPr>
            <sz val="9"/>
            <color indexed="81"/>
            <rFont val="Tahoma"/>
            <family val="2"/>
          </rPr>
          <t xml:space="preserve">
TSMC
</t>
        </r>
      </text>
    </comment>
    <comment ref="F48" authorId="0" shapeId="0" xr:uid="{EF54A07C-B898-4693-B7A8-0DA25F883A6F}">
      <text>
        <r>
          <rPr>
            <b/>
            <sz val="9"/>
            <color indexed="81"/>
            <rFont val="Tahoma"/>
            <family val="2"/>
          </rPr>
          <t>Author:</t>
        </r>
        <r>
          <rPr>
            <sz val="9"/>
            <color indexed="81"/>
            <rFont val="Tahoma"/>
            <family val="2"/>
          </rPr>
          <t xml:space="preserve">
TSMC
</t>
        </r>
      </text>
    </comment>
    <comment ref="G48" authorId="0" shapeId="0" xr:uid="{6C7797F6-950C-4985-9886-2B56F369A7DC}">
      <text>
        <r>
          <rPr>
            <b/>
            <sz val="9"/>
            <color indexed="81"/>
            <rFont val="Tahoma"/>
            <family val="2"/>
          </rPr>
          <t>Author:</t>
        </r>
        <r>
          <rPr>
            <sz val="9"/>
            <color indexed="81"/>
            <rFont val="Tahoma"/>
            <family val="2"/>
          </rPr>
          <t xml:space="preserve">
TSMC
</t>
        </r>
      </text>
    </comment>
    <comment ref="H48" authorId="0" shapeId="0" xr:uid="{6B4A372F-E9BC-41B2-9987-CB390CA0106A}">
      <text>
        <r>
          <rPr>
            <b/>
            <sz val="9"/>
            <color indexed="81"/>
            <rFont val="Tahoma"/>
            <family val="2"/>
          </rPr>
          <t>Author:</t>
        </r>
        <r>
          <rPr>
            <sz val="9"/>
            <color indexed="81"/>
            <rFont val="Tahoma"/>
            <family val="2"/>
          </rPr>
          <t xml:space="preserve">
TSMC
</t>
        </r>
      </text>
    </comment>
    <comment ref="D49" authorId="0" shapeId="0" xr:uid="{8E19CDA1-F3EA-4B4B-8015-28B3E19C6C02}">
      <text>
        <r>
          <rPr>
            <b/>
            <sz val="9"/>
            <color indexed="81"/>
            <rFont val="Tahoma"/>
            <family val="2"/>
          </rPr>
          <t>Author:</t>
        </r>
        <r>
          <rPr>
            <sz val="9"/>
            <color indexed="81"/>
            <rFont val="Tahoma"/>
            <family val="2"/>
          </rPr>
          <t xml:space="preserve">
TSMC
</t>
        </r>
      </text>
    </comment>
    <comment ref="E49" authorId="0" shapeId="0" xr:uid="{87EA60D2-A616-486E-93E5-D5FC06E30721}">
      <text>
        <r>
          <rPr>
            <b/>
            <sz val="9"/>
            <color indexed="81"/>
            <rFont val="Tahoma"/>
            <family val="2"/>
          </rPr>
          <t>Author:</t>
        </r>
        <r>
          <rPr>
            <sz val="9"/>
            <color indexed="81"/>
            <rFont val="Tahoma"/>
            <family val="2"/>
          </rPr>
          <t xml:space="preserve">
TSMC
</t>
        </r>
      </text>
    </comment>
    <comment ref="F49" authorId="0" shapeId="0" xr:uid="{B2193568-FD3F-4435-91F7-A738436927F6}">
      <text>
        <r>
          <rPr>
            <b/>
            <sz val="9"/>
            <color indexed="81"/>
            <rFont val="Tahoma"/>
            <family val="2"/>
          </rPr>
          <t>Author:</t>
        </r>
        <r>
          <rPr>
            <sz val="9"/>
            <color indexed="81"/>
            <rFont val="Tahoma"/>
            <family val="2"/>
          </rPr>
          <t xml:space="preserve">
TSMC
</t>
        </r>
      </text>
    </comment>
    <comment ref="G49" authorId="0" shapeId="0" xr:uid="{5492B0A9-D589-4038-852E-179F1646A3AC}">
      <text>
        <r>
          <rPr>
            <b/>
            <sz val="9"/>
            <color indexed="81"/>
            <rFont val="Tahoma"/>
            <family val="2"/>
          </rPr>
          <t>Author:</t>
        </r>
        <r>
          <rPr>
            <sz val="9"/>
            <color indexed="81"/>
            <rFont val="Tahoma"/>
            <family val="2"/>
          </rPr>
          <t xml:space="preserve">
TSMC
</t>
        </r>
      </text>
    </comment>
    <comment ref="H49" authorId="0" shapeId="0" xr:uid="{0A9775C8-8B22-45A5-8114-50D72B559A33}">
      <text>
        <r>
          <rPr>
            <b/>
            <sz val="9"/>
            <color indexed="81"/>
            <rFont val="Tahoma"/>
            <family val="2"/>
          </rPr>
          <t>Author:</t>
        </r>
        <r>
          <rPr>
            <sz val="9"/>
            <color indexed="81"/>
            <rFont val="Tahoma"/>
            <family val="2"/>
          </rPr>
          <t xml:space="preserve">
TSMC
</t>
        </r>
      </text>
    </comment>
    <comment ref="I76" authorId="0" shapeId="0" xr:uid="{1B7CCE84-FB08-475A-AE67-EF61697D7F1C}">
      <text>
        <r>
          <rPr>
            <b/>
            <sz val="9"/>
            <color indexed="81"/>
            <rFont val="Tahoma"/>
            <family val="2"/>
          </rPr>
          <t>Author:</t>
        </r>
        <r>
          <rPr>
            <sz val="9"/>
            <color indexed="81"/>
            <rFont val="Tahoma"/>
            <family val="2"/>
          </rPr>
          <t xml:space="preserve">
MS (FY23e)</t>
        </r>
      </text>
    </comment>
    <comment ref="I122" authorId="0" shapeId="0" xr:uid="{DC317473-B886-4E5E-A13C-F7F72B5B84DF}">
      <text>
        <r>
          <rPr>
            <b/>
            <sz val="9"/>
            <color indexed="81"/>
            <rFont val="Tahoma"/>
            <family val="2"/>
          </rPr>
          <t>Author:</t>
        </r>
        <r>
          <rPr>
            <sz val="9"/>
            <color indexed="81"/>
            <rFont val="Tahoma"/>
            <family val="2"/>
          </rPr>
          <t xml:space="preserve">
VA consensus</t>
        </r>
      </text>
    </comment>
    <comment ref="J122" authorId="0" shapeId="0" xr:uid="{5C158717-B05C-45FA-A49F-8C4E36A542F4}">
      <text>
        <r>
          <rPr>
            <b/>
            <sz val="9"/>
            <color indexed="81"/>
            <rFont val="Tahoma"/>
            <family val="2"/>
          </rPr>
          <t>Author:</t>
        </r>
        <r>
          <rPr>
            <sz val="9"/>
            <color indexed="81"/>
            <rFont val="Tahoma"/>
            <family val="2"/>
          </rPr>
          <t xml:space="preserve">
VA consensus</t>
        </r>
      </text>
    </comment>
    <comment ref="K122" authorId="0" shapeId="0" xr:uid="{440B98E6-14E3-4F77-943F-7FED9B1AECAE}">
      <text>
        <r>
          <rPr>
            <b/>
            <sz val="9"/>
            <color indexed="81"/>
            <rFont val="Tahoma"/>
            <family val="2"/>
          </rPr>
          <t>Author:</t>
        </r>
        <r>
          <rPr>
            <sz val="9"/>
            <color indexed="81"/>
            <rFont val="Tahoma"/>
            <family val="2"/>
          </rPr>
          <t xml:space="preserve">
VA consensus</t>
        </r>
      </text>
    </comment>
    <comment ref="J123" authorId="0" shapeId="0" xr:uid="{A5BCAEFA-121A-4C56-834F-7E03A5BEDE2D}">
      <text>
        <r>
          <rPr>
            <b/>
            <sz val="9"/>
            <color indexed="81"/>
            <rFont val="Tahoma"/>
            <family val="2"/>
          </rPr>
          <t>Author:</t>
        </r>
        <r>
          <rPr>
            <sz val="9"/>
            <color indexed="81"/>
            <rFont val="Tahoma"/>
            <family val="2"/>
          </rPr>
          <t xml:space="preserve">
VA consensus</t>
        </r>
      </text>
    </comment>
    <comment ref="K123" authorId="0" shapeId="0" xr:uid="{1E28E1E4-33C2-4F65-91D8-7B17120F66DB}">
      <text>
        <r>
          <rPr>
            <b/>
            <sz val="9"/>
            <color indexed="81"/>
            <rFont val="Tahoma"/>
            <family val="2"/>
          </rPr>
          <t>Author:</t>
        </r>
        <r>
          <rPr>
            <sz val="9"/>
            <color indexed="81"/>
            <rFont val="Tahoma"/>
            <family val="2"/>
          </rPr>
          <t xml:space="preserve">
VA consensus</t>
        </r>
      </text>
    </comment>
    <comment ref="I129" authorId="0" shapeId="0" xr:uid="{F0C75B53-4354-4B31-B2CD-1F90BFF57892}">
      <text>
        <r>
          <rPr>
            <b/>
            <sz val="9"/>
            <color indexed="81"/>
            <rFont val="Tahoma"/>
            <family val="2"/>
          </rPr>
          <t>Author:</t>
        </r>
        <r>
          <rPr>
            <sz val="9"/>
            <color indexed="81"/>
            <rFont val="Tahoma"/>
            <family val="2"/>
          </rPr>
          <t xml:space="preserve">
VA consensus</t>
        </r>
      </text>
    </comment>
    <comment ref="J129" authorId="0" shapeId="0" xr:uid="{B64C50C0-8C56-43CA-80D4-7A27686CB8E2}">
      <text>
        <r>
          <rPr>
            <b/>
            <sz val="9"/>
            <color indexed="81"/>
            <rFont val="Tahoma"/>
            <family val="2"/>
          </rPr>
          <t>Author:</t>
        </r>
        <r>
          <rPr>
            <sz val="9"/>
            <color indexed="81"/>
            <rFont val="Tahoma"/>
            <family val="2"/>
          </rPr>
          <t xml:space="preserve">
VA consensus</t>
        </r>
      </text>
    </comment>
    <comment ref="K129" authorId="0" shapeId="0" xr:uid="{CD0782B3-6FAB-4E88-9080-C35CE7DD9037}">
      <text>
        <r>
          <rPr>
            <b/>
            <sz val="9"/>
            <color indexed="81"/>
            <rFont val="Tahoma"/>
            <family val="2"/>
          </rPr>
          <t>Author:</t>
        </r>
        <r>
          <rPr>
            <sz val="9"/>
            <color indexed="81"/>
            <rFont val="Tahoma"/>
            <family val="2"/>
          </rPr>
          <t xml:space="preserve">
VA consensus</t>
        </r>
      </text>
    </comment>
    <comment ref="J130" authorId="0" shapeId="0" xr:uid="{A042D284-48AF-4F14-A4C0-1ACABB86D241}">
      <text>
        <r>
          <rPr>
            <b/>
            <sz val="9"/>
            <color indexed="81"/>
            <rFont val="Tahoma"/>
            <family val="2"/>
          </rPr>
          <t>Author:</t>
        </r>
        <r>
          <rPr>
            <sz val="9"/>
            <color indexed="81"/>
            <rFont val="Tahoma"/>
            <family val="2"/>
          </rPr>
          <t xml:space="preserve">
VA consensus</t>
        </r>
      </text>
    </comment>
    <comment ref="K130" authorId="0" shapeId="0" xr:uid="{47DB3330-AF26-4370-9463-918B288ACB7E}">
      <text>
        <r>
          <rPr>
            <b/>
            <sz val="9"/>
            <color indexed="81"/>
            <rFont val="Tahoma"/>
            <family val="2"/>
          </rPr>
          <t>Author:</t>
        </r>
        <r>
          <rPr>
            <sz val="9"/>
            <color indexed="81"/>
            <rFont val="Tahoma"/>
            <family val="2"/>
          </rPr>
          <t xml:space="preserve">
VA consensus</t>
        </r>
      </text>
    </comment>
    <comment ref="J144" authorId="0" shapeId="0" xr:uid="{29F45FA3-B256-40C6-AD1A-DADDD518A1FE}">
      <text>
        <r>
          <rPr>
            <b/>
            <sz val="9"/>
            <color indexed="81"/>
            <rFont val="Tahoma"/>
            <family val="2"/>
          </rPr>
          <t>Author:</t>
        </r>
        <r>
          <rPr>
            <sz val="9"/>
            <color indexed="81"/>
            <rFont val="Tahoma"/>
            <family val="2"/>
          </rPr>
          <t xml:space="preserve">
VA consensus</t>
        </r>
      </text>
    </comment>
    <comment ref="K144" authorId="0" shapeId="0" xr:uid="{40866441-CCD8-4EBF-BD28-628E0C0E264D}">
      <text>
        <r>
          <rPr>
            <b/>
            <sz val="9"/>
            <color indexed="81"/>
            <rFont val="Tahoma"/>
            <family val="2"/>
          </rPr>
          <t>Author:</t>
        </r>
        <r>
          <rPr>
            <sz val="9"/>
            <color indexed="81"/>
            <rFont val="Tahoma"/>
            <family val="2"/>
          </rPr>
          <t xml:space="preserve">
VA consensus</t>
        </r>
      </text>
    </comment>
    <comment ref="J149" authorId="0" shapeId="0" xr:uid="{09C6CAD9-8ABF-41BE-9FC2-43CED46D8604}">
      <text>
        <r>
          <rPr>
            <b/>
            <sz val="9"/>
            <color indexed="81"/>
            <rFont val="Tahoma"/>
            <family val="2"/>
          </rPr>
          <t>Author:</t>
        </r>
        <r>
          <rPr>
            <sz val="9"/>
            <color indexed="81"/>
            <rFont val="Tahoma"/>
            <family val="2"/>
          </rPr>
          <t xml:space="preserve">
VA consensus</t>
        </r>
      </text>
    </comment>
    <comment ref="K149" authorId="0" shapeId="0" xr:uid="{4C4AA919-DF48-4417-9FC1-C1BA74A45E93}">
      <text>
        <r>
          <rPr>
            <b/>
            <sz val="9"/>
            <color indexed="81"/>
            <rFont val="Tahoma"/>
            <family val="2"/>
          </rPr>
          <t>Author:</t>
        </r>
        <r>
          <rPr>
            <sz val="9"/>
            <color indexed="81"/>
            <rFont val="Tahoma"/>
            <family val="2"/>
          </rPr>
          <t xml:space="preserve">
VA consensus</t>
        </r>
      </text>
    </comment>
    <comment ref="I174" authorId="0" shapeId="0" xr:uid="{252DE5DB-AA20-4CA2-BD58-F022A4D9527D}">
      <text>
        <r>
          <rPr>
            <b/>
            <sz val="9"/>
            <color indexed="81"/>
            <rFont val="Tahoma"/>
            <family val="2"/>
          </rPr>
          <t>Author:</t>
        </r>
        <r>
          <rPr>
            <sz val="9"/>
            <color indexed="81"/>
            <rFont val="Tahoma"/>
            <family val="2"/>
          </rPr>
          <t xml:space="preserve">
VA Consensus</t>
        </r>
      </text>
    </comment>
    <comment ref="J174" authorId="0" shapeId="0" xr:uid="{90EF1263-FC6E-4E53-A8EA-123D1F6DCE72}">
      <text>
        <r>
          <rPr>
            <b/>
            <sz val="9"/>
            <color indexed="81"/>
            <rFont val="Tahoma"/>
            <family val="2"/>
          </rPr>
          <t>Author:</t>
        </r>
        <r>
          <rPr>
            <sz val="9"/>
            <color indexed="81"/>
            <rFont val="Tahoma"/>
            <family val="2"/>
          </rPr>
          <t xml:space="preserve">
VA Consensus</t>
        </r>
      </text>
    </comment>
    <comment ref="J175" authorId="0" shapeId="0" xr:uid="{3E9788BA-C656-4453-9909-DC01A7DD5216}">
      <text>
        <r>
          <rPr>
            <b/>
            <sz val="9"/>
            <color indexed="81"/>
            <rFont val="Tahoma"/>
            <family val="2"/>
          </rPr>
          <t>Author:</t>
        </r>
        <r>
          <rPr>
            <sz val="9"/>
            <color indexed="81"/>
            <rFont val="Tahoma"/>
            <family val="2"/>
          </rPr>
          <t xml:space="preserve">
VA Consensus</t>
        </r>
      </text>
    </comment>
    <comment ref="K175" authorId="0" shapeId="0" xr:uid="{4B72493C-88AA-4069-B339-19A5A72FDF62}">
      <text>
        <r>
          <rPr>
            <b/>
            <sz val="9"/>
            <color indexed="81"/>
            <rFont val="Tahoma"/>
            <family val="2"/>
          </rPr>
          <t>Author:</t>
        </r>
        <r>
          <rPr>
            <sz val="9"/>
            <color indexed="81"/>
            <rFont val="Tahoma"/>
            <family val="2"/>
          </rPr>
          <t xml:space="preserve">
VA Consensus</t>
        </r>
      </text>
    </comment>
    <comment ref="I181" authorId="0" shapeId="0" xr:uid="{44696223-C8D0-4892-B261-7AE30F9BC8F4}">
      <text>
        <r>
          <rPr>
            <b/>
            <sz val="9"/>
            <color indexed="81"/>
            <rFont val="Tahoma"/>
            <family val="2"/>
          </rPr>
          <t>Author:</t>
        </r>
        <r>
          <rPr>
            <sz val="9"/>
            <color indexed="81"/>
            <rFont val="Tahoma"/>
            <family val="2"/>
          </rPr>
          <t xml:space="preserve">
VA Consensus</t>
        </r>
      </text>
    </comment>
    <comment ref="J181" authorId="0" shapeId="0" xr:uid="{5E46F4D2-4AFD-45D4-A09F-D91F3744E665}">
      <text>
        <r>
          <rPr>
            <b/>
            <sz val="9"/>
            <color indexed="81"/>
            <rFont val="Tahoma"/>
            <family val="2"/>
          </rPr>
          <t>Author:</t>
        </r>
        <r>
          <rPr>
            <sz val="9"/>
            <color indexed="81"/>
            <rFont val="Tahoma"/>
            <family val="2"/>
          </rPr>
          <t xml:space="preserve">
VA Consensus</t>
        </r>
      </text>
    </comment>
    <comment ref="J182" authorId="0" shapeId="0" xr:uid="{1AC60671-EBB5-46E2-B221-F398B536587C}">
      <text>
        <r>
          <rPr>
            <b/>
            <sz val="9"/>
            <color indexed="81"/>
            <rFont val="Tahoma"/>
            <family val="2"/>
          </rPr>
          <t>Author:</t>
        </r>
        <r>
          <rPr>
            <sz val="9"/>
            <color indexed="81"/>
            <rFont val="Tahoma"/>
            <family val="2"/>
          </rPr>
          <t xml:space="preserve">
VA Consensus</t>
        </r>
      </text>
    </comment>
    <comment ref="K182" authorId="0" shapeId="0" xr:uid="{16768BEB-988F-40A6-9A14-B8755913AA30}">
      <text>
        <r>
          <rPr>
            <b/>
            <sz val="9"/>
            <color indexed="81"/>
            <rFont val="Tahoma"/>
            <family val="2"/>
          </rPr>
          <t>Author:</t>
        </r>
        <r>
          <rPr>
            <sz val="9"/>
            <color indexed="81"/>
            <rFont val="Tahoma"/>
            <family val="2"/>
          </rPr>
          <t xml:space="preserve">
VA Consensus</t>
        </r>
      </text>
    </comment>
    <comment ref="I198" authorId="0" shapeId="0" xr:uid="{A7E0A59E-99FC-4ED4-ADE9-76CED5665A6C}">
      <text>
        <r>
          <rPr>
            <b/>
            <sz val="9"/>
            <color indexed="81"/>
            <rFont val="Tahoma"/>
            <family val="2"/>
          </rPr>
          <t>Author:</t>
        </r>
        <r>
          <rPr>
            <sz val="9"/>
            <color indexed="81"/>
            <rFont val="Tahoma"/>
            <family val="2"/>
          </rPr>
          <t xml:space="preserve">
VA Consensus</t>
        </r>
      </text>
    </comment>
    <comment ref="J198" authorId="0" shapeId="0" xr:uid="{5029622B-86E4-4819-B032-6FC7B2244E92}">
      <text>
        <r>
          <rPr>
            <b/>
            <sz val="9"/>
            <color indexed="81"/>
            <rFont val="Tahoma"/>
            <family val="2"/>
          </rPr>
          <t>Author:</t>
        </r>
        <r>
          <rPr>
            <sz val="9"/>
            <color indexed="81"/>
            <rFont val="Tahoma"/>
            <family val="2"/>
          </rPr>
          <t xml:space="preserve">
VA Consensus</t>
        </r>
      </text>
    </comment>
    <comment ref="J199" authorId="0" shapeId="0" xr:uid="{B7313319-07B1-48AC-8A08-41F6F3C318B2}">
      <text>
        <r>
          <rPr>
            <b/>
            <sz val="9"/>
            <color indexed="81"/>
            <rFont val="Tahoma"/>
            <family val="2"/>
          </rPr>
          <t>Author:</t>
        </r>
        <r>
          <rPr>
            <sz val="9"/>
            <color indexed="81"/>
            <rFont val="Tahoma"/>
            <family val="2"/>
          </rPr>
          <t xml:space="preserve">
VA Consensus</t>
        </r>
      </text>
    </comment>
    <comment ref="K199" authorId="0" shapeId="0" xr:uid="{F71C5ADD-D169-4F70-BC4F-2EFCE3602C90}">
      <text>
        <r>
          <rPr>
            <b/>
            <sz val="9"/>
            <color indexed="81"/>
            <rFont val="Tahoma"/>
            <family val="2"/>
          </rPr>
          <t>Author:</t>
        </r>
        <r>
          <rPr>
            <sz val="9"/>
            <color indexed="81"/>
            <rFont val="Tahoma"/>
            <family val="2"/>
          </rPr>
          <t xml:space="preserve">
VA Consensus</t>
        </r>
      </text>
    </comment>
    <comment ref="I205" authorId="0" shapeId="0" xr:uid="{B5994259-2CD1-4ED6-951B-516AD6BCB9CC}">
      <text>
        <r>
          <rPr>
            <b/>
            <sz val="9"/>
            <color indexed="81"/>
            <rFont val="Tahoma"/>
            <family val="2"/>
          </rPr>
          <t>Author:</t>
        </r>
        <r>
          <rPr>
            <sz val="9"/>
            <color indexed="81"/>
            <rFont val="Tahoma"/>
            <family val="2"/>
          </rPr>
          <t xml:space="preserve">
VA Consensus</t>
        </r>
      </text>
    </comment>
    <comment ref="J205" authorId="0" shapeId="0" xr:uid="{30CC6E04-B325-4466-BCEC-0EC23C1598A9}">
      <text>
        <r>
          <rPr>
            <b/>
            <sz val="9"/>
            <color indexed="81"/>
            <rFont val="Tahoma"/>
            <family val="2"/>
          </rPr>
          <t>Author:</t>
        </r>
        <r>
          <rPr>
            <sz val="9"/>
            <color indexed="81"/>
            <rFont val="Tahoma"/>
            <family val="2"/>
          </rPr>
          <t xml:space="preserve">
VA Consensus</t>
        </r>
      </text>
    </comment>
    <comment ref="J206" authorId="0" shapeId="0" xr:uid="{BACBC498-F05A-4683-A1F0-9FE48F23271F}">
      <text>
        <r>
          <rPr>
            <b/>
            <sz val="9"/>
            <color indexed="81"/>
            <rFont val="Tahoma"/>
            <family val="2"/>
          </rPr>
          <t>Author:</t>
        </r>
        <r>
          <rPr>
            <sz val="9"/>
            <color indexed="81"/>
            <rFont val="Tahoma"/>
            <family val="2"/>
          </rPr>
          <t xml:space="preserve">
VA Consensus</t>
        </r>
      </text>
    </comment>
    <comment ref="K206" authorId="0" shapeId="0" xr:uid="{92A51214-1B15-450D-B70F-C05AEC5985B8}">
      <text>
        <r>
          <rPr>
            <b/>
            <sz val="9"/>
            <color indexed="81"/>
            <rFont val="Tahoma"/>
            <family val="2"/>
          </rPr>
          <t>Author:</t>
        </r>
        <r>
          <rPr>
            <sz val="9"/>
            <color indexed="81"/>
            <rFont val="Tahoma"/>
            <family val="2"/>
          </rPr>
          <t xml:space="preserve">
VA Consensus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P15" authorId="0" shapeId="0" xr:uid="{BDAA46E1-A8E9-486A-A197-8655E699F787}">
      <text>
        <r>
          <rPr>
            <b/>
            <sz val="9"/>
            <color indexed="81"/>
            <rFont val="Tahoma"/>
            <family val="2"/>
          </rPr>
          <t>Author:</t>
        </r>
        <r>
          <rPr>
            <sz val="9"/>
            <color indexed="81"/>
            <rFont val="Tahoma"/>
            <family val="2"/>
          </rPr>
          <t xml:space="preserve">
In effect is already included in capex figure</t>
        </r>
      </text>
    </comment>
    <comment ref="I41" authorId="0" shapeId="0" xr:uid="{A7E42188-5F8C-4588-B46D-9213CC9E4A96}">
      <text>
        <r>
          <rPr>
            <b/>
            <sz val="9"/>
            <color indexed="81"/>
            <rFont val="Tahoma"/>
            <family val="2"/>
          </rPr>
          <t>Author:</t>
        </r>
        <r>
          <rPr>
            <sz val="9"/>
            <color indexed="81"/>
            <rFont val="Tahoma"/>
            <family val="2"/>
          </rPr>
          <t xml:space="preserve">
146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<sst xmlns="http://schemas.openxmlformats.org/spreadsheetml/2006/main" count="3547" uniqueCount="1032">
  <si>
    <t>FYE December 31,</t>
  </si>
  <si>
    <t>FY18</t>
  </si>
  <si>
    <t>FY19</t>
  </si>
  <si>
    <t>FY20</t>
  </si>
  <si>
    <t>FY21</t>
  </si>
  <si>
    <t>FY22</t>
  </si>
  <si>
    <t>FY24e</t>
  </si>
  <si>
    <t>Revenue</t>
  </si>
  <si>
    <t>Income Statement</t>
  </si>
  <si>
    <t>Notes:</t>
  </si>
  <si>
    <t>FY16</t>
  </si>
  <si>
    <t>FY17</t>
  </si>
  <si>
    <t>Cash Flow Statement</t>
  </si>
  <si>
    <t>Inventories</t>
  </si>
  <si>
    <t>Balance Sheet</t>
  </si>
  <si>
    <t>Total</t>
  </si>
  <si>
    <t>Financial Summary</t>
  </si>
  <si>
    <t>Margin</t>
  </si>
  <si>
    <t>CRC EBITDA</t>
  </si>
  <si>
    <t>Other</t>
  </si>
  <si>
    <t>CRC EPS</t>
  </si>
  <si>
    <t>FCF</t>
  </si>
  <si>
    <t>FY25e</t>
  </si>
  <si>
    <t>FY26e</t>
  </si>
  <si>
    <t>FY27e</t>
  </si>
  <si>
    <t>FY28e</t>
  </si>
  <si>
    <t>FY29e</t>
  </si>
  <si>
    <t>FY30e</t>
  </si>
  <si>
    <t>Debt</t>
  </si>
  <si>
    <t>Notes</t>
  </si>
  <si>
    <t>CRC EBITDA - Capex</t>
  </si>
  <si>
    <t>Recurring FCF</t>
  </si>
  <si>
    <t>SBC</t>
  </si>
  <si>
    <t>Realized FCF</t>
  </si>
  <si>
    <t>Change in WC</t>
  </si>
  <si>
    <t>Memo:</t>
  </si>
  <si>
    <t>Leverage</t>
  </si>
  <si>
    <t>Checks</t>
  </si>
  <si>
    <t>FY31e</t>
  </si>
  <si>
    <t>FY32e</t>
  </si>
  <si>
    <t>FY33e</t>
  </si>
  <si>
    <t>FY34e</t>
  </si>
  <si>
    <t>FY-2024</t>
  </si>
  <si>
    <t>Period</t>
  </si>
  <si>
    <t>FCFE</t>
  </si>
  <si>
    <t>Cumulative FCFE</t>
  </si>
  <si>
    <t>TEV / CRC EBITDA - Capex</t>
  </si>
  <si>
    <t>Ten-Year IRR</t>
  </si>
  <si>
    <t>Capitalization</t>
  </si>
  <si>
    <t>Equity</t>
  </si>
  <si>
    <t>TEV</t>
  </si>
  <si>
    <t xml:space="preserve"> </t>
  </si>
  <si>
    <t>MOIC</t>
  </si>
  <si>
    <t>/ LTM CRC EBITDA</t>
  </si>
  <si>
    <t>Period start</t>
  </si>
  <si>
    <t>Period end</t>
  </si>
  <si>
    <t>Days in period</t>
  </si>
  <si>
    <t>Reference</t>
  </si>
  <si>
    <t>Y/Y % change</t>
  </si>
  <si>
    <t>FCFF</t>
  </si>
  <si>
    <t>PV of cash flows</t>
  </si>
  <si>
    <t>Total PV of cash flows</t>
  </si>
  <si>
    <t>Forward P / Recurring FCF multiple</t>
  </si>
  <si>
    <t>Dates</t>
  </si>
  <si>
    <r>
      <rPr>
        <i/>
        <u/>
        <sz val="8"/>
        <color theme="1"/>
        <rFont val="Arial"/>
        <family val="2"/>
      </rPr>
      <t>Memo:</t>
    </r>
    <r>
      <rPr>
        <i/>
        <sz val="8"/>
        <color theme="1"/>
        <rFont val="Arial"/>
        <family val="2"/>
      </rPr>
      <t xml:space="preserve"> Consensus</t>
    </r>
  </si>
  <si>
    <t>Adj. Equity</t>
  </si>
  <si>
    <t>MVE &amp; TEV calcs over time</t>
  </si>
  <si>
    <t>Period Information</t>
  </si>
  <si>
    <t>FY23</t>
  </si>
  <si>
    <t>Capex</t>
  </si>
  <si>
    <t>P / Recurring FCF</t>
  </si>
  <si>
    <t>P / E</t>
  </si>
  <si>
    <t>D&amp;A</t>
  </si>
  <si>
    <t>Balances</t>
  </si>
  <si>
    <t>Cash-Related Items</t>
  </si>
  <si>
    <t>MV of Equity</t>
  </si>
  <si>
    <t>IRR</t>
  </si>
  <si>
    <t>FY-2025</t>
  </si>
  <si>
    <t>Quarterly</t>
  </si>
  <si>
    <t>1Q20</t>
  </si>
  <si>
    <t>2Q20</t>
  </si>
  <si>
    <t>3Q20</t>
  </si>
  <si>
    <t>4Q20</t>
  </si>
  <si>
    <t>1Q21</t>
  </si>
  <si>
    <t>2Q21</t>
  </si>
  <si>
    <t>3Q21</t>
  </si>
  <si>
    <t>4Q21</t>
  </si>
  <si>
    <t>1Q22</t>
  </si>
  <si>
    <t>2Q22</t>
  </si>
  <si>
    <t>3Q22</t>
  </si>
  <si>
    <t>4Q22</t>
  </si>
  <si>
    <t>1Q23</t>
  </si>
  <si>
    <t>2Q23</t>
  </si>
  <si>
    <t>3Q23</t>
  </si>
  <si>
    <t>2Q24e</t>
  </si>
  <si>
    <t>3Q24e</t>
  </si>
  <si>
    <t>4Q24e</t>
  </si>
  <si>
    <t>4Q23</t>
  </si>
  <si>
    <t>Annual</t>
  </si>
  <si>
    <t>Assets</t>
  </si>
  <si>
    <t>Y/Y Incremental Margin</t>
  </si>
  <si>
    <t>CRC EBIT</t>
  </si>
  <si>
    <r>
      <rPr>
        <i/>
        <u/>
        <sz val="8"/>
        <color theme="1"/>
        <rFont val="Arial"/>
        <family val="2"/>
      </rPr>
      <t>Memo:</t>
    </r>
    <r>
      <rPr>
        <i/>
        <sz val="8"/>
        <color theme="1"/>
        <rFont val="Arial"/>
        <family val="2"/>
      </rPr>
      <t xml:space="preserve"> Taxation rate</t>
    </r>
  </si>
  <si>
    <t>Revenue, BoP</t>
  </si>
  <si>
    <t>Revenue, EoP</t>
  </si>
  <si>
    <t>FY-2023</t>
  </si>
  <si>
    <t>FY-2026</t>
  </si>
  <si>
    <t>FY-2027</t>
  </si>
  <si>
    <t>FY ending December 31</t>
  </si>
  <si>
    <t>FY-2028</t>
  </si>
  <si>
    <t>IRR Dates</t>
  </si>
  <si>
    <t>(TWD in billions, unless otherwise noted)</t>
  </si>
  <si>
    <t>FY35e</t>
  </si>
  <si>
    <t>1Q24</t>
  </si>
  <si>
    <t>TSMC</t>
  </si>
  <si>
    <t>Historical Financials</t>
  </si>
  <si>
    <t>Current Assets</t>
  </si>
  <si>
    <t>Non-current Assets</t>
  </si>
  <si>
    <t>Total Assets</t>
  </si>
  <si>
    <t>Current Liabilities</t>
  </si>
  <si>
    <t>Non-current Liabilities</t>
  </si>
  <si>
    <t>Total Liabilities &amp; Shareholders' Equity</t>
  </si>
  <si>
    <t>Cost of Revenue</t>
  </si>
  <si>
    <t>Operating Expenses</t>
  </si>
  <si>
    <t>Total Operating Expenses</t>
  </si>
  <si>
    <t xml:space="preserve">Income Tax Expenses </t>
  </si>
  <si>
    <t>Net Income (Losses) Attributable to:</t>
  </si>
  <si>
    <t>Cash Flows from Operating Activities:</t>
  </si>
  <si>
    <t>Cash Flows from Investing Activities:</t>
  </si>
  <si>
    <t>Cash Flows from Financing Activities:</t>
  </si>
  <si>
    <t>Cash and Cash Equivalents at Beginning of Period</t>
  </si>
  <si>
    <t>Cash and Cash Equivalents at End of Period</t>
  </si>
  <si>
    <t>Net Revenue</t>
  </si>
  <si>
    <t>Other Operating Income and Expenses</t>
  </si>
  <si>
    <t>Income Before Income Tax</t>
  </si>
  <si>
    <t>Other Comprehensive Income (Losses)</t>
  </si>
  <si>
    <t>Earnings per Share - Diluted (NT$)</t>
  </si>
  <si>
    <t>Gross Profit</t>
  </si>
  <si>
    <t>Research and Development Expenses</t>
  </si>
  <si>
    <t>Sales, General and Administrative Expenses</t>
  </si>
  <si>
    <t>Income from Operations</t>
  </si>
  <si>
    <t>Share of Profits of Associates and Joint Venture</t>
  </si>
  <si>
    <t>Net Interest Income (Expenses)</t>
  </si>
  <si>
    <t>Other Gains and Losses</t>
  </si>
  <si>
    <t>Total Non-operating Income and Expenses</t>
  </si>
  <si>
    <t>Net Income</t>
  </si>
  <si>
    <t>Comprehensive Income</t>
  </si>
  <si>
    <t>Shareholders of the Parent</t>
  </si>
  <si>
    <t>Noncontrolling Interests</t>
  </si>
  <si>
    <t xml:space="preserve"> - ADR equals to 5 ordinary shares. ADRs were issued in October 1997</t>
  </si>
  <si>
    <t>FY15</t>
  </si>
  <si>
    <t>FY14</t>
  </si>
  <si>
    <t>FY13</t>
  </si>
  <si>
    <t>FY12</t>
  </si>
  <si>
    <t>Long-term Investments</t>
  </si>
  <si>
    <t>Property, Plant and Equipment</t>
  </si>
  <si>
    <t>Bonds Payable</t>
  </si>
  <si>
    <t>Net Increase (Decrease) in Cash and Cash Equivalents</t>
  </si>
  <si>
    <t>FY97</t>
  </si>
  <si>
    <t>FY98</t>
  </si>
  <si>
    <t>FY99</t>
  </si>
  <si>
    <t>FY00</t>
  </si>
  <si>
    <t>FY01</t>
  </si>
  <si>
    <t>FY02</t>
  </si>
  <si>
    <t>FY03</t>
  </si>
  <si>
    <t>FY04</t>
  </si>
  <si>
    <t>FY05</t>
  </si>
  <si>
    <t>FY06</t>
  </si>
  <si>
    <t>FY07</t>
  </si>
  <si>
    <t>FY08</t>
  </si>
  <si>
    <t>FY09</t>
  </si>
  <si>
    <t>FY10</t>
  </si>
  <si>
    <t>FY11</t>
  </si>
  <si>
    <t>Earnings per ADR - Diluted (US$)</t>
  </si>
  <si>
    <t>n/s</t>
  </si>
  <si>
    <t>Change in Accounting</t>
  </si>
  <si>
    <t>Effect of Exchange Rate Changes on Cash and Cash Equivalents and Others</t>
  </si>
  <si>
    <t>Depreciation &amp; Amortization</t>
  </si>
  <si>
    <t>Income Tax Paid</t>
  </si>
  <si>
    <t>Changes in Working Capital &amp; Others</t>
  </si>
  <si>
    <t>Net Cash Generated by Operating Activities</t>
  </si>
  <si>
    <t>Interest Received</t>
  </si>
  <si>
    <t>Cash Dividend Received</t>
  </si>
  <si>
    <t>Acquisitions of:</t>
  </si>
  <si>
    <t>Marketable Financial Instruments</t>
  </si>
  <si>
    <t>Investments Accounted for Using Equity Method</t>
  </si>
  <si>
    <t>Financial Assets Carried at Cost</t>
  </si>
  <si>
    <t>Proceeds from Disposal or Redemption of:</t>
  </si>
  <si>
    <t>Others</t>
  </si>
  <si>
    <t>Net Cash Used in Investing Activities</t>
  </si>
  <si>
    <t>Increase (Decrease) in Short-term Loans</t>
  </si>
  <si>
    <t>Increase (Decrease) in Hedging Financial Liabilities - Bank Loans</t>
  </si>
  <si>
    <t>Proceeds from Issuance of Bonds</t>
  </si>
  <si>
    <t>Repayment of Bonds and Interest – Prepaid</t>
  </si>
  <si>
    <t>Repayment of Bonds</t>
  </si>
  <si>
    <t>Proceeds from Long-term Bank Loans</t>
  </si>
  <si>
    <t>Repayment of Long-term Bank Loans</t>
  </si>
  <si>
    <t>Interest Paid</t>
  </si>
  <si>
    <t>Cash Dividends Paid for Common Stock</t>
  </si>
  <si>
    <t>Proceeds from Exercise of Stock Options</t>
  </si>
  <si>
    <t>Repurchase of Treasury Stock</t>
  </si>
  <si>
    <t>Net Cash Generated by (Used in) Financing Activities</t>
  </si>
  <si>
    <t>Checks - Rough DCF</t>
  </si>
  <si>
    <t>Equity Attributable to Shareholders of the Parent</t>
  </si>
  <si>
    <t>Cash and Cash Equivalents</t>
  </si>
  <si>
    <t>Investments in Marketable Financial Instruments</t>
  </si>
  <si>
    <t>Accounts Receivable</t>
  </si>
  <si>
    <t>Other Current Assets</t>
  </si>
  <si>
    <t>Total Current Assets</t>
  </si>
  <si>
    <t>Right-of-use, Intangible and Other Non-current Assets</t>
  </si>
  <si>
    <t>Total Non-current Assets</t>
  </si>
  <si>
    <t>Short-term Loans</t>
  </si>
  <si>
    <t>Accounts Payable</t>
  </si>
  <si>
    <t>Payables to Contractors and Equipment Suppliers</t>
  </si>
  <si>
    <t>Cash Dividends Payable</t>
  </si>
  <si>
    <t>Accrued Expenses and Other Current Liabilities</t>
  </si>
  <si>
    <t>Current Portion of Bonds Payable and Bank Loans</t>
  </si>
  <si>
    <t>Total Current Liabilities</t>
  </si>
  <si>
    <t>Liabilities &amp; Shareholder's Equity</t>
  </si>
  <si>
    <t>Other Non-current Liabilities</t>
  </si>
  <si>
    <t>Total Non-current Liabilities</t>
  </si>
  <si>
    <t>Total Liabilities</t>
  </si>
  <si>
    <t>Capital Stock at Par Value</t>
  </si>
  <si>
    <t>Capital Surplus</t>
  </si>
  <si>
    <t>Legal Capital Reserve</t>
  </si>
  <si>
    <t>Special Capital Reserve</t>
  </si>
  <si>
    <t>Unappropriated Earnings</t>
  </si>
  <si>
    <t>Treasury Stock</t>
  </si>
  <si>
    <t>Total Shareholders' Equity</t>
  </si>
  <si>
    <t>Balance</t>
  </si>
  <si>
    <t>2nm</t>
  </si>
  <si>
    <t>3nm</t>
  </si>
  <si>
    <t>5nm</t>
  </si>
  <si>
    <t>16nm</t>
  </si>
  <si>
    <t>20nm</t>
  </si>
  <si>
    <t>28nm</t>
  </si>
  <si>
    <t>40/45nm</t>
  </si>
  <si>
    <t>65nm</t>
  </si>
  <si>
    <t>90nm</t>
  </si>
  <si>
    <t>0.11/0.13um</t>
  </si>
  <si>
    <t>0.15/0.18um</t>
  </si>
  <si>
    <t>High Performance Computing</t>
  </si>
  <si>
    <t>Smartphone</t>
  </si>
  <si>
    <t>Internet of Things</t>
  </si>
  <si>
    <t>Automotive</t>
  </si>
  <si>
    <t>Digital Consumer Electronics</t>
  </si>
  <si>
    <t>7/10nm</t>
  </si>
  <si>
    <t>Revenue by Platform</t>
  </si>
  <si>
    <t>% Mix</t>
  </si>
  <si>
    <t>Y/Y % Change</t>
  </si>
  <si>
    <t>Operating Income</t>
  </si>
  <si>
    <t>R&amp;D</t>
  </si>
  <si>
    <t>SG&amp;A</t>
  </si>
  <si>
    <t>EBIT</t>
  </si>
  <si>
    <t>Taxation</t>
  </si>
  <si>
    <t>WA Shares O/S - Diluted</t>
  </si>
  <si>
    <t>CRC NI</t>
  </si>
  <si>
    <t>CRC Income Before NCI</t>
  </si>
  <si>
    <t>Implied WA Shares O/S</t>
  </si>
  <si>
    <t>% of Net Revenue</t>
  </si>
  <si>
    <t>Cum. Capex Since FY97</t>
  </si>
  <si>
    <r>
      <rPr>
        <i/>
        <u/>
        <sz val="8"/>
        <color theme="1"/>
        <rFont val="Arial"/>
        <family val="2"/>
      </rPr>
      <t>Memo:</t>
    </r>
    <r>
      <rPr>
        <i/>
        <sz val="8"/>
        <color theme="1"/>
        <rFont val="Arial"/>
        <family val="2"/>
      </rPr>
      <t xml:space="preserve"> D&amp;A as % of Net Revenue</t>
    </r>
  </si>
  <si>
    <t>Accrued Expenses &amp; Other Current Liabilities</t>
  </si>
  <si>
    <t>Days of Inventory</t>
  </si>
  <si>
    <t>Days of Revenue Outstanding</t>
  </si>
  <si>
    <t>Other Current Assets as % of Net Revenue</t>
  </si>
  <si>
    <t>Days of Payable Outstanding</t>
  </si>
  <si>
    <t>Accrued Expenses &amp; Other Current Liabilities as % of Net Revenue</t>
  </si>
  <si>
    <t>Operating Cycle</t>
  </si>
  <si>
    <t>Cash Cycle</t>
  </si>
  <si>
    <t>As % of Net Revenue</t>
  </si>
  <si>
    <t>Change in Inventories</t>
  </si>
  <si>
    <t>Change in Receivables</t>
  </si>
  <si>
    <t>Change in Other Current Assets</t>
  </si>
  <si>
    <t>Change in Payables</t>
  </si>
  <si>
    <t>Change in Accrued Expenses &amp; Other</t>
  </si>
  <si>
    <t>Change in Working Capital</t>
  </si>
  <si>
    <t>Dividends</t>
  </si>
  <si>
    <t>Cash &amp; STI</t>
  </si>
  <si>
    <t>NCI</t>
  </si>
  <si>
    <t>Net Interest</t>
  </si>
  <si>
    <t>vs. CFS Change in WC &amp; Other</t>
  </si>
  <si>
    <t>Annual Capacity (Equiv. 12" Wafers, k)</t>
  </si>
  <si>
    <t>Quarterly Wafer Shipments (Equiv. 12" Wafers, k)</t>
  </si>
  <si>
    <t>North America</t>
  </si>
  <si>
    <t>China</t>
  </si>
  <si>
    <t>Asia Pacific</t>
  </si>
  <si>
    <t>Japan</t>
  </si>
  <si>
    <t>EMEA</t>
  </si>
  <si>
    <t>KPIs</t>
  </si>
  <si>
    <t>Q/Q % Change</t>
  </si>
  <si>
    <t>Geographic Revenue Mix</t>
  </si>
  <si>
    <t>2330_TW</t>
  </si>
  <si>
    <t>Sales revenue, net</t>
  </si>
  <si>
    <t>Gross profit/(loss)</t>
  </si>
  <si>
    <t>Incremental Margin</t>
  </si>
  <si>
    <t>Operating income/(loss)</t>
  </si>
  <si>
    <t>Net Interest Expense</t>
  </si>
  <si>
    <t>Other Expense</t>
  </si>
  <si>
    <t>Effective Rate on Net Debt</t>
  </si>
  <si>
    <t>Effective Taxation Rate</t>
  </si>
  <si>
    <t>CRC Net Income</t>
  </si>
  <si>
    <t>% of Market Cap</t>
  </si>
  <si>
    <t>(TWD in millions, unless otherwise noted)</t>
  </si>
  <si>
    <t>TWD</t>
  </si>
  <si>
    <t>Currency Rates</t>
  </si>
  <si>
    <t>1Q24e</t>
  </si>
  <si>
    <t>1Q25e</t>
  </si>
  <si>
    <t>2Q25e</t>
  </si>
  <si>
    <t>3Q25e</t>
  </si>
  <si>
    <t>4Q25e</t>
  </si>
  <si>
    <t>Latest</t>
  </si>
  <si>
    <t>Average</t>
  </si>
  <si>
    <t>USDTWD</t>
  </si>
  <si>
    <t>TWDUSD</t>
  </si>
  <si>
    <t>End of Period</t>
  </si>
  <si>
    <t>Net Debt</t>
  </si>
  <si>
    <t>TEV / Net Revenue</t>
  </si>
  <si>
    <t>TEV / Gross Profit</t>
  </si>
  <si>
    <t>TEV / Operating Income</t>
  </si>
  <si>
    <t>Terminal Value</t>
  </si>
  <si>
    <t>Interim Cash Flows</t>
  </si>
  <si>
    <t>Investment Outflow</t>
  </si>
  <si>
    <t>IoT, Auto, &amp; Other</t>
  </si>
  <si>
    <t>Y/Y % Change (USD)</t>
  </si>
  <si>
    <t>Change</t>
  </si>
  <si>
    <t>USDTWD (Avg.)</t>
  </si>
  <si>
    <t>Revenue (TWD)</t>
  </si>
  <si>
    <t>vs. Y/Y % Change (USD)</t>
  </si>
  <si>
    <t>USDTWD (LTM)</t>
  </si>
  <si>
    <t>TWDUSD (LTM)</t>
  </si>
  <si>
    <t>Revenue (USD, Billions)</t>
  </si>
  <si>
    <t>Y/Y % Change, USD</t>
  </si>
  <si>
    <t>Guidance</t>
  </si>
  <si>
    <t>Date</t>
  </si>
  <si>
    <t>For Period</t>
  </si>
  <si>
    <t>Metric</t>
  </si>
  <si>
    <t>FY24</t>
  </si>
  <si>
    <t>Long-Term</t>
  </si>
  <si>
    <t>Effective Tax Rate</t>
  </si>
  <si>
    <t>Guidance Commentary</t>
  </si>
  <si>
    <t>Item</t>
  </si>
  <si>
    <t>Source</t>
  </si>
  <si>
    <t>Capital Allocation</t>
  </si>
  <si>
    <t>Gross Profit Margin</t>
  </si>
  <si>
    <t>1QFY-2024</t>
  </si>
  <si>
    <t>2QFY-2024</t>
  </si>
  <si>
    <t>3QFY-2024</t>
  </si>
  <si>
    <t>4QFY-2024</t>
  </si>
  <si>
    <t>CRC vs. Consensus</t>
  </si>
  <si>
    <t>CRC</t>
  </si>
  <si>
    <t>Sales</t>
  </si>
  <si>
    <t>Consensus</t>
  </si>
  <si>
    <t>2Q24</t>
  </si>
  <si>
    <t>Working Capital</t>
  </si>
  <si>
    <t>3Q24</t>
  </si>
  <si>
    <t>53.5-55.5%</t>
  </si>
  <si>
    <t>Operating Income Margin</t>
  </si>
  <si>
    <t>$22.4-23.2 billion (USD)</t>
  </si>
  <si>
    <t>42.5-44.5%</t>
  </si>
  <si>
    <t>"We have just guided our third quarter gross margin to increase by 1.3 percentage points to 54.5% at the midpoint. This is primarily due to the higher overall capacity utilization rate in the third quarter and better cost improvement efforts, including productivity gains, partially offset by continued dilution from N3 ramp-up, N5 to N3 2 conversion costs and higher electricity prices in Taiwan."</t>
  </si>
  <si>
    <t>2Q24 Earnings Call</t>
  </si>
  <si>
    <t>"we continue to forecast interim gross margin of 53% and higher is achievable."</t>
  </si>
  <si>
    <t>CapEx</t>
  </si>
  <si>
    <t>$30-32 billion (USD)</t>
  </si>
  <si>
    <t>"Between 70% and 80% of the capital budget will be allocated for advanced process technologies. About 10% to 20% will be spent for specialty technologies, and about 10% will be spent for advanced packaging, testing, mass-making and others. At TSMC, a higher level of capital expenditures is always correlated with the higher growth opportunities in the following years."</t>
  </si>
  <si>
    <t>Market</t>
  </si>
  <si>
    <t>"Looking at the full year 2024, we forecast the overall semiconductor market, excluding memory to increase by about 10%, which is unchanged from our forecast 3 months ago… TSMC's share of the foundry industry under our new definition was 28% in 2023, supported by our strong technology leadership and broader customer base, we expect this one to further increase in 2024."</t>
  </si>
  <si>
    <t>3Q24 &amp; FY24</t>
  </si>
  <si>
    <t>Revenue - Smartphone &amp; HPC</t>
  </si>
  <si>
    <t>Revenue Growth</t>
  </si>
  <si>
    <t>"slightly above mid-20s percent in USD"</t>
  </si>
  <si>
    <t>" To ensure a proper return from our investment, both pricing and costs are important. TSMC's pricing strategy is strategic, not opportunistic to reflect the value that we provide."</t>
  </si>
  <si>
    <t>Pricing</t>
  </si>
  <si>
    <t>"Our capital investment decisions are based on 4 disciplines, that is technology leadership, flexible and responsive manufacturing, retaining customers trust, and earning a sustainable and healthy return."</t>
  </si>
  <si>
    <t>General</t>
  </si>
  <si>
    <t>2mm</t>
  </si>
  <si>
    <t>1.6mm</t>
  </si>
  <si>
    <t xml:space="preserve">"We also introduced N16 as our next nano chip-based technology, featuring super power rail or SPR, as a separate offering. TSMC's SPR is innovative, best-in-class power delivery solution that is the first in the industry to incorporate a novel back side contact scheme to preserve gate density and device with flexibility. Compared with N2P, N16 provides a further 8% to 10% speed improvement at the same power of 15% to 20% power improvement at the same speed and additional 7% to 10% chip density gain. N16 is best used for specific HPC product with complex signal route and dense power delivery and work. Volume production is scheduled for second half 2026."
</t>
  </si>
  <si>
    <t>AI Supply Demand</t>
  </si>
  <si>
    <t>"I also tried to reach the supply and demand balance, but I cannot today. The demand is so high. I had to work very hard to meet by customers demand. We continue to increase. I hope sometime in 2025 or 2026, I can reach the balance."</t>
  </si>
  <si>
    <t xml:space="preserve">"...there are positives and there are negatives. You already mentioned positive will be a decrease in dilution from N3. We're selling our value, and we continue to drive down our costs, increase the productivity. That is -- we are very good at that. On the other hand, let's use N5 conversion to N3 as an example. We are not ruling out the possibility of further converting more N5 to N3 because we're seeing very strong demand for if we decided to do that, of course, there will be a negative impact on the year that we do that. But in the future years, that will be beneficial."
</t>
  </si>
  <si>
    <t>"We expect that the overseas fabs will dilute our gross margins by between 2 to 3 percentage points next year and in the next several years. So those are the puts and takes to give you the concept. However, we've taken all that into considerations with our efforts in managed cost fab especially between the overseas fab in Taiwan, we're repeating and confident to say that 53% and higher gross margin is achievable."</t>
  </si>
  <si>
    <t xml:space="preserve">"Q: ...asked if it's possible to get back to the high 50%, 60% level that we saw in 2022?"
"A: Yes, if we have a very high utilization rate, everything else stays the same, possible."
</t>
  </si>
  <si>
    <t xml:space="preserve">"Q: We're hearing that AI chip makers are looking to migrate more aggressively from n-1 to the leading edge, particularly due to back side power because they're trying to lower their power budgets going forward. So my question, can you support this move?"
"A: Brett, you are right. All the people want to move into kind of a power-efficient mode. And so they are looking for the more advanced technology so that they can save power consumption. And so a lot of my customers want to move into N2, N2P, N16 quickly. We are working very hard to build the capacity to support them. Today, it's a little bit tight, not a little bit, actually, today is very tight. I hope in next year or the next 2 years, we can build enough capacity to support this kind of demand." 
</t>
  </si>
  <si>
    <t>Move to Leading Edge</t>
  </si>
  <si>
    <t>" So from last year to this year, we have more than doubled. And as I said, from this year to next year, we want to double again or probably we want to more than double again."</t>
  </si>
  <si>
    <t>CoWoS Capacity</t>
  </si>
  <si>
    <t>2nm vs. 3nm</t>
  </si>
  <si>
    <t>"…the [2nm] revenue, yes, it's going to be bigger, okay? Gross margin dilution, it will be faster to reach corporate average."</t>
  </si>
  <si>
    <t xml:space="preserve">"Every year, our CapEx is spent in anticipation of the growth that will follow in the future years, and our CapEx and capacity planning is always based on the long-term market demand profile. As the strong structural AI-related demand continues, we continue to invest to support our customers' growth. We are narrowing the range of our 2024 capital budget to be between USD 30 billion and USD 32 billion as compared to USD 28 million to USD 32 billion previously"
</t>
  </si>
  <si>
    <t>Capex as % of Revenue</t>
  </si>
  <si>
    <t>Year</t>
  </si>
  <si>
    <t>Intercept</t>
  </si>
  <si>
    <t>P-value</t>
  </si>
  <si>
    <t xml:space="preserve">"Moving into third quarter 2024. We expect our business to be supported by strong smartphone and AI-related demand for our leading-edge process technologies...Over the past 3 months, we have observed strong AI and high-end smartphone-related demand from our customers as compared to 3 months ago, leading to increasing overall capacity utilization rate for our leading edge 3-nanometer and 5-nanometer process technologies in the half of 2024, thus we continue to expect 2024 to be a strong growth year for TSMC."
</t>
  </si>
  <si>
    <t xml:space="preserve">"N2 technology development is progressing well with device performance and yield on track or ahead of plan and with some trend for volume production in 2025 with a ramp profile similar to N3.With our strategy of continuous enhancement, we also introduced N2P as an extension of our N2 to family and to be features a further 5% performance with -- at the same power or 5% to 10% power benefit at the same speed on top of N2. N2 support both smartphone and HPC applications and volume production is scheduled for the second half [ 2026 ]."
</t>
  </si>
  <si>
    <t>Other Commentary</t>
  </si>
  <si>
    <t>FY23+</t>
  </si>
  <si>
    <t>~15%</t>
  </si>
  <si>
    <t>"All things considered, we expect our effective tax rate in 2023 and beyond to be approximately 15%."</t>
  </si>
  <si>
    <t>4Q22 Earnings Call</t>
  </si>
  <si>
    <t xml:space="preserve">"He also notes in 2021, indeed, a few years ago, our gross margin target, long-term gross margin target was about 50%, and we're able to increase that to 53% and higher."
</t>
  </si>
  <si>
    <t xml:space="preserve">"We reiterate the long-term gross margin of above 50% is achievable with operating margin to be above 39% and ROE to be above 20% through the cycle."
</t>
  </si>
  <si>
    <t>2Q21 Earnings Call</t>
  </si>
  <si>
    <t>Operating Margin</t>
  </si>
  <si>
    <t>Total Debt</t>
  </si>
  <si>
    <t>'18-'24e</t>
  </si>
  <si>
    <t>Approx. Utilization</t>
  </si>
  <si>
    <t>Change in Working Capital (CRC)</t>
  </si>
  <si>
    <t>Working Capital Metrics (CRC)</t>
  </si>
  <si>
    <t>Commentary</t>
  </si>
  <si>
    <t>Smartphone Seasonal Factor</t>
  </si>
  <si>
    <t>Vs. No Seasonality</t>
  </si>
  <si>
    <t>Long-Term Trending</t>
  </si>
  <si>
    <t>S&amp;P 500</t>
  </si>
  <si>
    <t>Benchmark Growth</t>
  </si>
  <si>
    <t>Benchmark Margin</t>
  </si>
  <si>
    <t>TSMC vs. Benchmark Growth</t>
  </si>
  <si>
    <t>TSMC vs. Benchmark Margin</t>
  </si>
  <si>
    <t xml:space="preserve">S&amp;P Comp 1,500 Semis </t>
  </si>
  <si>
    <t>KPIs, Growth, &amp; FX</t>
  </si>
  <si>
    <t>Share Issuance / (Repurchase)</t>
  </si>
  <si>
    <t>Loan &amp; Lease Proceeds / (Repayment)</t>
  </si>
  <si>
    <t>Net Debt / LTM CRC EBITDA</t>
  </si>
  <si>
    <t xml:space="preserve"> - Starting in 2015, TSMC prepares financial statements in accordance with 2013 IFRSs version endorsed by Taiwan. Under IFRS, the impact of newly effected GAAP shall be retroactively applied</t>
  </si>
  <si>
    <t xml:space="preserve"> - Figures in black font represent CRC calculations and may differ from directly reported figures</t>
  </si>
  <si>
    <t xml:space="preserve"> - Certain historical figures were not specified under current account categorizations</t>
  </si>
  <si>
    <t>20-Year CAGR</t>
  </si>
  <si>
    <t>10-Year CAGR</t>
  </si>
  <si>
    <t>5-Year CAGR</t>
  </si>
  <si>
    <t>2-Year CAGR</t>
  </si>
  <si>
    <t>3-Year CAGR</t>
  </si>
  <si>
    <t>2Q23 Earnings Call</t>
  </si>
  <si>
    <t>"Next, let me talk about HPC and TSMC's long-term growth outlook. As we have said before, the massive structural increase in demand for computation underpinned by the industry megatrend of 5G and HPC continues to drive greater need for performance and energy-efficient computing, which require use of leading-edge technologies. These megatrends are expected to fill TSMC's long-term growth. Even with a more challenging 2023, our revenue remains well on track to grow between 15% and 20% CAGR over the next several years in U.S. dollar terms, which is a target we communicated back in January 2022 investor conference."</t>
  </si>
  <si>
    <t>15-20% (USD) over the next several years</t>
  </si>
  <si>
    <t>Net Debt &amp; Other</t>
  </si>
  <si>
    <t>MVE</t>
  </si>
  <si>
    <t>Shares</t>
  </si>
  <si>
    <t>Price Per Share</t>
  </si>
  <si>
    <t>vs. today's share price</t>
  </si>
  <si>
    <t>Total Cash Flows</t>
  </si>
  <si>
    <t>vs. MS Model</t>
  </si>
  <si>
    <t>Check</t>
  </si>
  <si>
    <t>Memo: Opex as % of Net Revenue</t>
  </si>
  <si>
    <t>CAGR &amp; Incr'l Margin</t>
  </si>
  <si>
    <t>'24e-'35e</t>
  </si>
  <si>
    <t>C (High)</t>
  </si>
  <si>
    <t>Basis Multiples</t>
  </si>
  <si>
    <t>L28Y TSMC Growth Percentiles</t>
  </si>
  <si>
    <t>Growth - For Charting</t>
  </si>
  <si>
    <t>Revenue by Platform &amp; Geo</t>
  </si>
  <si>
    <t>Y/Y Absolute Change</t>
  </si>
  <si>
    <t>CapEx (USD, Calc)</t>
  </si>
  <si>
    <t>15-16bn</t>
  </si>
  <si>
    <t>10-11bn</t>
  </si>
  <si>
    <t>25-28bn</t>
  </si>
  <si>
    <t>40-44bn</t>
  </si>
  <si>
    <t>28-32bn</t>
  </si>
  <si>
    <t>32-36bn</t>
  </si>
  <si>
    <t>10.5-11bn</t>
  </si>
  <si>
    <t>Vs. Guidance</t>
  </si>
  <si>
    <t>CapEx (USD, at Assumed FX)</t>
  </si>
  <si>
    <t>TSMC-Assumed FX</t>
  </si>
  <si>
    <t>Initial Guidance (USD)</t>
  </si>
  <si>
    <t xml:space="preserve">"Changing the target in -- at this moment, I think I would like to emphasize 53% and higher, please put more attention to and higher. The number, I'm not going to change it at this time. When I have a more conversation with my customer and discuss with them, and I probably will give you and the higher portion, okay?"
</t>
  </si>
  <si>
    <t>L3Y CAGR</t>
  </si>
  <si>
    <t>L2Y CAGR</t>
  </si>
  <si>
    <t>Total Wafers Shipped</t>
  </si>
  <si>
    <t>FY95</t>
  </si>
  <si>
    <t>FY96</t>
  </si>
  <si>
    <t>FY94</t>
  </si>
  <si>
    <t>Y/Y % Growth</t>
  </si>
  <si>
    <t>Blended ASP (USD, 12" Equiv.)</t>
  </si>
  <si>
    <t>Price vs. Volume</t>
  </si>
  <si>
    <t xml:space="preserve"> - Wafers Shipped and Blended ASP data from Morgan Stanley</t>
  </si>
  <si>
    <t>Wafer Revenue by Resolution</t>
  </si>
  <si>
    <t>T+1 
Revenue Growth</t>
  </si>
  <si>
    <t>T+2
Revenue Growth</t>
  </si>
  <si>
    <t>T+3
Revenue Growth</t>
  </si>
  <si>
    <t>T+4
Revenue Growth</t>
  </si>
  <si>
    <t>T+5
Revenue Growth</t>
  </si>
  <si>
    <t>Regressed Growth</t>
  </si>
  <si>
    <t>N4Y Revenue
CAGR</t>
  </si>
  <si>
    <t>N3Y Revenue
CAGR</t>
  </si>
  <si>
    <t>N5Y Revenue
CAGR</t>
  </si>
  <si>
    <t>R2</t>
  </si>
  <si>
    <t>Correlation</t>
  </si>
  <si>
    <t>N2Y Revenue
CAGR</t>
  </si>
  <si>
    <t>T0
Revenue Growth</t>
  </si>
  <si>
    <t>Smartphone Revenue</t>
  </si>
  <si>
    <t>Apple Unit Orders (mm) (Midpoint)</t>
  </si>
  <si>
    <t>Additional Revenue</t>
  </si>
  <si>
    <t>Difference</t>
  </si>
  <si>
    <t>Apple % Increase in Units</t>
  </si>
  <si>
    <t>% Applied in Period</t>
  </si>
  <si>
    <t>Updated Smartphone Revenue Est.</t>
  </si>
  <si>
    <t>Consensus (6/11/24)</t>
  </si>
  <si>
    <t>Consensus (7/24/24)</t>
  </si>
  <si>
    <t>% Increase in Units vs. 2Q24 Est.</t>
  </si>
  <si>
    <t>Assumed % of Smartphone Rev from Apple</t>
  </si>
  <si>
    <t>Est. Smartphone Rev from Apple</t>
  </si>
  <si>
    <t>Smartphone Revenue Analysis - Upsized Apple Demand</t>
  </si>
  <si>
    <t>Apple % of Revenue</t>
  </si>
  <si>
    <t>Applicable Apple Revenue</t>
  </si>
  <si>
    <t>Applicable Apple Revenue Increase</t>
  </si>
  <si>
    <t>New TSMC Revenue</t>
  </si>
  <si>
    <t>Revenue from Apple</t>
  </si>
  <si>
    <t>Applicable Upsized Chips</t>
  </si>
  <si>
    <t>% Order Increase</t>
  </si>
  <si>
    <t>Latest Consensus</t>
  </si>
  <si>
    <t xml:space="preserve"> TSMC Revenue (Actual &amp; 6/11 Cons.)</t>
  </si>
  <si>
    <t>vs. Latest Consensus</t>
  </si>
  <si>
    <t>Implied FY24e Growth</t>
  </si>
  <si>
    <t>Implied CAGR FY24e+</t>
  </si>
  <si>
    <t>CRC Simple Model Base Case</t>
  </si>
  <si>
    <t>Significant?</t>
  </si>
  <si>
    <t>Slope (Capex % of Rev)</t>
  </si>
  <si>
    <t>Linear Regression (Excl. FY21+)</t>
  </si>
  <si>
    <t xml:space="preserve">CapEx &amp; Revenue Growth </t>
  </si>
  <si>
    <t>Return</t>
  </si>
  <si>
    <t>Invasion</t>
  </si>
  <si>
    <t>No Invasion</t>
  </si>
  <si>
    <t>Expected</t>
  </si>
  <si>
    <t>1-Year Probability of Invasion</t>
  </si>
  <si>
    <t>Return Under No Invasion</t>
  </si>
  <si>
    <t xml:space="preserve">Expected IRR Under Invasion / No Invasion </t>
  </si>
  <si>
    <t>Compounded Probability of:</t>
  </si>
  <si>
    <t>Compounded Return Under:</t>
  </si>
  <si>
    <t>Sensitivity Analysis - Expected 10-Year IRR</t>
  </si>
  <si>
    <t>Reference: USD</t>
  </si>
  <si>
    <t>Note: Polymarket prices an 10% chance of a Chinese invasion of Taiwan in 2024, as of 7/26/24</t>
  </si>
  <si>
    <t xml:space="preserve">Note: A William &amp; Mary GRI poll shows experts believe there was a 23.75% change of a Chinese invasion of Taiwan </t>
  </si>
  <si>
    <t>over the next year (Survey Oct 2022-Jan 2023)</t>
  </si>
  <si>
    <t>Net PP&amp;E</t>
  </si>
  <si>
    <t>Goodwill</t>
  </si>
  <si>
    <t>ROIC Analysis</t>
  </si>
  <si>
    <t>Invested Capital</t>
  </si>
  <si>
    <t>ROIC Benchmarking</t>
  </si>
  <si>
    <t>% Margin</t>
  </si>
  <si>
    <t>AR</t>
  </si>
  <si>
    <t>Inventory</t>
  </si>
  <si>
    <t>Other LT Assets</t>
  </si>
  <si>
    <t>AP</t>
  </si>
  <si>
    <t>Accrued Expenses</t>
  </si>
  <si>
    <t>Other Current Liabilities</t>
  </si>
  <si>
    <t>ROIC</t>
  </si>
  <si>
    <t>Net Working Capital</t>
  </si>
  <si>
    <t>n/a</t>
  </si>
  <si>
    <t>Other LT Liabilities</t>
  </si>
  <si>
    <t>EQIX</t>
  </si>
  <si>
    <t>ASX:MP1</t>
  </si>
  <si>
    <t>TDG</t>
  </si>
  <si>
    <t>WMT</t>
  </si>
  <si>
    <t>CMG</t>
  </si>
  <si>
    <t>Operating income/(loss), GAAP</t>
  </si>
  <si>
    <t>CY2024</t>
  </si>
  <si>
    <t>VisibleAlpha:</t>
  </si>
  <si>
    <t>Cap IQ:</t>
  </si>
  <si>
    <t>Equinix</t>
  </si>
  <si>
    <t>Total revenue, Primary</t>
  </si>
  <si>
    <t>Receivables, net</t>
  </si>
  <si>
    <t>Other current assets</t>
  </si>
  <si>
    <t>Accounts payable</t>
  </si>
  <si>
    <t>Accrued expense</t>
  </si>
  <si>
    <t>Other current liabilities</t>
  </si>
  <si>
    <t>Property, plant &amp; equipment, net</t>
  </si>
  <si>
    <t>Other non-current assets</t>
  </si>
  <si>
    <t>Other non-current liabilities</t>
  </si>
  <si>
    <t>Right-of-use asset</t>
  </si>
  <si>
    <t>Intangible assets, net</t>
  </si>
  <si>
    <t>TWSE:2330</t>
  </si>
  <si>
    <t>Inventories, Net</t>
  </si>
  <si>
    <t>MP1_AU</t>
  </si>
  <si>
    <t>Megaport</t>
  </si>
  <si>
    <t>Transdigm</t>
  </si>
  <si>
    <t>CSU_CA</t>
  </si>
  <si>
    <t>TSX:CSU</t>
  </si>
  <si>
    <t>TSX:BYD</t>
  </si>
  <si>
    <t>Alphabet</t>
  </si>
  <si>
    <t>Facebook</t>
  </si>
  <si>
    <t>Microsoft</t>
  </si>
  <si>
    <t>GOOGL</t>
  </si>
  <si>
    <t>META</t>
  </si>
  <si>
    <t>MSFT</t>
  </si>
  <si>
    <t>META_US</t>
  </si>
  <si>
    <t>Costco</t>
  </si>
  <si>
    <t>Walmart</t>
  </si>
  <si>
    <t>Chipotle</t>
  </si>
  <si>
    <t>COST</t>
  </si>
  <si>
    <t>2QCY-2024</t>
  </si>
  <si>
    <t>HD</t>
  </si>
  <si>
    <t>AMZN</t>
  </si>
  <si>
    <t>Amazon</t>
  </si>
  <si>
    <t>CASY</t>
  </si>
  <si>
    <t>Liabilities</t>
  </si>
  <si>
    <t>Casey's</t>
  </si>
  <si>
    <t>Data Centers</t>
  </si>
  <si>
    <t>Serial Acquirers</t>
  </si>
  <si>
    <t>IQ_LASTSALEPRICE</t>
  </si>
  <si>
    <t>Source: Company filings, Capital IQ, VisibleAlpha</t>
  </si>
  <si>
    <t>(Units in millions of reported currency)</t>
  </si>
  <si>
    <t>% of Revenue</t>
  </si>
  <si>
    <t>PP&amp;E, Net</t>
  </si>
  <si>
    <t>Right-of-Use Assets</t>
  </si>
  <si>
    <t>vs. TSMC</t>
  </si>
  <si>
    <t>EBIT (GAAP)</t>
  </si>
  <si>
    <t>Boyd Grp</t>
  </si>
  <si>
    <t>Home Dpt</t>
  </si>
  <si>
    <t>Const Soft</t>
  </si>
  <si>
    <r>
      <rPr>
        <i/>
        <u/>
        <sz val="8"/>
        <color theme="1"/>
        <rFont val="Arial"/>
        <family val="2"/>
      </rPr>
      <t>Memo:</t>
    </r>
    <r>
      <rPr>
        <i/>
        <sz val="8"/>
        <color theme="1"/>
        <rFont val="Arial"/>
        <family val="2"/>
      </rPr>
      <t xml:space="preserve"> Goodwill</t>
    </r>
  </si>
  <si>
    <t>Long-Term Assets</t>
  </si>
  <si>
    <t>Short Term Debt</t>
  </si>
  <si>
    <t>Long-Term Debt</t>
  </si>
  <si>
    <t>Shareholder's Equity</t>
  </si>
  <si>
    <t>Cash</t>
  </si>
  <si>
    <t>Tax Rate</t>
  </si>
  <si>
    <t>NOPAT</t>
  </si>
  <si>
    <t>Total stockholders' equity incl. minority interest</t>
  </si>
  <si>
    <t>Cash, short-term investments and marketable securities</t>
  </si>
  <si>
    <t>Debt and capital lease obligations - Current</t>
  </si>
  <si>
    <t>Debt and capital lease obligations - Non-current</t>
  </si>
  <si>
    <t>Alternate ROIC Build</t>
  </si>
  <si>
    <t>CD</t>
  </si>
  <si>
    <t>Retail &amp; Adjacent</t>
  </si>
  <si>
    <t>Total Shareholder IRRs</t>
  </si>
  <si>
    <t>LTM</t>
  </si>
  <si>
    <t>L5Y</t>
  </si>
  <si>
    <t>L10Y</t>
  </si>
  <si>
    <t>Note: Forecasted figures represent consensus estimates unless otherwise noted</t>
  </si>
  <si>
    <r>
      <t>Return</t>
    </r>
    <r>
      <rPr>
        <u/>
        <sz val="8"/>
        <color theme="1"/>
        <rFont val="Arial"/>
        <family val="2"/>
      </rPr>
      <t xml:space="preserve"> (CY24e)</t>
    </r>
  </si>
  <si>
    <t>Total LT Assets</t>
  </si>
  <si>
    <t>Goodwill &amp; Intangibles, Net</t>
  </si>
  <si>
    <r>
      <t>Invested Capital</t>
    </r>
    <r>
      <rPr>
        <u/>
        <sz val="8"/>
        <color theme="1"/>
        <rFont val="Arial"/>
        <family val="2"/>
      </rPr>
      <t xml:space="preserve"> (2Q24ae)</t>
    </r>
  </si>
  <si>
    <t>Megacap Tech</t>
  </si>
  <si>
    <t>EBIT (Annualized)</t>
  </si>
  <si>
    <t>D&amp;A Model</t>
  </si>
  <si>
    <t>Key Inputs</t>
  </si>
  <si>
    <t>Original Average Useful Life of Assets (Years)</t>
  </si>
  <si>
    <t>Change in Depreciable Assets</t>
  </si>
  <si>
    <t>Purchase of PP&amp;E</t>
  </si>
  <si>
    <t>Disposal of PP&amp;E</t>
  </si>
  <si>
    <t>Purchase of PP&amp;E, Net</t>
  </si>
  <si>
    <t>Impact of Construction in Progress</t>
  </si>
  <si>
    <t>Depreciation</t>
  </si>
  <si>
    <t>Estimated Depreciation</t>
  </si>
  <si>
    <t>Actual Depreciation</t>
  </si>
  <si>
    <t>Variance %</t>
  </si>
  <si>
    <t>Variance $</t>
  </si>
  <si>
    <t>Amortization</t>
  </si>
  <si>
    <t>Estimated D&amp;A</t>
  </si>
  <si>
    <t>PP&amp;E Detail</t>
  </si>
  <si>
    <t>Gross PP&amp;E</t>
  </si>
  <si>
    <t>Buildings</t>
  </si>
  <si>
    <t>Construction in Progress</t>
  </si>
  <si>
    <r>
      <rPr>
        <i/>
        <u/>
        <sz val="8"/>
        <color theme="1"/>
        <rFont val="Arial"/>
        <family val="2"/>
      </rPr>
      <t>Memo:</t>
    </r>
    <r>
      <rPr>
        <i/>
        <sz val="8"/>
        <color theme="1"/>
        <rFont val="Arial"/>
        <family val="2"/>
      </rPr>
      <t xml:space="preserve"> Depreciable Assets</t>
    </r>
  </si>
  <si>
    <t>Accumulated Depreciation</t>
  </si>
  <si>
    <t>Depreciation of PP&amp;E</t>
  </si>
  <si>
    <t>Reported Useful Life (Years)</t>
  </si>
  <si>
    <t>3-5</t>
  </si>
  <si>
    <t>2-5</t>
  </si>
  <si>
    <t>Implied Useful Life (Years)</t>
  </si>
  <si>
    <t>Gross PP&amp;E / D&amp;A</t>
  </si>
  <si>
    <t>Depreciable Assets / D&amp;A</t>
  </si>
  <si>
    <t>Net PP&amp;E / D&amp;A</t>
  </si>
  <si>
    <t>Land Improvements</t>
  </si>
  <si>
    <t>Machinery &amp; Equipment</t>
  </si>
  <si>
    <t>Office Equipment</t>
  </si>
  <si>
    <t>Land &amp; Land Improvements</t>
  </si>
  <si>
    <t>Gross PP&amp;E, EoP</t>
  </si>
  <si>
    <t>Gross PP&amp;E, BoP</t>
  </si>
  <si>
    <t>Accumulated Depreciation, BoP</t>
  </si>
  <si>
    <t>Accumulated Depreciation, EoP</t>
  </si>
  <si>
    <t>Net PP&amp;E, EoP</t>
  </si>
  <si>
    <t>Net PP&amp;E, BoP</t>
  </si>
  <si>
    <t xml:space="preserve">10-20 </t>
  </si>
  <si>
    <t>Assets Under Finance Leases</t>
  </si>
  <si>
    <t xml:space="preserve">5-20 </t>
  </si>
  <si>
    <t>3-15</t>
  </si>
  <si>
    <t>Go-Forward Useful Life (Years)</t>
  </si>
  <si>
    <t>Gross Assets, EoP</t>
  </si>
  <si>
    <t>Net Assets, EoP</t>
  </si>
  <si>
    <t>% Growth</t>
  </si>
  <si>
    <t>ROIC Build</t>
  </si>
  <si>
    <t>Incremental ROIC</t>
  </si>
  <si>
    <t>% of Revenue (Annualized)</t>
  </si>
  <si>
    <t>ROU, Int, &amp; Other as % of Revenue (Ann.)</t>
  </si>
  <si>
    <r>
      <rPr>
        <i/>
        <u/>
        <sz val="8"/>
        <color theme="1"/>
        <rFont val="Arial"/>
        <family val="2"/>
      </rPr>
      <t>Memo:</t>
    </r>
    <r>
      <rPr>
        <i/>
        <sz val="8"/>
        <color theme="1"/>
        <rFont val="Arial"/>
        <family val="2"/>
      </rPr>
      <t xml:space="preserve"> ROU, Int, &amp; Other as % of Revenue</t>
    </r>
  </si>
  <si>
    <t>D&amp;A Build Summary</t>
  </si>
  <si>
    <t>All Years</t>
  </si>
  <si>
    <t>Excl. FY21+</t>
  </si>
  <si>
    <t>Circ</t>
  </si>
  <si>
    <t>Est'd Useful Life (Years):</t>
  </si>
  <si>
    <t>ROU, Intangible, Other Assets, Net</t>
  </si>
  <si>
    <t>LT Historical Financials</t>
  </si>
  <si>
    <t>CAGR</t>
  </si>
  <si>
    <t>5-Year</t>
  </si>
  <si>
    <t>10-Year</t>
  </si>
  <si>
    <t>15-Year</t>
  </si>
  <si>
    <t>20-Year</t>
  </si>
  <si>
    <t>Taxation @ 15%</t>
  </si>
  <si>
    <t>Recurring FCF Per Share</t>
  </si>
  <si>
    <t>Asset Sales /  (Acquisitions)</t>
  </si>
  <si>
    <t>Asset Sales</t>
  </si>
  <si>
    <t>Share Issuance</t>
  </si>
  <si>
    <t>Loan Proceeds</t>
  </si>
  <si>
    <t>IC (ND + Equity)</t>
  </si>
  <si>
    <t>Capitalization / Valuation</t>
  </si>
  <si>
    <t>Mkt Cap</t>
  </si>
  <si>
    <t>LTM Multiples:</t>
  </si>
  <si>
    <t>TEV / EBITDA</t>
  </si>
  <si>
    <t>P / Realized FCF</t>
  </si>
  <si>
    <t>NTM Multiples:</t>
  </si>
  <si>
    <t>Share Px Performance</t>
  </si>
  <si>
    <t>Dividend Adj. Share Price</t>
  </si>
  <si>
    <t>S&amp;P 500 - Total Return</t>
  </si>
  <si>
    <t>Total Return CAGR:</t>
  </si>
  <si>
    <t>1-Yr Forward</t>
  </si>
  <si>
    <t>3-Yr Forward</t>
  </si>
  <si>
    <t>5-Yr Forward</t>
  </si>
  <si>
    <t>10-Yr Forward</t>
  </si>
  <si>
    <t>(+) Net Debt</t>
  </si>
  <si>
    <t>(*) Shares O/S</t>
  </si>
  <si>
    <t>CapEx as % of Net Revenue</t>
  </si>
  <si>
    <t>CRC EBITDA - CapEx</t>
  </si>
  <si>
    <r>
      <rPr>
        <i/>
        <u/>
        <sz val="8"/>
        <color theme="1"/>
        <rFont val="Arial"/>
        <family val="2"/>
      </rPr>
      <t>Memo:</t>
    </r>
    <r>
      <rPr>
        <i/>
        <sz val="8"/>
        <color theme="1"/>
        <rFont val="Arial"/>
        <family val="2"/>
      </rPr>
      <t xml:space="preserve"> CapEx as % of Net Revenue</t>
    </r>
  </si>
  <si>
    <t>SBC as % of Net Revenue</t>
  </si>
  <si>
    <t>ROE % (NI / Equity)</t>
  </si>
  <si>
    <t>(+) NCI</t>
  </si>
  <si>
    <t xml:space="preserve">    Net Income Attributable to Shareholders of the Parent </t>
  </si>
  <si>
    <t xml:space="preserve">    Net Income (Losses) Attributable to Minority Interests</t>
  </si>
  <si>
    <t xml:space="preserve">    Depreciation &amp; Amortization</t>
  </si>
  <si>
    <t xml:space="preserve">    Deferred Income Tax</t>
  </si>
  <si>
    <t xml:space="preserve">    Equity in Losses (Earnings) of Equity Method Investees, Net</t>
  </si>
  <si>
    <t xml:space="preserve">    Changes in Working Capital &amp; Others</t>
  </si>
  <si>
    <t xml:space="preserve">    Net Cash Provided by Operating Activities</t>
  </si>
  <si>
    <t xml:space="preserve">    Decrease (Increase) in Short-term Investments</t>
  </si>
  <si>
    <t xml:space="preserve">    Decrease (Increase) in Long-term Investments</t>
  </si>
  <si>
    <t xml:space="preserve">       Marketable Financial Instruments</t>
  </si>
  <si>
    <t xml:space="preserve">       Investments Accounted for Using Equity Method</t>
  </si>
  <si>
    <t xml:space="preserve">       Property, Plant and Equipment</t>
  </si>
  <si>
    <t xml:space="preserve">       Financial Assets Carried at Cost</t>
  </si>
  <si>
    <t xml:space="preserve">    Proceeds from Disposal or Redemption of:</t>
  </si>
  <si>
    <t xml:space="preserve">    Net Cash Used in Investing Activities</t>
  </si>
  <si>
    <t xml:space="preserve">    Proceeds from Exercise of Stock Options</t>
  </si>
  <si>
    <t xml:space="preserve">    Bonus to Directors and Supervisors</t>
  </si>
  <si>
    <t xml:space="preserve">    Issuance (Repayment) of Long-term Bonds Payable</t>
  </si>
  <si>
    <t xml:space="preserve">    Cash Dividends Paid for Common Stock</t>
  </si>
  <si>
    <t xml:space="preserve">    Cash Dividends Paid for Preferred Stock</t>
  </si>
  <si>
    <t xml:space="preserve">    Repurchase of Treasury Stock</t>
  </si>
  <si>
    <t>Effect of Exchange Rate Changes on Cash and Cash Equivalents</t>
  </si>
  <si>
    <t xml:space="preserve">    Acquisition of:</t>
  </si>
  <si>
    <t xml:space="preserve">       Property, Plant and Equipment and Other Assets</t>
  </si>
  <si>
    <t xml:space="preserve">    Others</t>
  </si>
  <si>
    <t xml:space="preserve">    Increase (Decrease) in Short-term Loans</t>
  </si>
  <si>
    <t xml:space="preserve">    Increase (Decrease) in Guarantee Deposits</t>
  </si>
  <si>
    <t xml:space="preserve">    Cash Bonus Paid to Employees</t>
  </si>
  <si>
    <t xml:space="preserve">    Net Cash Provided by (Used in) Financing Activities</t>
  </si>
  <si>
    <t>Max</t>
  </si>
  <si>
    <t>Min</t>
  </si>
  <si>
    <t>S&amp;P 500 NTM P / E</t>
  </si>
  <si>
    <t>EBT</t>
  </si>
  <si>
    <t>CRC NI Before NCI</t>
  </si>
  <si>
    <t>JVs</t>
  </si>
  <si>
    <t>OpEx</t>
  </si>
  <si>
    <t>Change in WC (CRC)</t>
  </si>
  <si>
    <t>Share Price (TWSE:2330)</t>
  </si>
  <si>
    <t>Chart Backups</t>
  </si>
  <si>
    <t>T-1 Capex</t>
  </si>
  <si>
    <t>T-2 Capex</t>
  </si>
  <si>
    <t>MS</t>
  </si>
  <si>
    <t>T-1 Growth</t>
  </si>
  <si>
    <t>T-2 Growth</t>
  </si>
  <si>
    <t>CRC Simple Model ROIC Case</t>
  </si>
  <si>
    <t>A (Base)</t>
  </si>
  <si>
    <r>
      <rPr>
        <i/>
        <u/>
        <sz val="8"/>
        <color theme="1"/>
        <rFont val="Arial"/>
        <family val="2"/>
      </rPr>
      <t>Memo:</t>
    </r>
    <r>
      <rPr>
        <i/>
        <sz val="8"/>
        <color theme="1"/>
        <rFont val="Arial"/>
        <family val="2"/>
      </rPr>
      <t xml:space="preserve"> </t>
    </r>
  </si>
  <si>
    <t>Avg. IC</t>
  </si>
  <si>
    <t>FX Impact</t>
  </si>
  <si>
    <t>FX1</t>
  </si>
  <si>
    <t>FX2</t>
  </si>
  <si>
    <t>USD</t>
  </si>
  <si>
    <t>FX Rate</t>
  </si>
  <si>
    <t>COGS</t>
  </si>
  <si>
    <t>%</t>
  </si>
  <si>
    <t>USD Purchases</t>
  </si>
  <si>
    <t>TWD Purchases</t>
  </si>
  <si>
    <t>3Q15 Earnings Call</t>
  </si>
  <si>
    <t>COGS Split</t>
  </si>
  <si>
    <r>
      <rPr>
        <u/>
        <sz val="8"/>
        <color theme="1"/>
        <rFont val="Arial"/>
        <family val="2"/>
      </rPr>
      <t>Li Mei He Ho Taiwan Semiconductor Manufacturing Company Limited – Chief Financial Officer and Senior Vice President of Finance</t>
    </r>
    <r>
      <rPr>
        <sz val="8"/>
        <color theme="1"/>
        <rFont val="Arial"/>
        <family val="2"/>
      </rPr>
      <t xml:space="preserve">
I didn't give guidance for second half. I was talking about the guidance for the third quarter. So your question is on the currency impact. I was -- I think I was saying nearly 100% of TSMC revenue are in U.S. dollars. So every 1% foreign exchange fluctuation will impact our gross margin by 0.4 percentage point. That's what I said. Did that answer your question?
</t>
    </r>
  </si>
  <si>
    <r>
      <rPr>
        <u/>
        <sz val="8"/>
        <color theme="1"/>
        <rFont val="Arial"/>
        <family val="2"/>
      </rPr>
      <t>Brett Simpson Arete Research Services LLP – Senior Analyst</t>
    </r>
    <r>
      <rPr>
        <sz val="8"/>
        <color theme="1"/>
        <rFont val="Arial"/>
        <family val="2"/>
      </rPr>
      <t xml:space="preserve">
I have a question for Lora on FX. Lora, can you just confirm, do you sell -- does TSMC sell all its wafers in U.S. dollar? And on the gross margin side, can you perhaps give us a sense for how cost of sales breaks down between U.S. dollar and Taiwan so we can understand the movements in FX on the gross margin side? And maybe for Mark, regarding 16-nanometer and 20-nanometer, so your sales in Q3 combined is just over 20% of sales, how do you see these combined nodes as a percent of sales in 2016 and how might it split between 20 and 16-nanometer?
</t>
    </r>
    <r>
      <rPr>
        <u/>
        <sz val="8"/>
        <color theme="1"/>
        <rFont val="Arial"/>
        <family val="2"/>
      </rPr>
      <t>Li Mei He Ho Taiwan Semiconductor Manufacturing Company Limited – Chief Financial Officer and Senior Vice President of Finance</t>
    </r>
    <r>
      <rPr>
        <sz val="8"/>
        <color theme="1"/>
        <rFont val="Arial"/>
        <family val="2"/>
      </rPr>
      <t xml:space="preserve">
Let me answer the first part of the question regarding the foreign exchange rate. It's indeed, our revenue, more than 99% denominated in U.S. dollars. In terms of purchasing -- not so much on cost of sales, in terms of purchasing, I think we have about 50% in U.S. dollars and 20% in euro, 20% in TWD and the rest in Japanese yen. So there's the effect of revenue minus the cost impact. If you still recall, we had said earlier 1% FX impact will change our gross margin rate by 0.4 percentage points. This rule of thumb still holds today.
</t>
    </r>
  </si>
  <si>
    <t>Forex Change Impact on Gross Profit Margin</t>
  </si>
  <si>
    <t>FX</t>
  </si>
  <si>
    <t>Financials</t>
  </si>
  <si>
    <t>Share Price</t>
  </si>
  <si>
    <t>Memo: R&amp;D as % of Net Rev</t>
  </si>
  <si>
    <t>Memo: SG&amp;A as % of Net Rev</t>
  </si>
  <si>
    <t>Memo: Taxation rate</t>
  </si>
  <si>
    <t>Memo: D&amp;A as % of Net Revenue</t>
  </si>
  <si>
    <t>Memo: CapEx as % of Net Revenue</t>
  </si>
  <si>
    <t>n/m</t>
  </si>
  <si>
    <t>NT$</t>
  </si>
  <si>
    <t>CASH FLOWS FROM OPERATING ACTIVITIES</t>
  </si>
  <si>
    <t>Income before income tax</t>
  </si>
  <si>
    <t>Depreciation expense</t>
  </si>
  <si>
    <t>Amortization expense</t>
  </si>
  <si>
    <t>Expected credit losses recognized (reversal) on investments in debt instruments</t>
  </si>
  <si>
    <t>Finance costs</t>
  </si>
  <si>
    <t>Share of profits of associates</t>
  </si>
  <si>
    <t>Interest income</t>
  </si>
  <si>
    <t>Share-based compensation</t>
  </si>
  <si>
    <t>Loss (gain) on disposal or retirement of property, plant and equipment, net</t>
  </si>
  <si>
    <t>Loss (gain) on disposal or retirement of intangible assets, net</t>
  </si>
  <si>
    <t>Impairment loss on property, plant and equipment</t>
  </si>
  <si>
    <t>Gain on financial instruments at fair value through profit or loss, net</t>
  </si>
  <si>
    <t>Loss (gain) on disposal of investments in debt instruments at fair value through other comprehensive income, net</t>
  </si>
  <si>
    <t>Gain on disposal of investments accounted for using equity method, net</t>
  </si>
  <si>
    <t>Loss (gain) on foreign exchange, net</t>
  </si>
  <si>
    <t>Dividend income</t>
  </si>
  <si>
    <t>Financial instruments at fair value through profit or loss</t>
  </si>
  <si>
    <t>Notes and accounts receivable, net</t>
  </si>
  <si>
    <t>Receivables from related parties</t>
  </si>
  <si>
    <t>Other receivables from related parties</t>
  </si>
  <si>
    <t>Other financial assets</t>
  </si>
  <si>
    <t>Other noncurrent assets</t>
  </si>
  <si>
    <t>Payables to related parties</t>
  </si>
  <si>
    <t>Salary and bonus payable</t>
  </si>
  <si>
    <t>Accrued profit sharing bonus to employees and compensation to directors</t>
  </si>
  <si>
    <t>Accrued expenses and other current liabilities</t>
  </si>
  <si>
    <t>Other noncurrent liabilities</t>
  </si>
  <si>
    <t>Net defined benefit liability</t>
  </si>
  <si>
    <t>Income taxes paid</t>
  </si>
  <si>
    <t>December 31, 2022</t>
  </si>
  <si>
    <t>December 31, 2023</t>
  </si>
  <si>
    <t>CURRENT LIABILITIES</t>
  </si>
  <si>
    <t>Financial liabilities at fair value through profit or loss</t>
  </si>
  <si>
    <t>Hedging financial liabilities</t>
  </si>
  <si>
    <t>Payables to contractors and equipment suppliers</t>
  </si>
  <si>
    <t>Cash dividends payable</t>
  </si>
  <si>
    <t>Income tax payable</t>
  </si>
  <si>
    <t>Long-term liabilities - current portion</t>
  </si>
  <si>
    <t>Total current liabilities</t>
  </si>
  <si>
    <t>2Q17 Earnings Call</t>
  </si>
  <si>
    <t xml:space="preserve">CRC </t>
  </si>
  <si>
    <t>EBITDA - Capex</t>
  </si>
  <si>
    <t>ROC GAAP</t>
  </si>
  <si>
    <t>IFRS</t>
  </si>
  <si>
    <t xml:space="preserve">&gt;&gt;&gt; </t>
  </si>
  <si>
    <t>D&amp;A Model (A)</t>
  </si>
  <si>
    <t>D&amp;A Model (B)</t>
  </si>
  <si>
    <t>D&amp;A Model (C)</t>
  </si>
  <si>
    <t>(ROIC-driven model)</t>
  </si>
  <si>
    <t>Lables</t>
  </si>
  <si>
    <t>/ Other</t>
  </si>
  <si>
    <t>IFRS / Adj.</t>
  </si>
  <si>
    <t>Other (JV, FX, Asset, Other)</t>
  </si>
  <si>
    <t xml:space="preserve">TSMC </t>
  </si>
  <si>
    <t>(TWD in billions)</t>
  </si>
  <si>
    <t>Apple</t>
  </si>
  <si>
    <t>MediaTek</t>
  </si>
  <si>
    <t>AMD</t>
  </si>
  <si>
    <t>Qualcomm</t>
  </si>
  <si>
    <t>NVIDIA</t>
  </si>
  <si>
    <t>Broadcom</t>
  </si>
  <si>
    <t>Intel</t>
  </si>
  <si>
    <t>BofA</t>
  </si>
  <si>
    <t>iPhone</t>
  </si>
  <si>
    <t>iPad</t>
  </si>
  <si>
    <t>Mac</t>
  </si>
  <si>
    <t>Wearables, Home, Acc.</t>
  </si>
  <si>
    <t>AI Server</t>
  </si>
  <si>
    <t>Memo: Apple Breakdown</t>
  </si>
  <si>
    <t>HPC</t>
  </si>
  <si>
    <t>Huawei</t>
  </si>
  <si>
    <t>Largest</t>
  </si>
  <si>
    <t>Second Largest</t>
  </si>
  <si>
    <t>Top 10 Largest</t>
  </si>
  <si>
    <t>&lt;10%</t>
  </si>
  <si>
    <t>Customer Concentration Benchmarking</t>
  </si>
  <si>
    <t>Revenue (USD, mm)</t>
  </si>
  <si>
    <t>Products Revenue</t>
  </si>
  <si>
    <t>Products Cost of Sales</t>
  </si>
  <si>
    <t>TSMC Spend</t>
  </si>
  <si>
    <t>% of Products CoS</t>
  </si>
  <si>
    <t>(+) FY+1 1Q</t>
  </si>
  <si>
    <t>(-) FY 1Q</t>
  </si>
  <si>
    <t>Calendar Year</t>
  </si>
  <si>
    <t>CoS as % of Revenue</t>
  </si>
  <si>
    <t>Fiscal Year (Ends Sept)</t>
  </si>
  <si>
    <t>Top Customer Analysis</t>
  </si>
  <si>
    <t>Fiscal Year (Ends Jan)</t>
  </si>
  <si>
    <t>Incremental</t>
  </si>
  <si>
    <t>vs. BofA Estimate</t>
  </si>
  <si>
    <t>Cost of Sales</t>
  </si>
  <si>
    <t>Products CoS as % of Revenue</t>
  </si>
  <si>
    <t>% of CoS</t>
  </si>
  <si>
    <t>Customer Mix</t>
  </si>
  <si>
    <t>% L2Y Products CoS</t>
  </si>
  <si>
    <t>Total Revenue</t>
  </si>
  <si>
    <t>(USD in millions)</t>
  </si>
  <si>
    <t>QCT Non-GAAP Revenue</t>
  </si>
  <si>
    <t>QCT Non-GAAP EBT</t>
  </si>
  <si>
    <t>Expenses as % of Revenue</t>
  </si>
  <si>
    <t>% of Expenses</t>
  </si>
  <si>
    <t>% L2Y QCT Expenses</t>
  </si>
  <si>
    <t>Billions</t>
  </si>
  <si>
    <t>Per Shr</t>
  </si>
  <si>
    <t>Per ADR</t>
  </si>
  <si>
    <t>TWD (2330.TW)</t>
  </si>
  <si>
    <t>USD (NYSE:TSM)</t>
  </si>
  <si>
    <t>Implied TWD</t>
  </si>
  <si>
    <t>&gt;&gt;&gt;</t>
  </si>
  <si>
    <t>FX, Shares, &amp; ADRs</t>
  </si>
  <si>
    <t>ADR premium / (discount)</t>
  </si>
  <si>
    <t>Invasion Adj. IRR Less IRR @ 20%</t>
  </si>
  <si>
    <t>QCT Expenses</t>
  </si>
  <si>
    <t>Select Customer Mix</t>
  </si>
  <si>
    <t>TSMC Reported Net Revenue Concentration</t>
  </si>
  <si>
    <t>Revenue (Est.)</t>
  </si>
  <si>
    <t>Memo: Apple Breakdown (Est.)</t>
  </si>
  <si>
    <t>Memo: Apple Breakdown – TSMC Segments</t>
  </si>
  <si>
    <t>Memo: Apple Breakdown – TSMC Segments (% Mix)</t>
  </si>
  <si>
    <t>Semiconductor Solutions Net Revenue</t>
  </si>
  <si>
    <t>Fiscal Year (Ends Oct)</t>
  </si>
  <si>
    <t>Semiconductor Solutions Opeating Income</t>
  </si>
  <si>
    <t>Semiconductor Solutions Expenses</t>
  </si>
  <si>
    <t>% L2Y SS Expenses</t>
  </si>
  <si>
    <t>vs. CRC Base Case</t>
  </si>
  <si>
    <t>CRC Base Case</t>
  </si>
  <si>
    <t>% L2Y CoS</t>
  </si>
  <si>
    <t>WORK IN PROGRESS</t>
  </si>
  <si>
    <t>Totals by Customer (CRC)</t>
  </si>
  <si>
    <t>Y/Y % Growth - Other</t>
  </si>
  <si>
    <t>Y/Y % Growth - Select Customer</t>
  </si>
  <si>
    <t>允䅁䙁䅯䅁䍁䅁䅁䅁䱂䅁䅁杄䅁䍁䅍兒卂䙁䅉睔卂䅁䅁䅍䅁䍁䅧䅁橁䕁䅫杔坂䕁䅅䅔䩂䕁䅑䅉䑂䕁䄸兔兂䕁䅅杔婂䍁䅁兓䕂䅁䅁睏䅁䉁䅁䅁歁䕁䅅兖䕂䕁䅣村兂䅁䅁䅄䅁䉁䅁䅁歁䕁䅉杕䵂䕁䅣村兂䅁䅁睄䅁䉁䅁䅁歁䕁䅕兖卂䕁䅣村兂䅁䅁兄䅁䉁䅁䅁歁䕁䅕兖卂䕁䄴睔䱂䅁䅁睉䅁䉁䅁䅁歁䕁䅕兖卂䙁䅁䅔佂䅁䅁杉䅁䉁䅁䅁歁䕁䅕兖卂䙁䅍兒䱂䅁䅁䅊䅁䉁䅁䅁歁䕁䅕兖卂䙁䅕兑䥂䅁䅁杊䅁䉁䅁䅁歁䕁䅣村兂䕁䅅兖䕂䅁䅁杅䅁䉁䅁䅁歁䕁䅣村兂䕁䅉杕䵂䅁䅁睅䅁䉁䅁䅁歁䕁䅣村兂䕁䅍兑䕂䅁䅁䅇䅁䉁䅁䅁歁䕁䅣村兂䕁䅍兑佂䅁䅁兆䅁䉁䅁䅁歁䕁䅣村兂䕁䅍杔䕂䅁䅁睆䅁䉁䅁䅁歁䕁䅣村兂䕁䅕兖卂䅁䅁兇䅁䉁䅁䅁歁䕁䅣村兂䕁䅫杔卂䅁䅁䅆䅁䉁䅁䅁歁䕁䅣村兂䕁䅯䅕婂䅁䅁充䅁䉁䅁䅁歁䕁䅣村兂䕁䄴睔䱂䅁䅁䅉䅁䉁䅁䅁歁䕁䅣村兂䙁䅁䅔佂䅁䅁睈䅁䉁䅁䅁歁䕁䅣村兂䙁䅅兑卂䅁䅁睇䅁䉁䅁䅁歁䕁䅣村兂䙁䅍兑卂䅁䅁杇䅁䉁䅁䅁歁䕁䅣村兂䙁䅍兒䱂䅁䅁光䅁䉁䅁䅁歁䕁䅣村兂䙁䅕兑䥂䅁䅁兊䅁䉁䅁䅁歁䕁䅣村兂䙁䅕睕䕂䅁䅁兂䅁䉁䅁䅁歁䕁䅫杔卂䕁䅣村兂䅁䅁杄䅁䉁䅁䅁歁䕁䅯䅕婂䕁䅣村兂䅁䅁䅅䅁䉁䅁䅁歁䕁䅳杕塂䕁䅕兖卂䅁䅁杋䅁䉁䅁䅁歁䕁䅳杕塂䙁䅑睖䕂䅁䅁睋䅁䉁䅁䅁歁䕁䅳杕塂䙁䅕睕䕂䅁䅁兌䅁䉁䅁䅁歁䙁䅍兑卂䕁䅣村兂䅁䅁杈䅁䉁䅁䅁歁䙁䅑睖䕂䕁䅕兖卂䅁䅁睌䅁䉁䅁䅁歁䙁䅑睖䕂䕁䅳杕塂䅁䅁杌䅁䉁䅁䅁歁䙁䅑睖䕂䙁䅕睕䕂䅁䅁䅌䅁䉁䅁䅁歁䙁䅕睕䕂䕁䅅兖䕂䅁䅁䅃䅁䉁䅁䅁歁䙁䅕睕䕂䕁䅉杕䵂䅁䅁权䅁䉁䅁䅁歁䙁䅕睕䕂䕁䅕兖卂䅁䅁睂䅁䉁䅁䅁歁䙁䅕睕䕂䕁䅣村兂䅁䅁䅁䅁䉁䅁䅁歁䙁䅕睕䕂䕁䅫杔卂䅁䅁睃䅁䉁䅁䅁歁䙁䅕睕䕂䕁䅯䅕婂䅁䅁元䅁䉁䅁䅁歁䙁䅕睕䕂䕁䅳杕塂䅁䅁睊䅁䉁䅁䅁歁䙁䅕睕䕂䙁䅑睖䕂䅁䅁克䅁䍁䅧䅁潁䕁䅍兙睂䝁䅅杙灂䝁䅷兡あ䡁䅫䅉佂䝁䅕党歂䝁䅕䅚灁䅁䅁䅗䅁䍁䄴䅁潁䕁䅫杢㉂䝁䅅䅢灂䝁䅑䅉䝂䝁䄸杣瑂䡁䅕䅢桂䍁䅁杔桂䝁䄰党灁䅁䅁䅔䅁䍁䅯䅁潁䕁䅫杢㉂䝁䅅䅢灂䝁䅑䅉䩂䝁䅑党畂䡁䅑兡浂䝁䅫党祂䍁䅫䅁坁䅁䅁杅䅁䑁䅅睌硁䍁䄸免㕁䑁䅫䅏䅁䉁䄰䅁十䅁䅁免癁䑁䅅睌硁䑁䅫兏㕁䅁䅁䅈䅁䉁䅉䅁硁䍁䄸免癁䑁䅉䅍睁䑁䅣䅁䕁䅁䅁杅䅁䑁䅅睌硁䍁䄸杍睁䑁䅅李䅁䅁䅉䅁十䅁䅁免癁䑁䅅睌祁䑁䅁杍睁䅁䅁䅋䅁䉁䅙䅁硁䑁䅉睌穁䑁䅅睌硁䑁䅫兏㍁䅁䅁杔䅁䉁䅉䅁穁䍁䄸杍癁䑁䅅兏㕁䑁䅧䅁呂䅁䅁权䅁䕁䅅兑兂䕁䅷䅁乂䅁䅁权䅁䕁䅅兔慂䕁䄴䅁䡂䅁䅁䅅䅁䕁䅅睕奂䑁䅯兔兂䑁䅅䅁㍁䅁䅁䅃䅁䕁䅅兖䕂䅁䅁䅏䅁䅁䅯䅁䍂䙁䅣䅔䕂䅁䅁睐䅁䅁䅯䅁䑂䕁䅅睕婂䅁䅁䅓䅁䅁䅧䅁䑂䕁䄰睒䅁䑁䄰䅁䭁䅁䅁睑偂䙁䅍䅖䅁䕁䅕䅁䭁䅁䅁睑啂䕁䅅睕䅁䙁䅑䅁佁䅁䅁睑婂䑁䅉䅍祁䑁䅕䅁婂䅁䅁杂䅁䕁䅑睒䅁䕁䅫䅁䭁䅁䅁兒剂䕁䅫䅗䅁䑁䅅䅁䥁䅁䅁杒婂䑁䅁䅁穁䅁䅁杄䅁䕁䅙兗祁䑁䅁杍ぁ䅁䅁睖䅁䅁䄴䅁䝂䙁䅫杍睁䑁䅉兎䅁䙁䅙䅁䵁䅁䅁睒偂䕁䄸睒䵂䅁䅁村䅁䅁䅙䅁䥂䕁䅑䅁䝂䅁䅁䅇䅁䕁䅫兕啂䑁䅑李硁䑁䅕李ㅁ䑁䅅睎䅁䙁䅉䅁歁䅁䅁兓剂䙁䄸睑䵂䕁䄸睕䙂䙁䅁杕䩂䕁䅍兒時䕁䅅䅒䭂䅁䅁兕䅁䍁䄴䅁䩂䙁䅅睘䑂䙁䅕杕卂䕁䅕杔䑂䙁䅫睘䝂䕁䅫杔䉂䕁䄴睑䩂䕁䅅䅔呂䅁䅁杍䅁䍁䅉䅁䩂䙁䅅睘䵂䕁䅅睕啂䙁䅍兑䵂䕁䅕䅕卂䕁䅫睑䙂䅁䅁允䅁䉁䄴䅁䩂䙁䅅睘兂䕁䅕睘䙂䙁䅧睑䵂䙁䄸杒塂䕁䅑䅁兂䅁䅁䅊䅁䕁䅫兕時䙁䅑兒坂䙁䄸兒䍂䕁䅫䅖䕂䕁䅅睘䝂䙁䅣䅒䅁䙁䅕䅁䭁䅁䅁兔䙂䙁䅑兑䅁䕁䅍䅁䭁䅁䅁兔呂䕁䅙䅖䅁䕁䅑䅁䝁䅁䅁杔䉂䅁䅁睁䅁䅁䅧䅁剂䙁䅍杕䅁䕁䅯䅁䥁䅁䅁䅖䕂䕁䅣䅁㕁䅁䅁䅅䅁䙁䅑睕䙂䑁䅯村婂䕁䅑䅁㡁䅁䅁䅅䅁䙁䅑睕䙂䑁䅯睑呂䙁䅕䅁㙁䅁䅁䅅䅁䙁䅑睕奂䑁䅯村婂䕁䅑䅁䅂䅁䅁䅅䅁䙁䅑睕奂䑁䅯睑呂䙁䅕䅁䉂䅁䅁䅃䅁䙁䅑睖䕂䅁䅁李䅁䉁䅑䅁啂䙁䅣睕䙂䑁䅯杍穁䑁䅍䅍䅁䑁䅕䅁䥁䅁䅁兖呂䕁䅑䅁ぁ䅁䅁䅃䅁䙁䅣兔啂䅁䅁材䅁䅁䅯䅁敂䙁䅍䅕奂䅁䅁睔䅁䍁䅉䅁灂䡁䅅睘獂䝁䅅督あ䡁䅍兙獂䝁䅕䅣祂䝁䅫睙求䅁䅁杂䅁䑁䄴䅁䵁䅉䅅䅁䙁䅁䅁睁湂䅁䅁权獁䅁䅁权䉁䅁䅁兂䅁䅁䅁余汔䅑䅕䅁䅁佁剁欵䉁䅁䅁允䅁䅁䅕楫摣偖䵫ぐ䵁䅉䅅䅁䙁䅁䅁睁湂䅁䅁权獁䅁䅁权䉁䅁䅁兂䅁䅁䅁䵧氳䅑䅕䅁䅁䅁㝄唵䉁䅁䅁允䅁䅁䅕䱳愯潚渱歐䵁䅉䅅䅁䙁䅁䅁睁湂䅁䅁权獁䅁䅁权䉁䅁䅁兂䅁䅁䅁䭑汶䅑䅕䅁䅁䭁㉃唵䉁䅁䅁允䅁䅁䅕䅉㝫㙱晦く䵁䅉䅅䅁䙁䅁䅁睁湂䅁䅁权獁䅁䅁权䉁䅁䅁兂䅁䅁䅁偁汶䅑䅕䅁䅁䅁㝄唵䉁䅁䅁允䅁䅁䅕䵱䱚㑎䉭歐䵁䅉䅅䅁䙁䅁䅁睁湂䅁䅁权獁䅁䅁权䉁䅁䅁权潁䅁䅁兂䅁䅁䅁䩧汔䅑䅅䅁䉁䅁䅁兂畂坡㍎䡐㥣䅑杷允䅁䅁䅕䅁䑁䝁䅣䅁䭁䍁䅷䅁䭁䅁䅅䅁䙁䅁䅁䅁䅁敩䅖兂䅁䅁䅁䥁汮䅑䅅䅁䉁䅁䅁兂啁歲桦癥㡑䅑杷允䅁䅁䅕䅁䑁䝁䅣䅁䭁䍁䅷䅁䭁䅁䅅䅁䙁䅁䅁䅁䅃敦䅖兂䅁䅁䅁䡧氳䅑䅅䅁䉁䅁䅁兂䍁㑋坣圲㤴䅑杷允䅁䅁䅕䅁䑁䝁䅣䅁䭁䍁䅷䅁䭁䅁䅅䅁䙁䅁䅁䅁杂伵䅖兂䅁䅁䅁佷氯䅑䅅䅁䉁䅁䅁兂牁㝏剧ㅇ⽧䅑杷允䅁䅁䅕䅁䑁䝁䅣䅁䭁䍁䅷䅁䭁䅁䅅䅁䙁䅁䅁䅁䅄畴䅖兂䅁䅁䅁佑汔䅑䅅䅁䉁䅁䅁兂扃栫敃敮㠰䅑杷允䅁䅁䅕䅁䑁䝁䅣䅁䭁䍁䅷䅁䭁䅁䅅䅁䙁䅁䅁䅁䅄⭮䅖兂䅁䅁䅁䩷氯䅑䅅䅁䉁䅁䅁兂㥁瑃橥䡣㠰䅑杷允䅁䅁䅕䅁䑁䝁䅣䅁䭁䍁䅷䅁䭁䅁䅅䅁䙁䅁䅁䅁杄伲䅖兂䅁䅁䅁䅙浢䅑䅅䅁䉁䅁䅁兂佁砸䩇㝋⭫䅑杷允䅁䅁䅕䅁䑁䝁䅣䅁䭁䍁䅷䅁䭁䅁䅅䅁䙁䅁䅁䅁杁⭱䅖兂䅁䅁䅁䭉汶䅑䅅䅁䉁䅁䅁兂㉃⼸唳佥㝫䅑杷允䅁䅁䅕䅁䑁䝁䅣䅁䭁䍁䅷䅁䭁䅁䅅䅁䙁䅁䅁䅁䅃⭃䅖兂䅁䅁䅁䅧汶䅑䅅䅁䉁䅁䅁兂剄瑉㕶煦㥯䅑杷允䅁䅁䅕䅁䑁䝁䅣䅁䭁䍁䅷䅁䭁䅁䅅䅁䙁䅁䅁䅁权敦䅖兂䅁䅁䅁䥁汮䅑䅅䅁䉁䅁䅁兂乂挵㑏ㅘ㥳䅑杷允䅁䅁䅕䅁䑁䝁䅣䅁䭁䍁䅷䅁䭁䅁䅅䅁䙁䅁䅁䅁䅂敏䅖兂䅁䅁䅁䝷汢䅑䅅䅁䉁䅁䅁兂兄䭶兔⭴⭧䅑杷允䅁䅁䅕䅁䑁䝁䅣䅁䭁䍁䅷䅁䭁䅁䅅䅁䙁䅁䅁䅁䅂畣䅖兂䅁䅁䅁䡧氳䅑䅅䅁䉁䅁䅁兂㙄橅潬⭊㥣䅑杷允䅁䅁䅕䅁䑁䝁䅣䅁䭁䍁䅷䅁䭁䅁䅅䅁䙁䅁䅁䅁䅄佋䅚兂䅁䅁䅁䍷浪䅑䅅䅁䉁䅁䅁兂䵁楁䡵癆⽫䅑杷允䅁䅁䅕䅁䑁䝁䅣䅁䭁䍁䅷䅁䭁䅁䅅䅁䙁䅁䅁䅁杄故䅚兂䅁䅁䅁䈴浈䅑䅅䅁䉁䅁䅁兂塄㍯㥁桃䅤䅑杷允䅁䅁䅕䅁䑁䝁䅣䅁䭁䍁䅷䅁䭁䅁䅅䅁䭁䍁䅧䅁䙁䅁䅁䅁杁畣䅖允䅁䅁䅅䅁䙁䉁瑐倵噷呉䄵䍄䉁䅁䅁兂䅁䅁䅍睚䅁䅁䅯䅌䅁䅁䅯允䅁䅁䅕䅁䅁佁晃唵䙁䅁䅁䅁杂敺䅖允䅁䅁䅅䅁䙁乁唹祑慄吷䅴䍄䉁䅁䅁兂䅁䅁䅍睚䅁䅁䅯䅌䅁䅁䅯允䅁䅁䅕䅁䅁䭁啃唵䙁䅁䅁䅁䅄⭮䅖允䅁䅁䅅䅁䙁䩁䱎䩰楙䑇䅸䍄䉁䅁䅁兂䅁䅁䅍睚䅁䅁䅯䅌䅁䅁䅯允䅁䅁䅕䅁䅁䍁䩃唵䙁䅁䅁䅁䅃佬䅖允䅁䅁䅅䅁䙁䝁睰獆歸䑦䅸䍄䉁䅁䅁兂䅁䅁䅍睚䅁䅁䅯䅌䅁䅁䅯允䅁䅁䅕䅁䅁䥁乄唵䙁䅁䅁䅁䅄伲䅖允䅁䅁䅅䅁䙁䉁汷楕汉橣䄱䍄䉁䅁䅁兂䅁䅁䅍睚䅁䅁䅯䅌䅁䅁䅯允䅁䅁䅕䅁䅁佁晃唵䙁䅁䅁䅁杁⭱䅖允䅁䅁䅅䅁䙁偁䄵橱〱启䅴䍄䉁䅁䅁兂䅁䅁䅍睚䅁䅁䅯䅌䅁䅁䅯允䅁䅁䅕䅁䅁䍁㝄唵䙁䅁䅁䅁杂畂䅚允䅁䅁䅅䅁䙁䝁晔䕓䑡呵䄵䍄䉁䅁䅁兂䅁䅁䅍睚䅁䅁䅯䅌䅁䅁䅯允䅁䅁䅕䅁䅁䵁㉃唵䙁䅁䅁䅁杁畷䅖允䅁䅁䅅䅁䙁䥁䰱䕅偶䐲䅴䍄䉁䅁䅁兂䅁䅁䅍睚䅁䅁䅯䅌䅁䅁䅯允䅁䅁䅕䅁䅁䝁乄唵䙁䅁䅁䅁杂敺䅖允䅁䅁䅅䅁䙁䉁䑋䵷桱呰䅸䍄䉁䅁䅁兂䅁䅁䅍睚䅁䅁䅯䅌䅁䅁䅯允䅁䅁䅕䅁䅁䕁䍄唵䙁䅁䅁䅁杂敺䅖允䅁䅁䅅䅁䙁䵁呐㉋婕橁䅸䍄䉁䅁䅁兂䅁䅁䅍睚䅁䅁䅯䅌䅁䅁䅯允䅁䅁䅕䅁䅁佁奄唵䙁䅁䅁䅁䅂伵䅖允䅁䅁䅅䅁䙁䍁㉤㝙㙭呚䄵䍄䉁䅁䅁兂䅁䅁䅍睚䅁䅁䅯䅌䅁䅁䅯允䅁䅁䅕䅁䅁佁癄唵䙁䅁䅁䅁䅁⬫䅖允䅁䅁䅅䅁䙁䭁呮婶洲穡䄵䍄䉁䅁䅁兂䅁䅁䅍睚䅁䅁䅯䅌䅁䅁䅯允䅁䅁䅕䅁䅁䅁敄䔵䙁䅁䅁䅁䅃⭃䅖允䅁䅁䅅䅁䙁䑁歂⽎歄橢䄵䍄䉁䅁䅁兂䅁䅁䅍睚䅁䅁䅯䅌䅁䅁䅯允䅁䅁䅕䅁䅁䭁啃唵䙁䅁䅁䅁杁畷䅖允䅁䅁䅅䅁䙁䕁偬刷䩰稸䅴䍄䉁䅁䅁兂䅁䅁䅍睚䅁䅁䅯䅌䅁䅁䅯允䅁䅁䅕䅁䅁䕁牃唵䙁䅁䅁䅁䅄伲䅖允䅁䅁䅅䅁䙁䑁䝚杍䙄橓䅸䍄䉁䅁䅁兂䅁䅁䅍睚䅁䅁䅯䅌䅁䅁䅯允䅁䅁䅕䅁䅁䥁摁欵䙁䅁䅁䅁䅄佋䅚允䅁䅁䅅䅁䙁䡁灖潢塯橤䄹䍄䉁䅁䅁兂䅁䅁䅍睚䅁䅁䅯䅌䅁䅁䅯允䅁䅁䅕䅁䅁䕁祂唵䙁䅁䅁䅁䅄⭮䅖允䅁䅁䅅䅁䙁䵁猱䑩剚樹䅸䍄䉁䅁䅁兂䅁䅁䅍睚䅁䅁䅯䅌䅁䅁䅯允䅁䅁䅕䅁䅁䍁㝄唵䙁䅁䅁䅁䅄佋䅚允䅁䅁䅅䅁䙁䍁䍯硫噂呢䄹䍄䉁䅁䅁兂䅁䅁䅍睚䅁䅁䅯䅌䅁䅁䅯允䅁䅁䅕䅁䅁䍁祂唵䙁䅁䅁䅁杁畣䅖允䅁䅁䅅䅁䙁䱁祂䩡瑈䑐䄵䍄䉁䅁䅁兂䅁䅁䅍睚䅁䅁䅯䅌䅁䅁䅯允䅁䅁䅕䅁䅁䭁㥂唵䙁䅁䅁䅁杁⭱䅖允䅁䅁䅅䅁䙁䥁偨啙㙫䑦䅸䍄䉁䅁䅁兂䅁䅁䅍睚䅁䅁䅯䅌䅁䅁䅯允䅁䅁䅕䅁䅁䥁䝁欵䙁䅁䅁䅁杄故䅚允䅁䅁䅅䅁䙁䥁别ㅂ㉅橳䄹䍄䉁䅁䅁兂䅁䅁䅍睚䅁䅁䅯䅌䅁䅁䅯允䅁䅁䅕䅁䅁䵁浂唵䙁䅁䅁䅁䅄畚䅖允䅁䅁䅅䅁䙁䅁塲㍯㥁樶䄱䍄䉁䅁䅁兂䅁䅁䅍睚䅁䅁䅯䅌䅁䅁䅯允䅁䅁䅕䅁䅁䅁十欵䙁䅁䅁䅁杂效䅚允䅁䅁䅅䅁䙁䍁㍇卤湋吰䄹䍄䉁䅁䅁兂䅁䅁䅍睚䅁䅁䅯䅌䅁䅁䅯允䅁䅁䅕䅁䅁佁潁欵䙁䅁䅁䅁杁低䅚允䅁䅁䅅䅁䙁䵁倴㙔穭が䅂䍄䉁䅁䅁兂䅁䅁䅍睚䅁䅁䅯䅌䅁䅁䅯允䅁䅁䅯杁䅁䅁䅕䅁䅁佁摄䔵䉁䅁䅁允䅁䅁䅕㜱猵扅楅䕑䵁䅉䅅䅁䙁䅁䅁睁湂䅁䅁权獁䅁䅁权䉁䅁䅁兂䅁䅁䅁伴氯䅑䅕䅁䅁䝁摁欵䉁䅁䅁允䅁䅁䅕煙穯䩓牷ぐ䵁䅉䅅䅁䙁䅁䅁睁湂䅁䅁权獁䅁䅁权䉁䅁䅁兂䅁䅁䅁佷氯䅑䅕䅁䅁䵁癄唵䉁䅁䅁允䅁䅁䅕㉦㡱䩤㑏歐䵁䅉䅅䅁䙁䅁䅁睁湂䅁䅁权獁䅁䅁权䉁䅁䅁兂䅁䅁䅁䅯汶䅑䅕䅁䅁䍁㕁唵䉁䅁䅁允䅁䅁䅕橡桯湺潣歐䵁䅉䅅䅁䙁䅁䅁睁湂䅁䅁权獁䅁䅁权䉁䅁䅁兂䅁䅁䅁䜴汢䅑䅕䅁䅁䥁啃唵䉁䅁䅁允䅁䅁䅕浢橬穤㍸啐䵁䅉䅅䅁䙁䅁䅁睁湂䅁䅁权獁䅁䅁权䉁䅁䅁兂䅁䅁䅁䵑汌䅑䅕䅁䅁䵁癄唵䉁䅁䅁允䅁䅁䅕甲㡌歧偦啐䵁䅉䅅䅁䙁䅁䅁睁湂䅁䅁权獁䅁䅁权䉁䅁䅁兂䅁䅁䅁䅧浢䅑䅕䅁䅁䍁ぁ欵䉁䅁䅁允䅁䅁䅕偢⽹穨坲ぐ䵁䅉䅅䅁䙁䅁䅁睁湂䅁䅁权獁䅁䅁权䉁䅁䅁兂䅁䅁䅁䉧洳䅑䅕䅁䅁䍁䱂欵䉁䅁䅁允䅁䅁䅕批眹卷䡷䕑䵁䅉䅅䅁䙁䅁䅁睁湂䅁䅁权獁䅁䅁权䉁䅁䅁兂䅁䅁䅁䥉汮䅑䅕䅁䅁䭁㉃唵䉁䅁䅁允䅁䅁䅕㝰氳㑨捑䕐䵁䅉䅅䅁䙁䅁䅁睁湂䅁䅁权獁䅁䅁权䉁䅁䅁兂䅁䅁䅁临欳䅑䅕䅁䅁佁摄䔵䉁䅁䅁允䅁䅁䅕硨婢発穣䕑䵁䅉䅅䅁䙁䅁䅁睁湂䅁䅁权獁䅁䅁权䉁䅁䅁兂䅁䅁䅁乷汪䅑䅕䅁䅁䵁奄唵䉁䅁䅁允䅁䅁䅕䵱䱚㑎䉮啐䵁䅉䅅䅁䙁䅁䅁睁湂䅁䅁权獁䅁䅁权䉁䅁䅁兂䅁䅁䅁䩧汔䅑䅕䅁䅁䥁啃唵䉁䅁䅁允䅁䅁䅕㑋坣挲場䕐䵁䅉䅅䅁䙁䅁䅁睁湂䅁䅁权獁䅁䅁权䉁䅁䅁兂䅁䅁䅁䵉汌䅑䅕䅁䅁䍁䍄唵䉁䅁䅁允䅁䅁䅕杓䍷㑋㉥く䵁䅉䅅䅁䙁䅁䅁睁湂䅁䅁权獁䅁䅁权䉁䅁䅁兂䅁䅁䅁䱯汢䅑䅕䅁䅁䭁㉃唵䉁䅁䅁允䅁䅁䅕杓䍷㑋坦く䵁䅉䅅䅁䙁䅁䅁睁湂䅁䅁权獁䅁䅁权䉁䅁䅁兂䅁䅁䅁佑汔䅑䅕䅁䅁䕁歄唵䉁䅁䅁允䅁䅁䅕䥒獴⼵䩶ぐ䵁䅉䅅䅁䙁䅁䅁睁湂䅁䅁权獁䅁䅁权䉁䅁䅁兂䅁䅁䅁䉙洳䅑䅕䅁䅁䝁摁欵䉁䅁䅁允䅁䅁䅕㥆佮ㄹ橏歐䵁䅉䅅䅁䙁䅁䅁睁湂䅁䅁权獁䅁䅁权䉁䅁䅁兂䅁䅁䅁䅙浢䅑䅕䅁䅁䝁䝁欵䉁䅁䅁允䅁䅁䅕兊䉡啬牍ぐ䵁䅉䅅䅁䙁䅁䅁睁湂䅁䅁权獁䅁䅁权䉁䅁䅁兂䅁䅁䅁䑉浔䅑䅕䅁䅁䍁ぁ欵䉁䅁䅁允䅁䅁䅕敫㠱穐⭕䕑䵁䅉䅅䅁䙁䅁䅁睁湂䅁䅁权獁䅁䅁权䉁䅁䅁兂䅁䅁䅁䑉汮䅑䅕䅁䅁䍁㕁唵䉁䅁䅁允䅁䅁䅕䥘䌯匹捩歐䵁䅉䅅䅁䙁䅁䅁睁湂䅁䅁权獁䅁䅁权䉁䅁䅁兂䅁䅁䅁䑧浮䅑䅕䅁䅁䥁㕁欵䉁䅁䅁允䅁䅁䅕䉯癯匳㉑䕑㵁</t>
  </si>
  <si>
    <t>IQ_FILING_CURRENCY</t>
  </si>
  <si>
    <t>IQ_FY0</t>
  </si>
  <si>
    <t>Cash ROIC</t>
  </si>
  <si>
    <t>Accumulated D&amp;A</t>
  </si>
  <si>
    <t>Adjusted Invested Capital</t>
  </si>
  <si>
    <t>Depreciation &amp; amortization expense - Cash flow</t>
  </si>
  <si>
    <t>Cash Return</t>
  </si>
  <si>
    <t>IQ_AD</t>
  </si>
  <si>
    <t>IQ_FQ0</t>
  </si>
  <si>
    <t>BYD-U_CA</t>
  </si>
  <si>
    <t>IQ_FY</t>
  </si>
  <si>
    <t>Depreciation &amp; amortization expense (D&amp;A)</t>
  </si>
  <si>
    <t>China Exposure</t>
  </si>
  <si>
    <t>% China</t>
  </si>
  <si>
    <t>Total Indirect China Exposure</t>
  </si>
  <si>
    <t>Indirect China Exposure - 7 Largest Customers</t>
  </si>
  <si>
    <t>Indirect China Exposure - Other Customers</t>
  </si>
  <si>
    <t>[A]</t>
  </si>
  <si>
    <t>[B]</t>
  </si>
  <si>
    <t>[C] = [A x B]</t>
  </si>
  <si>
    <t>LTM / LFY Sales (Local FX)</t>
  </si>
  <si>
    <t>Revenue based on customer location</t>
  </si>
  <si>
    <t>Revenue based on billing location of customer, which may be different than end customer or shipping location</t>
  </si>
  <si>
    <t>Revenue based on delivery location</t>
  </si>
  <si>
    <t>"...in line with most of the U.S. companies roughly -- slightly 40%-plus" - 3Q22 Earnings Call (10/28/22)</t>
  </si>
  <si>
    <t>CRC estimate</t>
  </si>
  <si>
    <t>Based on customer HQ location</t>
  </si>
  <si>
    <t>"...20% to 25% of our revenue… That's not all indigenous. Some...is coming back outside of China." - GS Conf. (Sep '23)</t>
  </si>
  <si>
    <r>
      <t>Direct China Exposure</t>
    </r>
    <r>
      <rPr>
        <vertAlign val="superscript"/>
        <sz val="8"/>
        <color theme="1"/>
        <rFont val="Arial"/>
        <family val="2"/>
      </rPr>
      <t>2</t>
    </r>
  </si>
  <si>
    <t>China
Exposure
(% of TSMC Rev)</t>
  </si>
  <si>
    <r>
      <t>Customer
Exposure
(% of TSMC Rev)</t>
    </r>
    <r>
      <rPr>
        <b/>
        <u val="singleAccounting"/>
        <vertAlign val="superscript"/>
        <sz val="8"/>
        <color theme="1"/>
        <rFont val="Arial"/>
        <family val="2"/>
      </rPr>
      <t>1</t>
    </r>
  </si>
  <si>
    <t>(1) Based on MS / BOFA FY23 estimates and company disclosures.</t>
  </si>
  <si>
    <t>Total China Exposure (~LTM)</t>
  </si>
  <si>
    <t>(2) Based on reported LTM revenue by geography. Direct China sales represented 16% of total sales in the most recent quarter.</t>
  </si>
  <si>
    <t>Total Opex</t>
  </si>
  <si>
    <t>Q/Q % Change (USD)</t>
  </si>
  <si>
    <t>Capital expenditure</t>
  </si>
  <si>
    <t>Total Wafer Revenue</t>
  </si>
  <si>
    <t>Revenue by Type</t>
  </si>
  <si>
    <t>Wafer Revenue</t>
  </si>
  <si>
    <t>Other Revenue</t>
  </si>
  <si>
    <t>Net Wafer Revenue Per Wafer Shipment (USD)</t>
  </si>
  <si>
    <t>Net Revenue Per Wafer Shipment (USD)</t>
  </si>
  <si>
    <r>
      <rPr>
        <sz val="8"/>
        <color theme="1"/>
        <rFont val="Arial"/>
        <family val="2"/>
      </rPr>
      <t>≥</t>
    </r>
    <r>
      <rPr>
        <sz val="8"/>
        <color theme="1"/>
        <rFont val="Arial"/>
        <family val="2"/>
      </rPr>
      <t>0.25um</t>
    </r>
  </si>
  <si>
    <t>USDTWD, Average</t>
  </si>
  <si>
    <t>USDTWD, EOP</t>
  </si>
  <si>
    <t>Note(s)</t>
  </si>
  <si>
    <t>Current</t>
  </si>
  <si>
    <t>ROIC % (NOPAT / IC)</t>
  </si>
  <si>
    <t>"Capitalization / Valutation" and "Share Px Performance" are as of year-end, except for share prices and index levels in FY24, FY25, and FY26; S&amp;P 500 NTM P / E in FY24e, FY25e, and FY26e represents a P / E based forward calendar year estimates</t>
  </si>
  <si>
    <t>5-Year Trailing Average ROIC %</t>
  </si>
  <si>
    <t>B (High)</t>
  </si>
  <si>
    <t>Y/Y % Change, Organic, cFX</t>
  </si>
  <si>
    <t>UklDRS4xMi8zMS8yMDAyAQAAAKvMBQACAAAACTMxLjQ5Mjk4NwAfiY9N9pbdCJvzCk72lt0IKUNJUS5UV1NFOjIzMzAuSVFfTEFTVFNBTEVQUklDRS4xMi8zMS8yMDAzAQAAAKvMBQACAAAACTUwLjY5OTI3MgAfiY9N9pbdCFVAC072lt0IKUNJUS5UV1NFOjIzMzAuSVFfTEFTVFNBTEVQUklDRS4xMi8zMS8yMDA0AQAAAKvMBQACAAAACTQ1Ljk5OTYzMgAfiY9N9pbdCICOC072lt0IKUNJUS5UV1NFOjIzMzAuSVFfTEFTVFNBTEVQUklDRS4xMi8zMS8yMDA1AQAAAKvMBQACAAAACTU5Ljc3NjU4MgAfiY9N9pbdCDG1C072lt0IKUNJUS5UV1NFOjIzMzAuSVFfTEFTVFNBTEVQUklDRS4xMi8zMS8yMDA2AQAAAKvMBQACAAAACTY2LjQ5NDgxNQAfiY9N9pbdCF7dC072lt0IKUNJUS5UV1NFOjIzMzAuSVFfTEFTVFNBTEVQUklDRS4xMi8zMS8yMDA3AQAAAKvMBQACAAAACTYxLjM4MjA1MQAfiY9N9pbdCBoqDE72lt0IKUNJUS5UV1NFOjIzMzAuSVFfTEFTVFNBTEVQUklDRS4xMi8zMS8yMDA4AQAAAKvMBQACAAAACTQ0LjE3OTEwNAAfiY9N9pbdCClSDE72lt0IKUNJUS5UV1NFOjIzMzAuSVFfTEFTVFNBTEVQUklDRS4xMi8zMS8yMDA5AQAAAKvMBQACAAAABDY0LjUAH4mPTfaW3QgdeQxO9pbdCClDSVEuVFdTRToyMzMwLklRX0xBU1RTQUxFUFJJQ0UuMTIvMzEvMjAxMAEAAACrzAUAAgAAAAI3MQAfiY9N9pbd</t>
  </si>
  <si>
    <t>COrFDE72lt0IKUNJUS5UV1NFOjIzMzAuSVFfTEFTVFNBTEVQUklDRS4xMi8zMS8yMDExAQAAAKvMBQACAAAABDc1LjgAH4mPTfaW3Qjh7AxO9pbdCClDSVEuVFdTRToyMzMwLklRX0xBU1RTQUxFUFJJQ0UuMTIvMzEvMjAxMgEAAACrzAUAAgAAAAI5NwAfiY9N9pbdCNMTDU72lt0IKUNJUS5UV1NFOjIzMzAuSVFfTEFTVFNBTEVQUklDRS4xMi8zMS8yMDEzAQAAAKvMBQACAAAABTEwNS41AB+Jj032lt0IzDoNTvaW3QgpQ0lRLlRXU0U6MjMzMC5JUV9MQVNUU0FMRVBSSUNFLjEyLzMxLzIwMTQBAAAAq8wFAAIAAAADMTQxAB+Jj032lt0IR2INTvaW3QgpQ0lRLlRXU0U6MjMzMC5JUV9MQVNUU0FMRVBSSUNFLjEyLzMxLzIwMTUBAAAAq8wFAAIAAAADMTQzAB+Jj032lt0IR2INTvaW3QgpQ0lRLlRXU0U6MjMzMC5JUV9MQVNUU0FMRVBSSUNFLjEyLzMxLzIwMTYBAAAAq8wFAAIAAAAFMTgxLjUAH4mPTfaW3QjniQ1O9pbdCClDSVEuVFdTRToyMzMwLklRX0xBU1RTQUxFUFJJQ0UuMTIvMzEvMjAxNwEAAACrzAUAAgAAAAUyMjkuNQAfiY9N9pbdCLqwDU72lt0IKUNJUS5UV1NFOjIzMzAuSVFfTEFTVFNBTEVQUklDRS4xMi8zMS8yMDE4AQAAAKvMBQACAAAABTIyNS41AB+Jj032lt0IT9cNTvaW3QgpQ0lRLlRXU0U6MjMzMC5JUV9MQVNUU0FMRVBSSUNFLjEyLzMxLzIwMTkBAAAAq8wFAAIAAAADMzMxAB+Jj032</t>
  </si>
  <si>
    <t>lt0IT9cNTvaW3QgpQ0lRLlRXU0U6MjMzMC5JUV9MQVNUU0FMRVBSSUNFLjEyLzMxLzIwMjABAAAAq8wFAAIAAAADNTMwAB+Jj032lt0I2/4NTvaW3QgpQ0lRLlRXU0U6MjMzMC5JUV9MQVNUU0FMRVBSSUNFLjEyLzMxLzIwMjEBAAAAq8wFAAIAAAADNjE1AB+Jj032lt0ITiUOTvaW3QgpQ0lRLlRXU0U6MjMzMC5JUV9MQVNUU0FMRVBSSUNFLjEyLzMxLzIwMjIBAAAAq8wFAAIAAAAFNDQ4LjUAH4mPTfaW3Qh9Sw5O9pbdCClDSVEuVFdTRToyMzMwLklRX0xBU1RTQUxFUFJJQ0UuMTIvMzEvMjAyMwEAAACrzAUAAgAAAAM1OTMAH4mPTfaW3Qh9Sw5O9pbdCClDSVEuVFdTRToyMzMwLklRX0xBU1RTQUxFUFJJQ0UuMTIvMzEvMjAyNAEAAACrzAUAAgAAAAQxMDc1AB+Jj032lt0Ic3MOTvaW3QgpQ0lRLlRXU0U6MjMzMC5JUV9MQVNUU0FMRVBSSUNFLjEyLzMxLzIwMjUBAAAAq8wFAAIAAAADOTg0AB+Jj032lt0IwpkOTvaW3QgpQ0lRLlRXU0U6MjMzMC5JUV9MQVNUU0FMRVBSSUNFLjEyLzMxLzIwMjYBAAAAq8wFAAIAAAADOTg0AB+Jj032lt0IwpkOTvaW3QgqQ0lRLlRXU0U6MjMzMC5JUV9DTE9TRVBSSUNFX0FESi4xMi8zMS8xOTk3AQAAAKvMBQACAAAACTExLjQ5MTg3MwAfiY9N9pbdCERrAk72lt0IKkNJUS5UV1NFOjIzMzAuSVFfQ0xPU0VQUklDRV9BREouMTIvMzEvMTk5OAEAAACrzAUAAgAAAAkxMC41</t>
  </si>
  <si>
    <t>NjMyODcAH4mPTfaW3QhJVwpO9pbdCCpDSVEuVFdTRToyMzMwLklRX0NMT1NFUFJJQ0VfQURKLjEyLzMxLzE5OTkBAAAAq8wFAAIAAAAJMzAuNTYwNjM2AB+Jj032lt0ISVcKTvaW3QgqQ0lRLlRXU0U6MjMzMC5JUV9DTE9TRVBSSUNFX0FESi4xMi8zMS8yMDAwAQAAAKvMBQACAAAACTE4LjYyMTg1OAAfiY9N9pbdCI6lCk72lt0IKkNJUS5UV1NFOjIzMzAuSVFfQ0xPU0VQUklDRV9BREouMTIvMzEvMjAwMQEAAACrzAUAAgAAAAkyOC42OTQwNTgAH4mPTfaW3QhyywpO9pbdCCpDSVEuVFdTRToyMzMwLklRX0NMT1NFUFJJQ0VfQURKLjEyLzMxLzIwMDIBAAAAq8wFAAIAAAAJMTUuMzY2ODk4AB+Jj032lt0IfBoLTvaW3QgqQ0lRLlRXU0U6MjMzMC5JUV9DTE9TRVBSSUNFX0FESi4xMi8zMS8yMDAzAQAAAKvMBQACAAAACTI0LjczODU0MQAfiY9N9pbdCFVAC072lt0IKkNJUS5UV1NFOjIzMzAuSVFfQ0xPU0VQUklDRV9BREouMTIvMzEvMjAwNAEAAACrzAUAAgAAAAkyMi43MTY5MzYAH4mPTfaW3QiAjgtO9pbdCCpDSVEuVFdTRToyMzMwLklRX0NMT1NFUFJJQ0VfQURKLjEyLzMxLzIwMDUBAAAAq8wFAAIAAAAIMzAuNTczMDEAH4mPTfaW3QgxtQtO9pbdCCpDSVEuVFdTRToyMzMwLklRX0NMT1NFUFJJQ0VfQURKLjEyLzMxLzIwMDYBAAAAq8wFAAIAAAAJMzUuNTAyNzY4AB+Jj032lt0IXt0LTvaW3QgqQ0lR</t>
  </si>
  <si>
    <t>LlRXU0U6MjMzMC5JUV9DTE9TRVBSSUNFX0FESi4xMi8zMS8yMDA3AQAAAKvMBQACAAAACTM0LjI2MjM5MwAfiY9N9pbdCBoqDE72lt0IKkNJUS5UV1NFOjIzMzAuSVFfQ0xPU0VQUklDRV9BREouMTIvMzEvMjAwOAEAAACrzAUAAgAAAAkyNi4wMjY5MDMAH4mPTfaW3QgpUgxO9pbdCCpDSVEuVFdTRToyMzMwLklRX0NMT1NFUFJJQ0VfQURKLjEyLzMxLzIwMDkBAAAAq8wFAAIAAAAJNDAuMTU3MzE2AB+Jj032lt0ID6AMTvaW3QgqQ0lRLlRXU0U6MjMzMC5JUV9DTE9TRVBSSUNFX0FESi4xMi8zMS8yMDEwAQAAAKvMBQACAAAACTQ2LjQ3NDcyNwAfiY9N9pbdCOrFDE72lt0IKkNJUS5UV1NFOjIzMzAuSVFfQ0xPU0VQUklDRV9BREouMTIvMzEvMjAxMQEAAACrzAUAAgAAAAk1MS43NTgwNDQAH4mPTfaW3Qjh7AxO9pbdCCpDSVEuVFdTRToyMzMwLklRX0NMT1NFUFJJQ0VfQURKLjEyLzMxLzIwMTIBAAAAq8wFAAIAAAAJNjguNjgwNTM1AB+Jj032lt0I0xMNTvaW3QgqQ0lRLlRXU0U6MjMzMC5JUV9DTE9TRVBSSUNFX0FESi4xMi8zMS8yMDEzAQAAAKvMBQACAAAACTc2Ljc5Mjk3MwAfiY9N9pbdCMw6DU72lt0IKkNJUS5UV1NFOjIzMzAuSVFfQ0xPU0VQUklDRV9BREouMTIvMzEvMjAxNAEAAACrzAUAAgAAAAoxMDQuOTM5NTU5AB+Jj032lt0IR2INTvaW3QgqQ0lRLlRXU0U6MjMzMC5JUV9DTE9TRVBSSUNF</t>
  </si>
  <si>
    <t>X0FESi4xMi8zMS8yMDE1AQAAAKvMBQACAAAACjEwOS44MTI2MDUAH4mPTfaW3QjniQ1O9pbdCCpDSVEuVFdTRToyMzMwLklRX0NMT1NFUFJJQ0VfQURKLjEyLzMxLzIwMTYBAAAAq8wFAAIAAAAKMTQ0Ljg0MzMyMwAfiY9N9pbdCOeJDU72lt0IKkNJUS5UV1NFOjIzMzAuSVFfQ0xPU0VQUklDRV9BREouMTIvMzEvMjAxNwEAAACrzAUAAgAAAAoxODkuMjUzOTYxAB+Jj032lt0IurANTvaW3QgqQ0lRLlRXU0U6MjMzMC5JUV9DTE9TRVBSSUNFX0FESi4xMi8zMS8yMDE4AQAAAKvMBQACAAAACjE5Mi43MzI4MzYAH4mPTfaW3QhP1w1O9pbdCCpDSVEuVFdTRToyMzMwLklRX0NMT1NFUFJJQ0VfQURKLjEyLzMxLzIwMTkBAAAAq8wFAAIAAAAKMjk2LjY3MjI4NgAfiY9N9pbdCNv+DU72lt0IKkNJUS5UV1NFOjIzMzAuSVFfQ0xPU0VQUklDRV9BREouMTIvMzEvMjAyMAEAAACrzAUAAgAAAAo0ODguNTIyMjc0AB+Jj032lt0I2/4NTvaW3QgqQ0lRLlRXU0U6MjMzMC5JUV9DTE9TRVBSSUNFX0FESi4xMi8zMS8yMDIxAQAAAKvMBQACAAAACjU3Ni43OTgxNjUAH4mPTfaW3QhOJQ5O9pbdCCpDSVEuVFdTRToyMzMwLklRX0NMT1NFUFJJQ0VfQURKLjEyLzMxLzIwMjIBAAAAq8wFAAIAAAAKNDI5LjkyOTgyNwAfiY9N9pbdCH1LDk72lt0IKkNJUS5UV1NFOjIzMzAuSVFfQ0xPU0VQUklDRV9BREouMTIvMzEvMjAyMwEA</t>
  </si>
  <si>
    <t>AACrzAUAAgAAAAo1ODAuNDE4MDk2AB+Jj032lt0IfUsOTvaW3QgqQ0lRLlRXU0U6MjMzMC5JUV9DTE9TRVBSSUNFX0FESi4xMi8zMS8yMDI0AQAAAKvMBQACAAAACzEwNzAuMDE4MDAxAB+Jj032lt0Ic3MOTvaW3QgqQ0lRLlRXU0U6MjMzMC5JUV9DTE9TRVBSSUNFX0FESi4xMi8zMS8yMDI1AQAAAKvMBQACAAAAAzk4NAAfiY9N9pbdCMKZDk72lt0IKkNJUS5UV1NFOjIzMzAuSVFfQ0xPU0VQUklDRV9BREouMTIvMzEvMjAyNgEAAACrzAUAAgAAAAM5ODQAH4mPTfaW3QjCmQ5O9pbdCCtDSVEuSVFUNDYxNTY1MTcuSVFfTEFTVFNBTEVQUklDRS4xMi8zMS8xOTk3AQAAAJu4KAACAAAAEDEyOTguODIxMzU4NTMyODkAH4mPTfaW3QhS9gFO9pbdCCtDSVEuSVFUNDYxNTY1MTcuSVFfTEFTVFNBTEVQUklDRS4xMi8zMS8xOTk4AQAAAJu4KAACAAAAEDE2NzAuMDA1NTYxMTQ3MDkAH4mPTfaW3QhJVwpO9pbdCCtDSVEuSVFUNDYxNTY1MTcuSVFfTEFTVFNBTEVQUklDRS4xMi8zMS8xOTk5AQAAAJu4KAACAAAAEDIwMjEuNDAwNTU4NTA2NTMAH4mPTfaW3QhJVwpO9pbdCCtDSVEuSVFUNDYxNTY1MTcuSVFfTEFTVFNBTEVQUklDRS4xMi8zMS8yMDAwAQAAAJu4KAACAAAAEDE4MzcuMzY0NzA1NzA4OTQAH4mPTfaW3QiOpQpO9pbdCCtDSVEuSVFUNDYxNTY1MTcuSVFfTEFTVFNBTEVQUklDRS4xMi8zMS8yMDAxAQAA</t>
  </si>
  <si>
    <t>AJu4KAACAAAAEDE2MTguOTc4ODQwNjAyNjcAH4mPTfaW3QhyywpO9pbdCCtDSVEuSVFUNDYxNTY1MTcuSVFfTEFTVFNBTEVQUklDRS4xMi8zMS8yMDAyAQAAAJu4KAACAAAAEDEyNjEuMTc2MjcwODE1MDcAH4mPTfaW3Qh8GgtO9pbdCCtDSVEuSVFUNDYxNTY1MTcuSVFfTEFTVFNBTEVQUklDRS4xMi8zMS8yMDAzAQAAAJu4KAACAAAAEDE2MjIuOTM4NjM4Mzg2MDEAH4mPTfaW3QhVQAtO9pbdCCtDSVEuSVFUNDYxNTY1MTcuSVFfTEFTVFNBTEVQUklDRS4xMi8zMS8yMDA0AQAAAJu4KAACAAAAEDE3OTkuNTQ3NzMxNTY2MzUAH4mPTfaW3QiAjgtO9pbdCCtDSVEuSVFUNDYxNTY1MTcuSVFfTEFTVFNBTEVQUklDRS4xMi8zMS8yMDA1AQAAAJu4KAACAAAAEDE4ODcuOTQwOTA4NjIzNDUAH4mPTfaW3QgxtQtO9pbdCCtDSVEuSVFUNDYxNTY1MTcuSVFfTEFTVFNBTEVQUklDRS4xMi8zMS8yMDA2AQAAAJu4KAACAAAAEDIxODYuMTI3NDIxMzQxNDQAH4mPTfaW3QhIBAxO9pbdCCtDSVEuSVFUNDYxNTY1MTcuSVFfTEFTVFNBTEVQUklDRS4xMi8zMS8yMDA3AQAAAJu4KAACAAAAEDIzMDYuMjMyNDk3MzU1NTYAH4mPTfaW3QgaKgxO9pbdCCtDSVEuSVFUNDYxNTY1MTcuSVFfTEFTVFNBTEVQUklDRS4xMi8zMS8yMDA4AQAAAJu4KAACAAAAEDE0NTIuOTc2NDczMTQ4OTkAH4mPTfaW3QgpUgxO9pbdCCtDSVEuSVFU</t>
  </si>
  <si>
    <t>NDYxNTY1MTcuSVFfTEFTVFNBTEVQUklDRS4xMi8zMS8yMDA5AQAAAJu4KAACAAAAEDE4MzcuNDk5MzAxNjI5ODkAH4mPTfaW3QgPoAxO9pbdCCtDSVEuSVFUNDYxNTY1MTcuSVFfTEFTVFNBTEVQUklDRS4xMi8zMS8yMDEwAQAAAJu4KAACAAAAEDIxMTQuMjg4NTE5MjA0ODUAH4mPTfaW3QjqxQxO9pbdCCtDSVEuSVFUNDYxNTY1MTcuSVFfTEFTVFNBTEVQUklDRS4xMi8zMS8yMDExAQAAAJu4KAACAAAAEDIxNTguOTM3NjMyOTg0ODgAH4mPTfaW3Qjh7AxO9pbdCCtDSVEuSVFUNDYxNTY1MTcuSVFfTEFTVFNBTEVQUklDRS4xMi8zMS8yMDEyAQAAAJu4KAACAAAADzI1MDQuNDQyOTk5NTE1MwAfiY9N9pbdCNMTDU72lt0IK0NJUS5JUVQ0NjE1NjUxNy5JUV9MQVNUU0FMRVBSSUNFLjEyLzMxLzIwMTMBAAAAm7goAAIAAAAQMzMxNS41ODUyOTIwMzg5OAAfiY9N9pbdCMw6DU72lt0IK0NJUS5JUVQ0NjE1NjUxNy5JUV9MQVNUU0FMRVBSSUNFLjEyLzMxLzIwMTQBAAAAm7goAAIAAAAQMzc2OS40NDAyMzkyNDg5NgAfiY9N9pbdCEdiDU72lt0IK0NJUS5JUVQ0NjE1NjUxNy5JUV9MQVNUU0FMRVBSSUNFLjEyLzMxLzIwMTUBAAAAm7goAAIAAAAQMzgyMS42MDI5OTQ4NzAyOAAfiY9N9pbdCOeJDU72lt0IK0NJUS5JUVQ0NjE1NjUxNy5JUV9MQVNUU0FMRVBSSUNFLjEyLzMxLzIwMTYBAAAAm7goAAIAAAAQNDI3</t>
  </si>
  <si>
    <t>OC42NjM3MzcyMzQ4NgAfiY9N9pbdCOeJDU72lt0IK0NJUS5JUVQ0NjE1NjUxNy5JUV9MQVNUU0FMRVBSSUNFLjEyLzMxLzIwMTcBAAAAm7goAAIAAAAQNTIxMi43NjI5NzA2NTE5NAAfiY9N9pbdCLqwDU72lt0IK0NJUS5JUVQ0NjE1NjUxNy5JUV9MQVNUU0FMRVBSSUNFLjEyLzMxLzIwMTgBAAAAm7goAAIAAAAQNDk4NC4yMTcyMzIyODU1MQAfiY9N9pbdCE/XDU72lt0IK0NJUS5JUVQ0NjE1NjUxNy5JUV9MQVNUU0FMRVBSSUNFLjEyLzMxLzIwMTkBAAAAm7goAAIAAAAQNjU1My41Njg4MTM1NTYzNgAfiY9N9pbdCNv+DU72lt0IK0NJUS5JUVQ0NjE1NjUxNy5JUV9MQVNUU0FMRVBSSUNFLjEyLzMxLzIwMjABAAAAm7goAAIAAAAQNzc1OS4zNDU0Njk4NDY2NQAfiY9N9pbdCNv+DU72lt0IK0NJUS5JUVQ0NjE1NjUxNy5JUV9MQVNUU0FMRVBSSUNFLjEyLzMxLzIwMjEBAAAAm7goAAIAAAAQOTk4Ni42OTc5MzE5NzYzNwAfiY9N9pbdCE4lDk72lt0IK0NJUS5JUVQ0NjE1NjUxNy5JUV9MQVNUU0FMRVBSSUNFLjEyLzMxLzIwMjIBAAAAm7goAAIAAAAQODE3OC4wMjA1MzQ3MjY0NwAfiY9N9pbdCH1LDk72lt0IK0NJUS5JUVQ0NjE1NjUxNy5JUV9MQVNUU0FMRVBSSUNFLjEyLzMxLzIwMjMBAAAAm7goAAIAAAAQMTAzMjcuODI4MTEwNDA4NwAfiY9N9pbdCHNzDk72lt0IK0NJUS5JUVQ0NjE1NjUxNy5JUV9M</t>
  </si>
  <si>
    <t>QVNUU0FMRVBSSUNFLjEyLzMxLzIwMjQBAAAAm7goAAIAAAAQMTI5MTEuODIxODMzMTk4NgAfiY9N9pbdCHNzDk72lt0IK0NJUS5JUVQ0NjE1NjUxNy5JUV9MQVNUU0FMRVBSSUNFLjEyLzMxLzIwMjUBAAAAm7goAAIAAAAIMTMxNTkuMzEAH4mPTfaW3QjCmQ5O9pbdCCtDSVEuSVFUNDYxNTY1MTcuSVFfTEFTVFNBTEVQUklDRS4xMi8zMS8yMDI2AQAAAJu4KAACAAAACDEzMTU5LjMxAB+Jj032lt0I/MEOTvaW3QgnQ0lRLl5TUFguSVFfUEVfRVhDTF9GV0QuNjAwMC4xMi8zMS8yMDA0BQAAAAAAAAAIAAAAEyhDYXBhYmlsaXR5IE5lZWRlZCkfiY9N9pbdCICOC072lt0IJ0NJUS5eU1BYLklRX1BFX0VYQ0xfRldELjYwMDAuMTIvMzEvMjAwNQEAAACbuCgAAgAAAAkxNC45MzU0MTEAH4mPTfaW3QgxtQtO9pbdCCdDSVEuXlNQWC5JUV9QRV9FWENMX0ZXRC42MDAwLjEyLzMxLzIwMDYBAAAAm7goAAIAAAAIMTUuMzcyNTMAH4mPTfaW3Qhe3QtO9pbdCCdDSVEuXlNQWC5JUV9QRV9FWENMX0ZXRC42MDAwLjEyLzMxLzIwMDcBAAAAm7goAAIAAAAJMTUuMjY1NjIxAB+Jj032lt0IGioMTvaW3QgnQ0lRLl5TUFguSVFfUEVfRVhDTF9GV0QuNjAwMC4xMi8zMS8yMDA4AQAAAJu4KAACAAAACTEyLjU0NDIzNwAfiY9N9pbdCClSDE72lt0IJ0NJUS5eU1BYLklRX1BFX0VYQ0xfRldELjYwMDAuMTIvMzEvMjAwOQEAAACb</t>
  </si>
  <si>
    <t>uCgAAgAAAAcxNS4zNDg2AB+Jj032lt0IHXkMTvaW3QgnQ0lRLl5TUFguSVFfUEVfRVhDTF9GV0QuNjAwMC4xMi8zMS8yMDEwAQAAAJu4KAACAAAACDEzLjY2NTE3AB+Jj032lt0I6sUMTvaW3QgnQ0lRLl5TUFguSVFfUEVfRVhDTF9GV0QuNjAwMC4xMi8zMS8yMDExAQAAAJu4KAACAAAACTEyLjE5OTgyOAAfiY9N9pbdCOHsDE72lt0IJ0NJUS5eU1BYLklRX1BFX0VYQ0xfRldELjYwMDAuMTIvMzEvMjAxMgEAAACbuCgAAgAAAAkxMy4xNTYzMTcAH4mPTfaW3QjTEw1O9pbdCCdDSVEuXlNQWC5JUV9QRV9FWENMX0ZXRC42MDAwLjEyLzMxLzIwMTMBAAAAm7goAAIAAAAJMTUuOTM5ODkzAB+Jj032lt0IzDoNTvaW3QgnQ0lRLl5TUFguSVFfUEVfRVhDTF9GV0QuNjAwMC4xMi8zMS8yMDE0AQAAAJu4KAACAAAACDE2LjkxNTU1AB+Jj032lt0IR2INTvaW3QgnQ0lRLl5TUFguSVFfUEVfRVhDTF9GV0QuNjAwMC4xMi8zMS8yMDE1AQAAAJu4KAACAAAACTE2Ljg1MDIwNQAfiY9N9pbdCEdiDU72lt0IJ0NJUS5eU1BYLklRX1BFX0VYQ0xfRldELjYwMDAuMTIvMzEvMjAxNgEAAACbuCgAAgAAAAkxNy42NjM1NTcAGrCPTfaW3QjniQ1O9pbdCCdDSVEuXlNQWC5JUV9QRV9FWENMX0ZXRC42MDAwLjEyLzMxLzIwMTcBAAAAm7goAAIAAAAIMTguOTA4NTEAGrCPTfaW3Qi6sA1O9pbdCCdDSVEuXlNQWC5JUV9QRV9FWENM</t>
  </si>
  <si>
    <t>X0ZXRC42MDAwLjEyLzMxLzIwMTgBAAAAm7goAAIAAAAJMTQuODc3MTQ4ABqwj032lt0IT9cNTvaW3QgnQ0lRLl5TUFguSVFfUEVfRVhDTF9GV0QuNjAwMC4xMi8zMS8yMDE5AQAAAJu4KAACAAAACTE4Ljk3NDM2NAAasI9N9pbdCE/XDU72lt0IJ0NJUS5eU1BYLklRX1BFX0VYQ0xfRldELjYwMDAuMTIvMzEvMjAyMAEAAACbuCgAAgAAAAkyMy44NDMxNzYAGrCPTfaW3Qjb/g1O9pbdCCdDSVEuXlNQWC5JUV9QRV9FWENMX0ZXRC42MDAwLjEyLzMxLzIwMjEBAAAAm7goAAIAAAAJMjIuMzI0ODk4ABqwj032lt0ITiUOTvaW3QgnQ0lRLl5TUFguSVFfUEVfRVhDTF9GV0QuNjAwMC4xMi8zMS8yMDIyAQAAAJu4KAACAAAACTE3LjM3MDgxNwAasI9N9pbdCH1LDk72lt0IJ0NJUS5eU1BYLklRX1BFX0VYQ0xfRldELjYwMDAuMTIvMzEvMjAyMwEAAACbuCgAAgAAAAkyMC41MzM0NzkAGrCPTfaW3Qh9Sw5O9pbdCCdDSVEuXlNQWC5JUV9QRV9FWENMX0ZXRC42MDAwLjEyLzMxLzIwMjQBAAAAm7goAAIAAAAJMjIuNjAzNzUzABqwj032lt0Ic3MOTvaW3QgpQ0lRLl5TUFguSVFfUEVfRVhDTF9GV0QuQ1kyMDI2LjEyLzMxLzIwMjUBAAAAm7goAAIAAAAJMjAuMDQ5NTYyABqwj032lt0IwpkOTvaW3QgpQ0lRLl5TUFguSVFfUEVfRVhDTF9GV0QuQ1kyMDI3LjEyLzMxLzIwMjYBAAAAm7goAAIAAAAJMTcuNzE5NjQ2ABqw</t>
  </si>
  <si>
    <t>j032lt0IwpkOTvaW3QgnQ0lRLlRXU0U6MjMzMC5JUV9GSUxJTkdfQ1VSUkVOQ1kuSVFfRlkwAQAAAKvMBQADAAAAA1RXRAAasI9N9pbdCDZJAU72lt0II0NJUS5HT09HTC5JUV9GSUxJTkdfQ1VSUkVOQ1kuSVFfRlkwAQAAAKhxAAADAAAAA1VTRAAasI9N9pbdCDNwAU72lt0IIkNJUS5NRVRBLklRX0ZJTElOR19DVVJSRU5DWS5JUV9GWTABAAAAF9s8AQMAAAADVVNEABqwj032lt0IM3ABTvaW3QgiQ0lRLk1TRlQuSVFfRklMSU5HX0NVUlJFTkNZLklRX0ZZMAEAAABLVQAAAwAAAANVU0QAGrCPTfaW3Qg0gAFO9pbdCCJDSVEuQU1aTi5JUV9GSUxJTkdfQ1VSUkVOQ1kuSVFfRlkwAQAAAD1JAAADAAAAA1VTRAAasI9N9pbdCDkiAU72lt0IIkNJUS5DT1NULklRX0ZJTElOR19DVVJSRU5DWS5JUV9GWTABAAAAkWoBAAMAAAADVVNEABqwj032lt0INkkBTvaW3QggQ0lRLkhELklRX0ZJTElOR19DVVJSRU5DWS5JUV9GWTABAAAAl0AEAAMAAAADVVNEABqwj032lt0INkkBTvaW3QghQ0lRLkNNRy5JUV9GSUxJTkdfQ1VSUkVOQ1kuSVFfRlkwAQAAAE5nAAADAAAAA1VTRAAasI9N9pbdCDZJAU72lt0IIUNJUS5XTVQuSVFfRklMSU5HX0NVUlJFTkNZLklRX0ZZMAEAAADfxgQAAwAAAANVU0QAGrCPTfaW3Qgx+wBO9pbdCCJDSVEuQ0FTWS5JUV9GSUxJTkdfQ1VSUkVOQ1kuSVFfRlkwAQAAAEXyAwADAAAAA1VTRAAa</t>
  </si>
  <si>
    <t>sI9N9pbdCDH7AE72lt0IJUNJUS5UU1g6QllELklRX0ZJTElOR19DVVJSRU5DWS5JUV9GWTABAAAAFzsWAAMAAAADVVNEABqwj032lt0IOSIBTvaW3QglQ0lRLkFTWDpNUDEuSVFfRklMSU5HX0NVUlJFTkNZLklRX0ZZMAEAAAC7tyUQAwAAAANBVUQAGrCPTfaW3Qg5IgFO9pbdCCJDSVEuRVFJWC5JUV9GSUxJTkdfQ1VSUkVOQ1kuSVFfRlkwAQAAACpuAAADAAAAA1VTRAAasI9N9pbdCGnoAE72lt0IJUNJUS5UU1g6Q1NVLklRX0ZJTElOR19DVVJSRU5DWS5JUV9GWTABAAAAYZoBAAMAAAADVVNEABqwj032lt0IMfsATvaW3QghQ0lRLlRERy5JUV9GSUxJTkdfQ1VSUkVOQ1kuSVFfRlkwAQAAADTnWwEDAAAAA1VTRAAasI9N9pbdCDH7AE72lt0IJkNJUS5UV1NFOjIzMzAuSVFfQUQuSVFfRlEwLi4uLlJFUE9SVEVEAQAAAKvMBQACAAAADC00OTQ1NjQwLjE0NQEIAAAABQAAAAExAQAAAAstMTk0MzU1MDgwMgMAAAADMTU2AgAAAAQxMDc1BAAAAAEwBwAAAAk1LzE5LzIwMjUIAAAACTMvMzEvMjAyNQkAAAABMBqwj032lt0IaegATvaW3QgiQ0lRLkdPT0dMLklRX0FELklRX0ZRMC4uLi5SRVBPUlRFRAEAAACocQAAAgAAAAYtODM3NzgBCAAAAAUAAAABMQEAAAALLTE5NDg3NDA5NzQDAAAAAzE2MAIAAAAEMTA3NQQAAAABMAcAAAAJNS8xOS8yMDI1CAAAAAkzLzMxLzIwMjUJAAAAATAasI9N9pbdCGnoAE72lt0I</t>
  </si>
  <si>
    <t>IUNJUS5NRVRBLklRX0FELklRX0ZRMC4uLi5SRVBPUlRFRAEAAAAX2zwBAgAAAAYtNDY1MzkBCAAAAAUAAAABMQEAAAALLTE5NDcwNzE5NzYDAAAAAzE2MAIAAAAEMTA3NQQAAAABMAcAAAAJNS8xOS8yMDI1CAAAAAkzLzMxLzIwMjUJAAAAATAasI9N9pbdCFrBAE72lt0IIUNJUS5NU0ZULklRX0FELklRX0ZRMC4uLi5SRVBPUlRFRAEAAABLVQAAAgAAAAYtODcwNzQBCAAAAAUAAAABMQEAAAALLTE5NDczMTY4OTUDAAAAAzE2MAIAAAAEMTA3NQQAAAABMAcAAAAJNS8xOS8yMDI1CAAAAAkzLzMxLzIwMjUJAAAAATAasI9N9pbdCFrBAE72lt0IIUNJUS5BTVpOLklRX0FELklRX0ZRMC4uLi5SRVBPUlRFRAEAAAA9SQAAAwAAAAAAGrCPTfaW3QhawQBO9pbdCCFDSVEuQ09TVC5JUV9BRC5JUV9GUTAuLi4uUkVQT1JURUQBAAAAkWoBAAMAAAAAABqwj032lt0IWsEATvaW3QgfQ0lRLkhELklRX0FELklRX0ZRMC4uLi5SRVBPUlRFRAEAAACXQAQAAgAAAAYtMjkwODEBCAAAAAUAAAABMQEAAAALLTE5NTQ3OTQwMTADAAAAAzE2MAIAAAAEMTA3NQQAAAABMAcAAAAJNS8xOS8yMDI1CAAAAAgyLzIvMjAyNQkAAAABMBqwj032lt0IbJoATvaW3QggQ0lRLkNNRy5JUV9BRC5JUV9GUTAuLi4uUkVQT1JURUQBAAAATmcAAAMAAAAAABqwj032lt0IbJoATvaW3QggQ0lRLldNVC5JUV9BRC5JUV9GUTAuLi4uUkVQT1JURUQB</t>
  </si>
  <si>
    <t>AAAA38YEAAIAAAAHLTEyNTE2OQEIAAAABQAAAAExAQAAAAstMTk0MzUzMzczOQMAAAADMTYwAgAAAAQxMDc1BAAAAAEwBwAAAAk1LzE5LzIwMjUIAAAACTQvMzAvMjAyNQkAAAABMBqwj032lt0IbJoATvaW3QghQ0lRLkNBU1kuSVFfQUQuSVFfRlEwLi4uLlJFUE9SVEVEAQAAAEXyAwACAAAACC0zMDYyLjkxAQgAAAAFAAAAATEBAAAACy0xOTU2MzQ0OTYzAwAAAAMxNjACAAAABDEwNzUEAAAAATAHAAAACTUvMTkvMjAyNQgAAAAJMS8zMS8yMDI1CQAAAAEwGrCPTfaW3QhsmgBO9pbdCCRDSVEuVFNYOkJZRC5JUV9BRC5JUV9GUTAuLi4uUkVQT1JURUQBAAAAFzsWAAMAAAAAABqwj032lt0IbHMATvaW3QgkQ0lRLkFTWDpNUDEuSVFfQUQuSVFfRlEwLi4uLlJFUE9SVEVEAQAAALu3JRADAAAAAAAasI9N9pbdCGyaAE72lt0IIUNJUS5FUUlYLklRX0FELklRX0ZRMC4uLi5SRVBPUlRFRAEAAAAqbgAAAwAAAAAAGrCPTfaW3QhscwBO9pbdCCRDSVEuVFNYOkNTVS5JUV9BRC5JUV9GUTAuLi4uUkVQT1JURUQBAAAAYZoBAAMAAAAAABqwj032lt0IbHMATvaW3QggQ0lRLlRERy5JUV9BRC5JUV9GUTAuLi4uUkVQT1JURUQBAAAANOdbAQMAAAAAABqwj032lt0IfUwATvaW3QglQ0lRLlRXU0U6MjMzMC5JUV9BRC5JUV9GWS4uLi5SRVBPUlRFRAEAAACrzAUAAgAAAAwtNDc3NTMzMS4zMTIBCAAAAAUAAAABMQEAAAAL</t>
  </si>
  <si>
    <t>LTE5NTc3ODkxODgDAAAAAzE1NgIAAAAEMTA3NQQAAAABMAcAAAAJNS8xOS8yMDI1CAAAAAoxMi8zMS8yMDI0CQAAAAEwGrCPTfaW3QhscwBO9pbdCDJDSVFBVkcuJFRXRFVTRC5JUV9MQVNUU0FMRVBSSUNFLjEvMS8yMDIwLjMvMzEvMjAyMAEAAAD27FoAAgAAABAzMC4xMjkyNDE3NTgyNDE4ABqwj032lt0Iy1MDTvaW3QgyQ0lRQVZHLiRUV0RVU0QuSVFfTEFTVFNBTEVQUklDRS40LzEvMjAyMC42LzMwLzIwMjABAAAA9uxaAAIAAAAQMjkuOTAyOTQ1MDU0OTQ1MQAasI9N9pbdCMtTA072lt0IMkNJUUFWRy4kVFdEVVNELklRX0xBU1RTQUxFUFJJQ0UuNy8xLzIwMjAuOS8zMC8yMDIwAQAAAPbsWgACAAAAEDI5LjM1NjkyOTM0NzgyNjEAGrCPTfaW3QjLUwNO9pbdCDRDSVFBVkcuJFRXRFVTRC5JUV9MQVNUU0FMRVBSSUNFLjEwLzEvMjAyMC4xMi8zMS8yMDIwAQAAAPbsWgACAAAAEDI4LjQ4NTkxMzA0MzQ3ODMAGrCPTfaW3QiGPQRO9pbdCDJDSVFBVkcuJFRXRFVTRC5JUV9MQVNUU0FMRVBSSUNFLjEvMS8yMDIxLjMvMzEvMjAyMQEAAAD27FoAAgAAABAyOC4wOTQyNzc3Nzc3Nzc4ABqwj032lt0IkrMETvaW3QgyQ0lRQVZHLiRUV0RVU0QuSVFfTEFTVFNBTEVQUklDRS40LzEvMjAyMS42LzMwLzIwMjEBAAAA9uxaAAIAAAAQMjcuOTkwMDU0OTQ1MDU0OQAasI9N9pbdCFzZBE72lt0IMkNJUUFWRy4kVFdE</t>
  </si>
  <si>
    <t>VVNELklRX0xBU1RTQUxFUFJJQ0UuNy8xLzIwMjEuOS8zMC8yMDIxAQAAAPbsWgACAAAADzI3Ljg3MzY1MjE3MzkxMwAasI9N9pbdCJ8nBU72lt0INENJUUFWRy4kVFdEVVNELklRX0xBU1RTQUxFUFJJQ0UuMTAvMS8yMDIxLjEyLzMxLzIwMjEBAAAA9uxaAAIAAAAQMjcuODQ2OTEzMDQzNDc4MwAasI9N9pbdCD7EBU72lt0IMkNJUUFWRy4kVFdEVVNELklRX0xBU1RTQUxFUFJJQ0UuMS8xLzIwMjIuMy8zMS8yMDIyAQAAAPbsWgACAAAABzI4LjAwODIAGrCPTfaW3QgMEQZO9pbdCDJDSVFBVkcuJFRXRFVTRC5JUV9MQVNUU0FMRVBSSUNFLjQvMS8yMDIyLjYvMzAvMjAyMgEAAAD27FoAAgAAABAyOS40NDU4NzkxMjA4NzkxABqwj032lt0I+4YGTvaW3QgyQ0lRQVZHLiRUV0RVU0QuSVFfTEFTVFNBTEVQUklDRS43LzEvMjAyMi45LzMwLzIwMjIBAAAA9uxaAAIAAAAQMzAuMzk3MzgwNDM0NzgyNgAasI9N9pbdCMMhB072lt0INENJUUFWRy4kVFdEVVNELklRX0xBU1RTQUxFUFJJQ0UuMTAvMS8yMDIyLjEyLzMxLzIwMjIBAAAA9uxaAAIAAAAQMzEuMzQ0MTYzMDQzNDc4MwAasI9N9pbdCPJJB072lt0IMkNJUUFWRy4kVFdEVVNELklRX0xBU1RTQUxFUFJJQ0UuMS8xLzIwMjMuMy8zMS8yMDIzAQAAAPbsWgACAAAAEDMwLjQyMDUxMTExMTExMTEAGrCPTfaW3QjAlwdO9pbdCDJDSVFBVkcuJFRXRFVTRC5JUV9M</t>
  </si>
  <si>
    <t>QVNUU0FMRVBSSUNFLjQvMS8yMDIzLjYvMzAvMjAyMwEAAAD27FoAAgAAABAzMC43MjQ2NTkzNDA2NTkzABqwj032lt0IgqgITvaW3QgyQ0lRQVZHLiRUV0RVU0QuSVFfTEFTVFNBTEVQUklDRS43LzEvMjAyMy45LzMwLzIwMjMBAAAA9uxaAAIAAAAQMzEuNjk2MTQxMzA0MzQ3OAAasI9N9pbdCMuTCU72lt0INENJUUFWRy4kVFdEVVNELklRX0xBU1RTQUxFUFJJQ0UuMTAvMS8yMDIzLjEyLzMxLzIwMjMBAAAA9uxaAAIAAAAQMzEuODE4OTU2NTIxNzM5MQAasI9N9pbdCMuTCU72lt0IMkNJUUFWRy4kVFdEVVNELklRX0xBU1RTQUxFUFJJQ0UuMS8xLzIwMjQuMy8zMS8yMDI0AQAAAPbsWgACAAAAEDMxLjQ2MTI5NjcwMzI5NjcAGrCPTfaW3QjouwlO9pbdCDJDSVFBVkcuJFRXRFVTRC5JUV9MQVNUU0FMRVBSSUNFLjQvMS8yMDI0LjYvMzAvMjAyNAEAAAD27FoAAgAAABAzMi4zNzI2NzAzMjk2NzAzABqwj032lt0ItuEJTvaW3QgyQ0lRQVZHLiRUV0RVU0QuSVFfTEFTVFNBTEVQUklDRS43LzEvMjAyNC45LzMwLzIwMjQBAAAA9uxaAAIAAAAQMzIuMzAxMzkxMzA0MzQ3OAAasI9N9pbdCElXCk72lt0INENJUUFWRy4kVFdEVVNELklRX0xBU1RTQUxFUFJJQ0UuMTAvMS8yMDI0LjEyLzMxLzIwMjQBAAAA9uxaAAIAAAAQMzIuMzczNDQ1NjUyMTczOQAasI9N9pbdCI6lCk72lt0IM0NJUUFWRy4kVFdEVVNELklR</t>
  </si>
  <si>
    <t>X0xBU1RTQUxFUFJJQ0UuMS8xLzE5OTcuMTIvMzEvMTk5NwEAAAD27FoAAgAAABAyOC43ODU5NDUyMDU0Nzk1ABqwj032lt0Iy1MDTvaW3QgzQ0lRQVZHLiRUV0RVU0QuSVFfTEFTVFNBTEVQUklDRS4xLzEvMTk5OC4xMi8zMS8xOTk4AQAAAPbsWgACAAAAEDMzLjUyNzA2ODQ5MzE1MDcAGrCPTfaW3QjgewNO9pbdCDNDSVFBVkcuJFRXRFVTRC5JUV9MQVNUU0FMRVBSSUNFLjEvMS8xOTk5LjEyLzMxLzE5OTkBAAAA9uxaAAIAAAAPMzIuMzE4OTA0MTA5NTg5ABqwj032lt0Ihj0ETvaW3QgzQ0lRQVZHLiRUV0RVU0QuSVFfTEFTVFNBTEVQUklDRS4xLzEvMjAwMC4xMi8zMS8yMDAwAQAAAPbsWgACAAAAEDMxLjI2NjcxMzExNDc1NDEAGrCPTfaW3QifjARO9pbdCDNDSVFBVkcuJFRXRFVTRC5JUV9MQVNUU0FMRVBSSUNFLjEvMS8yMDAxLjEyLzMxLzIwMDEBAAAA9uxaAAIAAAAQMzMuODMzOTg5MDQxMDk1OQAasI9N9pbdCFzZBE72lt0IM0NJUUFWRy4kVFdEVVNELklRX0xBU1RTQUxFUFJJQ0UuMS8xLzIwMDIuMTIvMzEvMjAwMgEAAAD27FoAAgAAABAzNC41MzgxMDk1ODkwNDExABqwj032lt0InycFTvaW3QgzQ0lRQVZHLiRUV0RVU0QuSVFfTEFTVFNBTEVQUklDRS4xLzEvMjAwMy4xMi8zMS8yMDAzAQAAAPbsWgACAAAAEDM0LjQwMjU3ODA4MjE5MTgAGrCPTfaW3Qg+xAVO9pbdCDNDSVFBVkcuJFRXRFVT</t>
  </si>
  <si>
    <t>RC5JUV9MQVNUU0FMRVBSSUNFLjEvMS8yMDA0LjEyLzMxLzIwMDQBAAAA9uxaAAIAAAAQMzMuMzgxNjcyMTMxMTQ3NQAasI9N9pbdCAwRBk72lt0IM0NJUUFWRy4kVFdEVVNELklRX0xBU1RTQUxFUFJJQ0UuMS8xLzIwMDUuMTIvMzEvMjAwNQEAAAD27FoAAgAAABAzMi4xMzQ0NjU3NTM0MjQ3ABqwj032lt0IDGAGTvaW3QgzQ0lRQVZHLiRUV0RVU0QuSVFfTEFTVFNBTEVQUklDRS4xLzEvMjAwNi4xMi8zMS8yMDA2AQAAAPbsWgACAAAADzMyLjUwODcwMjczOTcyNgAasI9N9pbdCMMhB072lt0IM0NJUUFWRy4kVFdEVVNELklRX0xBU1RTQUxFUFJJQ0UuMS8xLzIwMDcuMTIvMzEvMjAwNwEAAAD27FoAAgAAABAzMi45MTQyODQ5MzE1MDY4ABqwj032lt0I8kkHTvaW3QgzQ0lRQVZHLiRUV0RVU0QuSVFfTEFTVFNBTEVQUklDRS4xLzEvMjAwOC4xMi8zMS8yMDA4AQAAAPbsWgACAAAAEDMxLjU0NjE1OTgzNjA2NTYAGrCPTfaW3QjAlwdO9pbdCDNDSVFBVkcuJFRXRFVTRC5JUV9MQVNUU0FMRVBSSUNFLjEvMS8yMDA5LjEyLzMxLzIwMDkBAAAA9uxaAAIAAAAPMzMuMDQ0OTk4NjMwMTM3ABqwj032lt0IgqgITvaW3QgzQ0lRQVZHLiRUV0RVU0QuSVFfTEFTVFNBTEVQUklDRS4xLzEvMjAxMC4xMi8zMS8yMDEwAQAAAPbsWgACAAAAEDMxLjU0MDgxMDk1ODkwNDEAGrCPTfaW3QjLkwlO9pbdCDNDSVFBVkcuJFRX</t>
  </si>
  <si>
    <t>RFVTRC5JUV9MQVNUU0FMRVBSSUNFLjEvMS8yMDExLjEyLzMxLzIwMTEBAAAA9uxaAAIAAAAQMjkuNDE5MjkwNDEwOTU4OQAasI9N9pbdCMuTCU72lt0IM0NJUUFWRy4kVFdEVVNELklRX0xBU1RTQUxFUFJJQ0UuMS8xLzIwMTIuMTIvMzEvMjAxMgEAAAD27FoAAgAAABAyOS41Nzc1MjQ1OTAxNjM5ABqwj032lt0I6LsJTvaW3QgzQ0lRQVZHLiRUV0RVU0QuSVFfTEFTVFNBTEVQUklDRS4xLzEvMjAxMy4xMi8zMS8yMDEzAQAAAPbsWgACAAAAEDI5LjcwMzI3Mzk3MjYwMjcAGrCPTfaW3Qi24QlO9pbdCDNDSVFBVkcuJFRXRFVTRC5JUV9MQVNUU0FMRVBSSUNFLjEvMS8yMDE0LjEyLzMxLzIwMTQBAAAA9uxaAAIAAAAQMzAuMzI5NTUyMDU0Nzk0NQAasI9N9pbdCElXCk72lt0IM0NJUUFWRy4kVFdEVVNELklRX0xBU1RTQUxFUFJJQ0UuMS8xLzIwMTUuMTIvMzEvMjAxNQEAAAD27FoAAgAAABAzMS43ODc3MzE1MDY4NDkzABqwj032lt0IjqUKTvaW3QgzQ0lRQVZHLiRUV0RVU0QuSVFfTEFTVFNBTEVQUklDRS4xLzEvMjAxNi4xMi8zMS8yMDE2AQAAAPbsWgACAAAAEDMyLjI3MTAyODY4ODUyNDYAGrCPTfaW3QhyywpO9pbdCDNDSVFBVkcuJFRXRFVTRC5JUV9MQVNUU0FMRVBSSUNFLjEvMS8yMDE3LjEyLzMxLzIwMTcBAAAA9uxaAAIAAAAQMzAuNDMzMTgwODIxOTE3OAAasI9N9pbdCJvzCk72lt0IM0NJUUFW</t>
  </si>
  <si>
    <t>Ry4kVFdEVVNELklRX0xBU1RTQUxFUFJJQ0UuMS8xLzIwMTguMTIvMzEvMjAxOAEAAAD27FoAAgAAABAzMC4xNTgwNzgwODIxOTE4ABqwj032lt0IVUALTvaW3QgzQ0lRQVZHLiRUV0RVU0QuSVFfTEFTVFNBTEVQUklDRS4xLzEvMjAxOS4xMi8zMS8yMDE5AQAAAPbsWgACAAAAEDMwLjkwOTA1NDc5NDUyMDUAGrCPTfaW3QiAjgtO9pbdCDNDSVFBVkcuJFRXRFVTRC5JUV9MQVNUU0FMRVBSSUNFLjEvMS8yMDIwLjEyLzMxLzIwMjABAAAA9uxaAAIAAAAQMjkuNDY1NzY2MzkzNDQyNgAasI9N9pbdCDG1C072lt0IM0NJUUFWRy4kVFdEVVNELklRX0xBU1RTQUxFUFJJQ0UuMS8xLzIwMjEuMTIvMzEvMjAyMQEAAAD27FoAAgAAABAyNy45NTAzMzQyNDY1NzUzABqwj032lt0IXt0LTvaW3QgzQ0lRQVZHLiRUV0RVU0QuSVFfTEFTVFNBTEVQUklDRS4xLzEvMjAyMi4xMi8zMS8yMDIyAQAAAPbsWgACAAAAEDI5LjgwOTY4NDkzMTUwNjkAGrCPTfaW3QgaKgxO9pbdCDNDSVFBVkcuJFRXRFVTRC5JUV9MQVNUU0FMRVBSSUNFLjEvMS8yMDIzLjEyLzMxLzIwMjMBAAAA9uxaAAIAAAAQMzEuMTcwMzUzNDI0NjU3NQAasI9N9pbdCB15DE72lt0IM0NJUUFWRy4kVFdEVVNELklRX0xBU1RTQUxFUFJJQ0UuNS8xOS8yMDI1LjUvMTkvMjAyNQEAAAD27FoAAgAAAAYzMC4xMTIAGrCPTfaW3Qg6I2BX9pbdCDJDSVFBVkcuJFRX</t>
  </si>
  <si>
    <t>RFVTRC5JUV9MQVNUU0FMRVBSSUNFLjQvMS8yMDIwLjMvMzEvMjAyMQEAAAD27FoAAgAAABAyOC45NjIxNzY3MTIzMjg4ABqwj032lt0IkrMETvaW3QgyQ0lRQVZHLiRUV0RVU0QuSVFfTEFTVFNBTEVQUklDRS43LzEvMjAyMC42LzMwLzIwMjEBAAAA9uxaAAIAAAAQMjguNDg1MjY0MzgzNTYxNgAasI9N9pbdCFzZBE72lt0IM0NJUUFWRy4kVFdEVVNELklRX0xBU1RTQUxFUFJJQ0UuMTAvMS8yMDIwLjkvMzAvMjAyMQEAAAD27FoAAgAAAA8yOC4xMTEzOTcyNjAyNzQAGrCPTfaW3QifJwVO9pbdCDJDSVFBVkcuJFRXRFVTRC5JUV9MQVNUU0FMRVBSSUNFLjQvMS8yMDIxLjMvMzEvMjAyMgEAAAD27FoAAgAAABAyNy45MjkxMDk1ODkwNDExABqwj032lt0IDBEGTvaW3QgyQ0lRQVZHLiRUV0RVU0QuSVFfTEFTVFNBTEVQUklDRS43LzEvMjAyMS42LzMwLzIwMjIBAAAA9uxaAAIAAAAQMjguMjkyMDY4NDkzMTUwNwAasI9N9pbdCPuGBk72lt0IM0NJUUFWRy4kVFdEVVNELklRX0xBU1RTQUxFUFJJQ0UuMTAvMS8yMDIxLjkvMzAvMjAyMgEAAAD27FoAAgAAABAyOC45MjgxODYzMDEzNjk5ABqwj032lt0IwyEHTvaW3QgyQ0lRQVZHLiRUV0RVU0QuSVFfTEFTVFNBTEVQUklDRS40LzEvMjAyMi4zLzMxLzIwMjMBAAAA9uxaAAIAAAAPMzAuNDA0NTAxMzY5ODYzABqwj032lt0IwJcHTvaW3QgyQ0lRQVZHLiRUV0RV</t>
  </si>
  <si>
    <t>U0QuSVFfTEFTVFNBTEVQUklDRS43LzEvMjAyMi42LzMwLzIwMjMBAAAA9uxaAAIAAAAQMzAuNzIzMzIwNTQ3OTQ1MgAasI9N9pbdCIKoCE72lt0IM0NJUUFWRy4kVFdEVVNELklRX0xBU1RTQUxFUFJJQ0UuMTAvMS8yMDIyLjkvMzAvMjAyMwEAAAD27FoAAgAAABAzMS4wNTA2Nzk0NTIwNTQ4ABqwj032lt0Iy5MJTvaW3QgyQ0lRQVZHLiRUV0RVU0QuSVFfTEFTVFNBTEVQUklDRS40LzEvMjAyMy4zLzMxLzIwMjQBAAAA9uxaAAIAAAAQMzEuNDI3MDc5MjM0OTcyNwAasI9N9pbdCOi7CU72lt0IMkNJUUFWRy4kVFdEVVNELklRX0xBU1RTQUxFUFJJQ0UuNy8xLzIwMjMuNi8zMC8yMDI0AQAAAPbsWgACAAAAEDMxLjgzNjgzMDYwMTA5MjkAGrCPTfaW3Qi24QlO9pbdCDVDSVFBVkcuJFRXRFVTRC5JUV9MQVNUU0FMRVBSSUNFLjEyLzMxLzIwMjMuMTIvMzEvMjAyMwEAAAD27FoAAgAAAAYzMC42MzgAweXEuu6W3Qik+sWY8JbdCDNDSVFBVkcuJFRXRFVTRC5JUV9MQVNUU0FMRVBSSUNFLjMvMzEvMjAyNC4zLzMxLzIwMjQBAAAA9uxaAAIAAAAGMzEuOTczAMHlxLrult0IsnfCmPCW3QgzQ0lRQVZHLiRUV0RVU0QuSVFfTEFTVFNBTEVQUklDRS42LzMwLzIwMjQuNi8zMC8yMDI0AQAAAPbsWgACAAAABjMyLjQ4NgDB5cS67pbdCO/Lwpjwlt0IM0NJUUFWRy4kVFdEVVNELklRX0xBU1RTQUxFUFJJQ0UuOS8zMC8y</t>
  </si>
  <si>
    <t>MDI0LjkvMzAvMjAyNAEAAAD27FoAAgAAAAYzMS43NjEAweXEuu6W3Qh5PcSY8JbdCDNDSVFBVkcuJFRXRFVTRC5JUV9MQVNUU0FMRVBSSUNFLjMvMzEvMjAyMC4zLzMxLzIwMjABAAAA9uxaAAIAAAAGMzAuMjM4AMHlxLrult0IUaq7mPCW3QgzQ0lRQVZHLiRUV0RVU0QuSVFfTEFTVFNBTEVQUklDRS42LzMwLzIwMjAuNi8zMC8yMDIwAQAAAPbsWgACAAAABjI5LjQzMwDB5cS67pbdCPP3u5jwlt0IM0NJUUFWRy4kVFdEVVNELklRX0xBU1RTQUxFUFJJQ0UuOS8zMC8yMDIwLjkvMzAvMjAyMAEAAAD27FoAAgAAAAYyOC45NTUAweXEuu6W3Qjz97uY8JbdCDVDSVFBVkcuJFRXRFVTRC5JUV9MQVNUU0FMRVBSSUNFLjEyLzMxLzIwMjAuMTIvMzEvMjAyMAEAAAD27FoAAgAAAAYyOC4wOTMAweXEuu6W3QiMVsWY8JbdCDNDSVFBVkcuJFRXRFVTRC5JUV9MQVNUU0FMRVBSSUNFLjMvMzEvMjAyMS4zLzMxLzIwMjEBAAAA9uxaAAIAAAAFMjguNDkAweXEuu6W3Qi9mryY8JbdCDNDSVFBVkcuJFRXRFVTRC5JUV9MQVNUU0FMRVBSSUNFLjYvMzAvMjAyMS42LzMwLzIwMjEBAAAA9uxaAAIAAAAGMjcuOTEyAMHlxLrult0Ing+9mPCW3QgzQ0lRQVZHLiRUV0RVU0QuSVFfTEFTVFNBTEVQUklDRS45LzMwLzIwMjEuOS8zMC8yMDIxAQAAAPbsWgACAAAABjI3LjgzOADB5cS67pbdCHQwvpjwlt0INUNJUUFWRy4kVFdEVVNE</t>
  </si>
  <si>
    <t>LklRX0xBU1RTQUxFUFJJQ0UuMTIvMzEvMjAyMS4xMi8zMS8yMDIxAQAAAPbsWgACAAAABjI3LjcxMwDB5cS67pbdCMGFxZjwlt0IM0NJUUFWRy4kVFdEVVNELklRX0xBU1RTQUxFUFJJQ0UuMy8zMS8yMDIyLjMvMzEvMjAyMgEAAAD27FoAAgAAAAYyOC42NDcAweXEuu6W3QhTD7+Y8JbdCDNDSVFBVkcuJFRXRFVTRC5JUV9MQVNUU0FMRVBSSUNFLjYvMzAvMjAyMi42LzMwLzIwMjIBAAAA9uxaAAIAAAAGMjkuNzU2AMHlxLrult0ITbW/mPCW3QgzQ0lRQVZHLiRUV0RVU0QuSVFfTEFTVFNBTEVQUklDRS45LzMwLzIwMjIuOS8zMC8yMDIyAQAAAPbsWgACAAAABjMxLjc4OQDB5cS67pbdCETcv5jwlt0INUNJUUFWRy4kVFdEVVNELklRX0xBU1RTQUxFUFJJQ0UuMTIvMzEvMjAyMi4xMi8zMS8yMDIyAQAAAPbsWgACAAAABjMwLjcyMQDB5cS67pbdCKrTxZjwlt0IM0NJUUFWRy4kVFdEVVNELklRX0xBU1RTQUxFUFJJQ0UuMy8zMS8yMDIzLjMvMzEvMjAyMwEAAAD27FoAAgAAAAYzMC41MDYAweXEuu6W3QgIQMGY8JbdCDNDSVFBVkcuJFRXRFVTRC5JUV9MQVNUU0FMRVBSSUNFLjYvMzAvMjAyMy42LzMwLzIwMjMBAAAA9uxaAAIAAAAGMzEuMTY5AMHlxLrult0IxynCmPCW3QgzQ0lRQVZHLiRUV0RVU0QuSVFfTEFTVFNBTEVQUklDRS45LzMwLzIwMjMuOS8zMC8yMDIzAQAAAPbsWgACAAAABTMyLjE4AMHlxLru</t>
  </si>
  <si>
    <t>lt0IwFDCmPCW3Qg1Q0lRQVZHLiRUV0RVU0QuSVFfTEFTVFNBTEVQUklDRS4xMi8zMS8xOTk3LjEyLzMxLzE5OTcBAAAA9uxaAAIAAAAEMzIuOADB5cS67pbdCPXQu5jwlt0INUNJUUFWRy4kVFdEVVNELklRX0xBU1RTQUxFUFJJQ0UuMTIvMzEvMTk5OC4xMi8zMS8xOTk4AQAAAPbsWgACAAAABTMyLjI3AMHlxLrult0I8/e7mPCW3Qg1Q0lRQVZHLiRUV0RVU0QuSVFfTEFTVFNBTEVQUklDRS4xMi8zMS8xOTk5LjEyLzMxLzE5OTkBAAAA9uxaAAIAAAAFMzEuMzkAweXEuu6W3Qjz97uY8JbdCDVDSVFBVkcuJFRXRFVTRC5JUV9MQVNUU0FMRVBSSUNFLjEyLzMxLzIwMDAuMTIvMzEvMjAwMAEAAAD27FoAAgAAAAUzMy4xNwDB5cS67pbdCM1svJjwlt0INUNJUUFWRy4kVFdEVVNELklRX0xBU1RTQUxFUFJJQ0UuMTIvMzEvMjAwMS4xMi8zMS8yMDAxAQAAAPbsWgACAAAAAjM1AMHlxLrult0IvZq8mPCW3Qg1Q0lRQVZHLiRUV0RVU0QuSVFfTEFTVFNBTEVQUklDRS4xMi8zMS8yMDAyLjEyLzMxLzIwMDIBAAAA9uxaAAIAAAAEMzQuNwDB5cS67pbdCKnovJjwlt0INUNJUUFWRy4kVFdEVVNELklRX0xBU1RTQUxFUFJJQ0UuMTIvMzEvMjAwMy4xMi8zMS8yMDAzAQAAAPbsWgACAAAABTMzLjk5AMHlxLrult0IY1e+mPCW3Qg1Q0lRQVZHLiRUV0RVU0QuSVFfTEFTVFNBTEVQUklDRS4xMi8zMS8yMDA0LjEyLzMxLzIw</t>
  </si>
  <si>
    <t>MDQBAAAA9uxaAAIAAAAFMzEuNzQAweXEuu6W3Qh1nL6Y8JbdCDVDSVFBVkcuJFRXRFVTRC5JUV9MQVNUU0FMRVBSSUNFLjEyLzMxLzIwMDUuMTIvMzEvMjAwNQEAAAD27FoAAgAAAAQzMi44AMHlxLrult0IUw+/mPCW3Qg1Q0lRQVZHLiRUV0RVU0QuSVFfTEFTVFNBTEVQUklDRS4xMi8zMS8yMDA2LjEyLzMxLzIwMDYBAAAA9uxaAAIAAAAGMzIuNTgzAMHlxLrult0ITbW/mPCW3Qg1Q0lRQVZHLiRUV0RVU0QuSVFfTEFTVFNBTEVQUklDRS4xMi8zMS8yMDA3LjEyLzMxLzIwMDcBAAAA9uxaAAIAAAAHMzIuNDM2NQDB5cS67pbdCDgDwJjwlt0INUNJUUFWRy4kVFdEVVNELklRX0xBU1RTQUxFUFJJQ0UuMTIvMzEvMjAwOC4xMi8zMS8yMDA4AQAAAPbsWgACAAAABzMyLjc5NzUAweXEuu6W3QggUcCY8JbdCDVDSVFBVkcuJFRXRFVTRC5JUV9MQVNUU0FMRVBSSUNFLjEyLzMxLzIwMDkuMTIvMzEvMjAwOQEAAAD27FoAAgAAAAYzMS45OTYAweXEuu6W3QgIQMGY8JbdCDVDSVFBVkcuJFRXRFVTRC5JUV9MQVNUU0FMRVBSSUNFLjEyLzMxLzIwMTAuMTIvMzEvMjAxMAEAAAD27FoAAgAAAAYyOS4xNTgAweXEuu6W3QjHKcKY8JbdCDVDSVFBVkcuJFRXRFVTRC5JUV9MQVNUU0FMRVBSSUNFLjEyLzMxLzIwMTEuMTIvMzEvMjAxMQEAAAD27FoAAgAAAAYzMC4yODkAweXEuu6W3QjHKcKY8JbdCDVDSVFBVkcuJFRXRFVT</t>
  </si>
  <si>
    <t>RC5JUV9MQVNUU0FMRVBSSUNFLjEyLzMxLzIwMTIuMTIvMzEvMjAxMgEAAAD27FoAAgAAAAYyOS4wNzQAweXEuu6W3QjAUMKY8JbdCDVDSVFBVkcuJFRXRFVTRC5JUV9MQVNUU0FMRVBSSUNFLjEyLzMxLzIwMTMuMTIvMzEvMjAxMwEAAAD27FoAAgAAAAYyOS44NzUAweXEuu6W3Qiyd8KY8JbdCDVDSVFBVkcuJFRXRFVTRC5JUV9MQVNUU0FMRVBSSUNFLjEyLzMxLzIwMTQuMTIvMzEvMjAxNAEAAAD27FoAAgAAAAUzMS43NADB5cS67pbdCOnywpjwlt0INUNJUUFWRy4kVFdEVVNELklRX0xBU1RTQUxFUFJJQ0UuMTIvMzEvMjAxNS4xMi8zMS8yMDE1AQAAAPbsWgACAAAABjMyLjk3NQDB5cS67pbdCNIxxJjwlt0INUNJUUFWRy4kVFdEVVNELklRX0xBU1RTQUxFUFJJQ0UuMTIvMzEvMjAxNi4xMi8zMS8yMDE2AQAAAPbsWgACAAAABjMyLjQwNgDB5cS67pbdCF2LxJjwlt0INUNJUUFWRy4kVFdEVVNELklRX0xBU1RTQUxFUFJJQ0UuMTIvMzEvMjAxNy4xMi8zMS8yMDE3AQAAAPbsWgACAAAABjI5LjY2NgDB5cS67pbdCByzxJjwlt0INUNJUUFWRy4kVFdEVVNELklRX0xBU1RTQUxFUFJJQ0UuMTIvMzEvMjAxOC4xMi8zMS8yMDE4AQAAAPbsWgACAAAABTMwLjYxAMHlxLrult0IUgDFmPCW3Qg1Q0lRQVZHLiRUV0RVU0QuSVFfTEFTVFNBTEVQUklDRS4xMi8zMS8yMDE5LjEyLzMxLzIwMTkBAAAA9uxaAAIAAAAG</t>
  </si>
  <si>
    <t>MjkuOTE1AMHlxLrult0IYy7FmPCW3QghQ0lRLklRVDQ2MTU2NTE3LklRX0xBU1RTQUxFUFJJQ0UuAQAAAJu4KAACAAAACDEzMTQ5Ljc2APzhLrzult0IUvYBTvaW3QggQ0lRLlRXU0U6MjMzMC5JUV9DTE9TRVBSSUNFX0FESi4BAAAAq8wFAAIAAAADOTg0APzhLrzult0IRGsCTvaW3QgfQ0lRLlRXU0U6MjMzMC5JUV9MQVNUU0FMRVBSSUNFLgEAAACrzAUAAgAAAAM5ODQAcQovvO6W3QjsLQNO9pbdCCBDSVFQQy5BU1g6TVAxLklRX0xBU1RTQUxFUFJJQ0UuLgEAAAC7tyUQAgAAAAEwAHEKL7zult0InyUATvaW3QgdQ0lRUEMuRVFJWC5JUV9MQVNUU0FMRVBSSUNFLi4BAAAAKm4AAAIAAAABMABxCi+87pbdCH1MAE72lt0IIENJUVBDLlRTWDpDU1UuSVFfTEFTVFNBTEVQUklDRS4uAQAAAGGaAQACAAAAATAAcQovvO6W3QifJQBO9pbdCBxDSVFQQy5UREcuSVFfTEFTVFNBTEVQUklDRS4uAQAAADTnWwECAAAAATAAcQovvO6W3QifJQBO9pbdCBxDSVFQQy5DTUcuSVFfTEFTVFNBTEVQUklDRS4uAQAAAE5nAAACAAAAATAAcQovvO6W3Qh9TABO9pbdCBxDSVFQQy5XTVQuSVFfTEFTVFNBTEVQUklDRS4uAQAAAN/GBAACAAAAATAAcQovvO6W3Qh9TABO9pbdCB1DSVFQQy5DQVNZLklRX0xBU1RTQUxFUFJJQ0UuLgEAAABF8gMAAgAAAAEwAHEKL7zult0InyUATvaW3QggQ0lRUEMuVFNYOkJZRC5JUV9MQVNUU0FM</t>
  </si>
  <si>
    <t>RVBSSUNFLi4BAAAAFzsWAAIAAAABMABxCi+87pbdCJ8lAE72lt0IHUNJUVBDLk1TRlQuSVFfTEFTVFNBTEVQUklDRS4uAQAAAEtVAAACAAAAATAAcQovvO6W3Qh9TABO9pbdCB1DSVFQQy5BTVpOLklRX0xBU1RTQUxFUFJJQ0UuLgEAAAA9SQAAAgAAAAEwAHEKL7zult0IfUwATvaW3QgdQ0lRUEMuQ09TVC5JUV9MQVNUU0FMRVBSSUNFLi4BAAAAkWoBAAIAAAABMABxCi+87pbdCH1MAE72lt0IG0NJUVBDLkhELklRX0xBU1RTQUxFUFJJQ0UuLgEAAACXQAQAAgAAAAEwAHEKL7zult0IfUwATvaW3QgiQ0lRUEMuVFdTRToyMzMwLklRX0xBU1RTQUxFUFJJQ0UuLgEAAACrzAUAAgAAAAEwAHEKL7zult0IbHMATvaW3QgeQ0lRUEMuR09PR0wuSVFfTEFTVFNBTEVQUklDRS4uAQAAAKhxAAACAAAAATAAcQovvO6W3Qh9TABO9pbdCB1DSVFQQy5NRVRBLklRX0xBU1RTQUxFUFJJQ0UuLgEAAAAX2zwBAgAAAAEwAHEKL7zult0IfUwATvaW3QgrQ0lRUEMuVFdTRToyMzMwLklRX0xBU1RTQUxFUFJJQ0UuLjUvMTkvMjAyNQEAAACrzAUAAgAAAAEwAHEKL7zult0Iu/ADTvaW3QgmQ0lRUEMuQU1aTi5JUV9MQVNUU0FMRVBSSUNFLi41LzE5LzIwMjUBAAAAPUkAAAIAAAABMABxCi+87pbdCLvwA072lt0IJkNJUVBDLk1TRlQuSVFfTEFTVFNBTEVQUklDRS4uNS8xOS8yMDI1AQAAAEtVAAACAAAAATAAcQovvO6W3Qi78ANO</t>
  </si>
  <si>
    <t>9pbdCCZDSVFQQy5NRVRBLklRX0xBU1RTQUxFUFJJQ0UuLjUvMTkvMjAyNQEAAAAX2zwBAgAAAAEwAHEKL7zult0Iu/ADTvaW3QgnQ0lRUEMuR09PR0wuSVFfTEFTVFNBTEVQUklDRS4uNS8xOS8yMDI1AQAAAKhxAAACAAAAATAAcQovvO6W3Qi78ANO9pbdCCVDSVFQQy5XTVQuSVFfTEFTVFNBTEVQUklDRS4uNS8xOS8yMDI1AQAAAN/GBAACAAAAATAAcQovvO6W3Qi/FwRO9pbdCCVDSVFQQy5DTUcuSVFfTEFTVFNBTEVQUklDRS4uNS8xOS8yMDI1AQAAAE5nAAACAAAAATAAcQovvO6W3Qi/FwRO9pbdCCRDSVFQQy5IRC5JUV9MQVNUU0FMRVBSSUNFLi41LzE5LzIwMjUBAAAAl0AEAAIAAAABMABxCi+87pbdCLvwA072lt0IJkNJUVBDLkNPU1QuSVFfTEFTVFNBTEVQUklDRS4uNS8xOS8yMDI1AQAAAJFqAQACAAAAATAAcQovvO6W3Qi78ANO9pbdCCZDSVFQQy5FUUlYLklRX0xBU1RTQUxFUFJJQ0UuLjUvMTkvMjAyNQEAAAAqbgAAAgAAAAEwAHEKL7zult0IvxcETvaW3QgpQ0lRUEMuQVNYOk1QMS5JUV9MQVNUU0FMRVBSSUNFLi41LzE5LzIwMjUBAAAAu7clEAIAAAABMABxCi+87pbdCL8XBE72lt0IKUNJUVBDLlRTWDpCWUQuSVFfTEFTVFNBTEVQUklDRS4uNS8xOS8yMDI1AQAAABc7FgACAAAAATAAcQovvO6W3Qi78ANO9pbdCCZDSVFQQy5DQVNZLklRX0xBU1RTQUxFUFJJQ0UuLjUvMTkvMjAyNQEAAABF</t>
  </si>
  <si>
    <t>8gMAAgAAAAEwAHEKL7zult0IvxcETvaW3QglQ0lRUEMuVERHLklRX0xBU1RTQUxFUFJJQ0UuLjUvMTkvMjAyNQEAAAA051sBAgAAAAEwAHEKL7zult0IvxcETvaW3QgpQ0lRUEMuVFNYOkNTVS5JUV9MQVNUU0FMRVBSSUNFLi41LzE5LzIwMjUBAAAAYZoBAAIAAAABMABxCi+87pbdCL8XBE72lt0IH0NJUS5eU1BYLklRX1BFX0VYQ0xfRldELkNZMjAyNi4BAAAAm7goAAIAAAAJMjAuMDQ5NTYyAHEKL7zult0IRGsCTvaW3QgfQ0lRLl5TUFguSVFfUEVfRVhDTF9GV0QuQ1kyMDI3LgEAAACbuCgAAgAAAAkxNy43MTk2NDYAcQovvO6W3QhEawJO9pbdCB1DSVEuXlNQWC5JUV9QRV9FWENMX0ZXRC42MDAwLgEAAACbuCgAAgAAAAkyMi40MTEzMTQAcQovvO6W3QgPuQJO9pbdCB9DSVEuVERHLklRX0FELklRX0ZZLi4uLlJFUE9SVEVEAQAAADTnWwECAAAABS0xMDE3AQgAAAAFAAAAATEBAAAACy0xOTcwMDY0OTk1AwAAAAMxNjACAAAABDEwNzUEAAAAATAHAAAACTUvMTkvMjAyNQgAAAAJOS8zMC8yMDI0CQAAAAEwcQovvO6W3QhscwBO9pbdCCBDSVEuRVFJWC5JUV9BRC5JUV9GWS4uLi5SRVBPUlRFRAEAAAAqbgAAAgAAAAYtMTE0NzQBCAAAAAUAAAABMQEAAAALLTE5NjAxMzk0MDYDAAAAAzE2MAIAAAAEMTA3NQQAAAABMAcAAAAJNS8xOS8yMDI1CAAAAAoxMi8zMS8yMDI0CQAAAAEwcQovvO6W3QhscwBO9pbd</t>
  </si>
  <si>
    <t>CCNDSVEuVFNYOkNTVS5JUV9BRC5JUV9GWS4uLi5SRVBPUlRFRAEAAABhmgEAAgAAAAQtNTc1AQgAAAAFAAAAATEBAAAACy0xOTU2NTY2OTMwAwAAAAMxNjACAAAABDEwNzUEAAAAATAHAAAACTUvMTkvMjAyNQgAAAAKMTIvMzEvMjAyNAkAAAABMHEKL7zult0IbHMATvaW3QgjQ0lRLlRTWDpCWUQuSVFfQUQuSVFfRlkuLi4uUkVQT1JURUQBAAAAFzsWAAIAAAAILTM4NC42NzIBCAAAAAUAAAABMQEAAAALLTE5NTUxODgxMTUDAAAAAzE2MAIAAAAEMTA3NQQAAAABMAcAAAAJNS8xOS8yMDI1CAAAAAoxMi8zMS8yMDI0CQAAAAEwcQovvO6W3QhscwBO9pbdCCNDSVEuQVNYOk1QMS5JUV9BRC5JUV9GWS4uLi5SRVBPUlRFRAEAAAC7tyUQAgAAAActODUuMjU0AQgAAAAFAAAAATEBAAAACy0xOTgxMjQzOTIyAwAAAAE5AgAAAAQxMDc1BAAAAAEwBwAAAAk1LzE5LzIwMjUIAAAACTYvMzAvMjAyNAkAAAABMHEKL7zult0IbJoATvaW3QgfQ0lRLkNNRy5JUV9BRC5JUV9GWS4uLi5SRVBPUlRFRAEAAABOZwAAAgAAAAktMjI0OS4zMDEBCAAAAAUAAAABMQEAAAALLTE5NjA5MDQxNzUDAAAAAzE2MAIAAAAEMTA3NQQAAAABMAcAAAAJNS8xOS8yMDI1CAAAAAoxMi8zMS8yMDI0CQAAAAEwcQovvO6W3QhsmgBO9pbdCCBDSVEuQU1aTi5JUV9BRC5JUV9GWS4uLi5SRVBPUlRFRAEAAAA9SQAAAgAAAActMTQxMzkwAQgAAAAF</t>
  </si>
  <si>
    <t>AAAAATEBAAAACy0xOTYwNjE3MjQ3AwAAAAMxNjACAAAABDEwNzUEAAAAATAHAAAACTUvMTkvMjAyNQgAAAAKMTIvMzEvMjAyNAkAAAABMHEKL7zult0IWsEATvaW3QggQ0lRLkNPU1QuSVFfQUQuSVFfRlkuLi4uUkVQT1JURUQBAAAAkWoBAAIAAAAGLTE3OTE4AQgAAAAFAAAAATEBAAAACy0xOTczOTk3MTg0AwAAAAMxNjACAAAABDEwNzUEAAAAATAHAAAACTUvMTkvMjAyNQgAAAAIOS8xLzIwMjQJAAAAATBxCi+87pbdCFrBAE72lt0IIUNJUUFWRy4kVFdEVVNELklRX0xBU1RTQUxFUFJJQ0UuLgEAAAD27FoAAgAAAAYzMC4xMTIAcQovvO6W3QilsP9N9pbdCClDSVFBVkcuJFRXRFVTRC5JUV9MQVNUU0FMRVBSSUNFLjEvMS8yMDIwLgEAAAD27FoAAgAAABAzMC4yNzUxNjkxMjUxMjcyAHEKL7zult0IzIn/TfaW3QgpQ0lRQVZHLiRUV0RVU0QuSVFfTEFTVFNBTEVQUklDRS4xLzEvMTk5Ny4BAAAA9uxaAAIAAAAPMzEuNDczMTQ0MjY5NzI4AHEKL7zult0ImmH/TfaW3QglQ0lRLiRUV0RVU0QuSVFfTEFTVFNBTEVQUklDRS4xLzgvMjAyNQEAAAD27FoAAgAAAAUzMi44NwC5Eqkn75bdCET6GZ3xlt0IM0NJUUFWRy4kVFdEVVNELklRX0xBU1RTQUxFUFJJQ0UuMTAvMS8yMDIzLjkvMzAvMjAyNAEAAAD27FoAAgAAABAzMS45ODg5Njk5NDUzNTUyABqwj032lt0ISVcKTvaW3QgnQ0lRLiRUV0RVU0QuSVFfTEFT</t>
  </si>
  <si>
    <t>VFNBTEVQUklDRS4xMi8zMS8yMDI0AQAAAPbsWgACAAAABTMyLjc4AB+Jj032lt0Iz33SZPaW3QgzQ0lRQVZHLiRUV0RVU0QuSVFfTEFTVFNBTEVQUklDRS4xLzEvMjAyNC4xMi8zMS8yMDI0AQAAAPbsWgACAAAADzMyLjEyODM0OTcyNjc3NgBYa2xj8ZbdCNO/lGPxlt0IJUNJUS4kVFdEVVNELklRX0xBU1RTQUxFUFJJQ0UuMS8yLzIwMjUBAAAA9uxaAAIAAAAGMzIuOTM1AIhhkKPxlt0Ilb2yo/GW3QgyQ0lRQVZHLiRUV0RVU0QuSVFfTEFTVFNBTEVQUklDRS4xLzEvMjAyNS4zLzMxLzIwMjUBAAAA9uxaAAIAAAAQMzIuODk4ODg4ODg4ODg4OQC542Wv8ZbdCLx4w7jxlt0IJ0NJUS4kVFdEVVNELklRX0xBU1RTQUxFUFJJQ0UuMTIvMjAvMjAyNAEAAAD27FoAAgAAAAYzMi42NTMAH4mPTfaW3Qhpa/dY9pbdCA==</t>
  </si>
  <si>
    <t>BAABTAhSRVBPUlRFRAFI/////wFQWQEAABxDSVEuJFRXRFVTRC5JUV9MQVNUU0FMRVBSSUNFAQAAAPbsWgACAAAABjMwLjExMgC4vsS67pbdCOm9upjwlt0INENJUVBDLlRXU0U6MjMzMC5JUV9MQVNUU0FMRVBSSUNFLjUvMTkvMjAyNC41LzE5LzIwMjUBAAAAq8wFAAIAAAAQMTcuODQ0MzExMzc3MjQ1NQAfiY9N9pbdCPDG8nb2lt0IMENJUVBDLkdPT0dMLklRX0xBU1RTQUxFUFJJQ0UuNS8xOS8yMDI0LjUvMTkvMjAyNQEAAACocQAAAgAAABAtNS40MDcyNDc1MjkyNTE0AB+Jj032lt0IJaHydvaW3QgvQ0lRUEMuTUVUQS5JUV9MQVNUU0FMRVBSSUNFLjUvMTkvMjAyNC41LzE5LzIwMjUBAAAAF9s8AQIAAAAQMzUuNzEwMTk4OTc4NjE4OAAfiY9N9pbdCPDG8nb2lt0IL0NJUVBDLk1TRlQuSVFfTEFTVFNBTEVQUklDRS41LzE5LzIwMjQuNS8xOS8yMDI1AQAAAEtVAAACAAAAEDkuMjAwMTYxODIzODQ5OTkAH4mPTfaW3QjwxvJ29pbdCC9DSVFQQy5BTVpOLklRX0xBU1RTQUxFUFJJQ0UuNS8xOS8yMDI0LjUvMTkvMjAyNQEAAAA9SQAAAgAAABAxMS42MTg4NDEzNjQzNzQ3AB+Jj032lt0I8MbydvaW3QgvQ0lRUEMuQ09TVC5JUV9MQVNUU0FMRVBSSUNFLjUvMTkvMjAyNC41LzE5LzIwMjUBAAAAkWoBAAIAAAAQMjkuOTczMjM0ODE3MzU1OQAfiY9N9pbdCCWh8nb2lt0ILUNJUVBDLkhELklRX0xBU1RTQUxF</t>
  </si>
  <si>
    <t>UFJJQ0UuNS8xOS8yMDI0LjUvMTkvMjAyNQEAAACXQAQAAgAAABAxMC4yMTc1OTk3MjExMDA1AB+Jj032lt0IJaHydvaW3QguQ0lRUEMuQ01HLklRX0xBU1RTQUxFUFJJQ0UuNS8xOS8yMDI0LjUvMTkvMjAyNQEAAABOZwAAAgAAABEtMTguNjY5NDU5MTEzNzgxOQAfiY9N9pbdCCWh8nb2lt0ILkNJUVBDLldNVC5JUV9MQVNUU0FMRVBSSUNFLjUvMTkvMjAyNC41LzE5LzIwMjUBAAAA38YEAAIAAAAQNTEuNzcxMDc1MDE5MzM0OQAfiY9N9pbdCCWh8nb2lt0IL0NJUVBDLkNBU1kuSVFfTEFTVFNBTEVQUklDRS41LzE5LzIwMjQuNS8xOS8yMDI1AQAAAEXyAwACAAAAEDM1Ljk1MTQ3MjUxNjk5MDYAH4mPTfaW3QggevJ29pbdCDJDSVFQQy5UU1g6QllELklRX0xBU1RTQUxFUFJJQ0UuNS8xOS8yMDI0LjUvMTkvMjAyNQEAAAAXOxYAAgAAABEtMTIuNDkzMTIyNzQyODY3OQAfiY9N9pbdCCB68nb2lt0IMkNJUVBDLkFTWDpNUDEuSVFfTEFTVFNBTEVQUklDRS41LzE5LzIwMjQuNS8xOS8yMDI1AQAAALu3JRACAAAAES0xNS43MjQ5ODI5ODE2MjAxAB+Jj032lt0IIHrydvaW3QgvQ0lRUEMuRVFJWC5JUV9MQVNUU0FMRVBSSUNFLjUvMTkvMjAyNC41LzE5LzIwMjUBAAAAKm4AAAIAAAAQOS43MTk1NjU0MDc2NDkxMwAfiY9N9pbdCCWh8nb2lt0IMkNJUVBDLlRTWDpDU1UuSVFfTEFTVFNBTEVQUklDRS41LzE5LzIw</t>
  </si>
  <si>
    <t>MjQuNS8xOS8yMDI1AQAAAGGaAQACAAAAEDM0LjAzNTc5MTcyOTk4MTUAH4mPTfaW3QggevJ29pbdCC5DSVFQQy5UREcuSVFfTEFTVFNBTEVQUklDRS41LzE5LzIwMjQuNS8xOS8yMDI1AQAAADTnWwECAAAAEDExLjQ1OTQyMTgwNDI0OTQAH4mPTfaW3QggevJ29pbdCDRDSVFQQy5UV1NFOjIzMzAuSVFfTEFTVFNBTEVQUklDRS41LzE5LzIwMjAuNS8xOS8yMDI1AQAAAKvMBQACAAAAEDIzNy41NjQzMjI0Njk5ODMAH4mPTfaW3QjDO/N29pbdCDBDSVFQQy5HT09HTC5JUV9MQVNUU0FMRVBSSUNFLjUvMTkvMjAyMC41LzE5LzIwMjUBAAAAqHEAAAIAAAAQMTQyLjM0NTc1MDg3MzEwOAAfiY9N9pbdCMM783b2lt0IL0NJUVBDLk1FVEEuSVFfTEFTVFNBTEVQUklDRS41LzE5LzIwMjAuNS8xOS8yMDI1AQAAABfbPAECAAAAEDE5NS4yOTIzMjc1NTQ0MDgAH4mPTfaW3QjRFPN29pbdCC9DSVFQQy5NU0ZULklRX0xBU1RTQUxFUFJJQ0UuNS8xOS8yMDIwLjUvMTkvMjAyNQEAAABLVQAAAgAAABAxNDkuODg4MzYyNDY4MDA2AB+Jj032lt0IwzvzdvaW3QgvQ0lRUEMuQU1aTi5JUV9MQVNUU0FMRVBSSUNFLjUvMTkvMjAyMC41LzE5LzIwMjUBAAAAPUkAAAIAAAAQNjguMzM5OTEzMzY0MDYyOAAfiY9N9pbdCMM783b2lt0IL0NJUVBDLkNPU1QuSVFfTEFTVFNBTEVQUklDRS41LzE5LzIwMjAuNS8xOS8yMDI1AQAAAJFq</t>
  </si>
  <si>
    <t>AQACAAAAEDIzOS41Mzk3Njk1NTY1MTEAH4mPTfaW3QjDO/N29pbdCC1DSVFQQy5IRC5JUV9MQVNUU0FMRVBSSUNFLjUvMTkvMjAyMC41LzE5LzIwMjUBAAAAl0AEAAIAAAAQNTkuMzM2NDEzMjcxNzM0NgAfiY9N9pbdCNEU83b2lt0ILkNJUVBDLkNNRy5JUV9MQVNUU0FMRVBSSUNFLjUvMTkvMjAyMC41LzE5LzIwMjUBAAAATmcAAAIAAAAQMTU4Ljk5ODI5NTQ3NzA2OAAfiY9N9pbdCNEU83b2lt0ILkNJUVBDLldNVC5JUV9MQVNUU0FMRVBSSUNFLjUvMTkvMjAyMC41LzE5LzIwMjUBAAAA38YEAAIAAAAQMTM1LjU4MjIzMjg5MzE1NwAfiY9N9pbdCNEU83b2lt0IL0NJUVBDLkNBU1kuSVFfTEFTVFNBTEVQUklDRS41LzE5LzIwMjAuNS8xOS8yMDI1AQAAAEXyAwACAAAAEDIxMy41MDcwMTEyNzMwMjcAH4mPTfaW3QjRFPN29pbdCDJDSVFQQy5UU1g6QllELklRX0xBU1RTQUxFUFJJQ0UuNS8xOS8yMDIwLjUvMTkvMjAyNQEAAAAXOxYAAgAAAA8yLjI1MTQ0NTU4OTQyMTkAH4mPTfaW3QjRFPN29pbdCDJDSVFQQy5BU1g6TVAxLklRX0xBU1RTQUxFUFJJQ0UuNS8xOS8yMDIwLjUvMTkvMjAyNQEAAAC7tyUQAgAAABEtMTAuMjI0ODAwNTgwMTMwNQAfiY9N9pbdCNEU83b2lt0IL0NJUVBDLkVRSVguSVFfTEFTVFNBTEVQUklDRS41LzE5LzIwMjAuNS8xOS8yMDI1AQAAACpuAAACAAAADzM0Ljk4Mzc3MjQ3NjI3</t>
  </si>
  <si>
    <t>NAAfiY9N9pbdCNEU83b2lt0IMkNJUVBDLlRTWDpDU1UuSVFfTEFTVFNBTEVQUklDRS41LzE5LzIwMjAuNS8xOS8yMDI1AQAAAGGaAQACAAAAEDIzOS4zNTcwNDI3MDIwOTkAH4mPTfaW3QjRFPN29pbdCC5DSVFQQy5UREcuSVFfTEFTVFNBTEVQUklDRS41LzE5LzIwMjAuNS8xOS8yMDI1AQAAADTnWwECAAAAEDI5OC42NzEwOTYzNDU1MTUAH4mPTfaW3QgA7/J29pbdCDRDSVFQQy5UV1NFOjIzMzAuSVFfTEFTVFNBTEVQUklDRS41LzE5LzIwMTUuNS8xOS8yMDI1AQAAAKvMBQACAAAAEDU3MS42NzIzNTQ5NDg4MDUAH4mPTfaW3QgA7/J29pbdCDBDSVFQQy5HT09HTC5JUV9MQVNUU0FMRVBSSUNFLjUvMTkvMjAxNS41LzE5LzIwMjUBAAAAqHEAAAIAAAAQNTA2LjM5MzgyNDY0MzE2OQAfiY9N9pbdCADv8nb2lt0IL0NJUVBDLk1FVEEuSVFfTEFTVFNBTEVQUklDRS41LzE5LzIwMTUuNS8xOS8yMDI1AQAAABfbPAECAAAAEDY5NC4yODI1MjUxMTQ3MjIAH4mPTfaW3QgA7/J29pbdCC9DSVFQQy5NU0ZULklRX0xBU1RTQUxFUFJJQ0UuNS8xOS8yMDE1LjUvMTkvMjAyNQEAAABLVQAAAgAAABA4NjQuNDE3ODIyNjE0NTQ0AB+Jj032lt0IAO/ydvaW3QgvQ0lRUEMuQU1aTi5JUV9MQVNUU0FMRVBSSUNFLjUvMTkvMjAxNS41LzE5LzIwMjUBAAAAPUkAAAIAAAAQODc3LjczMzUxMzU1MTk2NwAfiY9N9pbdCADv8nb2</t>
  </si>
  <si>
    <t>lt0IL0NJUVBDLkNPU1QuSVFfTEFTVFNBTEVQUklDRS41LzE5LzIwMTUuNS8xOS8yMDI1AQAAAJFqAQACAAAAEDYxNC42MTkzMTczOTY3MTEAH4mPTfaW3QgA7/J29pbdCC1DSVFQQy5IRC5JUV9MQVNUU0FMRVBSSUNFLjUvMTkvMjAxNS41LzE5LzIwMjUBAAAAl0AEAAIAAAAQMjM3LjcwNjk2MTAxMTIxNgAfiY9N9pbdCADv8nb2lt0ILkNJUVBDLkNNRy5JUV9MQVNUU0FMRVBSSUNFLjUvMTkvMjAxNS41LzE5LzIwMjUBAAAATmcAAAIAAAAPMzEwLjQ0MzY1OTIwNjkxAB+Jj032lt0I8MbydvaW3QguQ0lRUEMuV01ULklRX0xBU1RTQUxFUFJJQ0UuNS8xOS8yMDE1LjUvMTkvMjAyNQEAAADfxgQAAgAAABAyODUuMTM2NzM2NDk0NDg1AB+Jj032lt0I8MbydvaW3QgvQ0lRUEMuQ0FTWS5JUV9MQVNUU0FMRVBSSUNFLjUvMTkvMjAxNS41LzE5LzIwMjUBAAAARfIDAAIAAAAQNDAwLjgxMjU2MTc2NTY3NQAfiY9N9pbdCADv8nb2lt0IMkNJUVBDLlRTWDpCWUQuSVFfTEFTVFNBTEVQUklDRS41LzE5LzIwMTUuNS8xOS8yMDI1AQAAABc7FgACAAAAEDIyOS4wMjA2MTgxNjc3NTgAH4mPTfaW3QgA7/J29pbdCDJDSVFQQy5BU1g6TVAxLklRX0xBU1RTQUxFUFJJQ0UuNS8xOS8yMDE1LjUvMTkvMjAyNQEAAAC7tyUQAwAAAAAAH4mPTfaW3QjwxvJ29pbdCC9DSVFQQy5FUUlYLklRX0xBU1RTQUxFUFJJQ0UuNS8xOS8y</t>
  </si>
  <si>
    <t>MDE1LjUvMTkvMjAyNQEAAAAqbgAAAgAAABAyMzIuODE2MjkyNDc1NzI4AB+Jj032lt0I8MbydvaW3QgyQ0lRUEMuVFNYOkNTVS5JUV9MQVNUU0FMRVBSSUNFLjUvMTkvMjAxNS41LzE5LzIwMjUBAAAAYZoBAAIAAAAQNzk1LjU2NjcxNzI3NjQwNQAfiY9N9pbdCPDG8nb2lt0ILkNJUVBDLlRERy5JUV9MQVNUU0FMRVBSSUNFLjUvMTkvMjAxNS41LzE5LzIwMjUBAAAANOdbAQIAAAAQNTI5LjI2MDYxODc3Mjk0MgAfiY9N9pbdCPDG8nb2lt0IKUNJUS5UV1NFOjIzMzAuSVFfTEFTVFNBTEVQUklDRS4xMi8zMS8xOTk3AQAAAKvMBQACAAAACTIzLjU1MTQ5NAAfiY9N9pbdCOwtA072lt0IKUNJUS5UV1NFOjIzMzAuSVFfTEFTVFNBTEVQUklDRS4xMi8zMS8xOTk4AQAAAKvMBQACAAAACTIxLjY0ODQ0NgAfiY9N9pbdCElXCk72lt0IKUNJUS5UV1NFOjIzMzAuSVFfTEFTVFNBTEVQUklDRS4xMi8zMS8xOTk5AQAAAKvMBQACAAAACTYyLjYzMTA5OAAfiY9N9pbdCElXCk72lt0IKUNJUS5UV1NFOjIzMzAuSVFfTEFTVFNBTEVQUklDRS4xMi8zMS8yMDAwAQAAAKvMBQACAAAACTM4LjE2MzcxNgAfiY9N9pbdCId+Ck72lt0IKUNJUS5UV1NFOjIzMzAuSVFfTEFTVFNBTEVQUklDRS4xMi8zMS8yMDAxAQAAAKvMBQACAAAACTU4LjgwNTcyNgAfiY9N9pbdCHLLCk72lt0IKUNJUS5UV1NFOjIzMzAuSVFfTEFTVFNBTEV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</si>
</sst>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6">
    <numFmt numFmtId="5" formatCode="&quot;$&quot;#,##0_);\(&quot;$&quot;#,##0\)"/>
    <numFmt numFmtId="41" formatCode="_(* #,##0_);_(* \(#,##0\);_(* &quot;-&quot;_);_(@_)"/>
    <numFmt numFmtId="43" formatCode="_(* #,##0.00_);_(* \(#,##0.00\);_(* &quot;-&quot;??_);_(@_)"/>
    <numFmt numFmtId="164" formatCode="m/d/yy;@"/>
    <numFmt numFmtId="165" formatCode="_(* #,##0.0\p_);_(* \(#,##0.0\p\);_(* &quot;-&quot;_);_(@_)"/>
    <numFmt numFmtId="166" formatCode="#,##0.0_);\(#,##0.0\);\–_);&quot;–&quot;_)"/>
    <numFmt numFmtId="167" formatCode="#,##0_);\(#,##0\);\–_);&quot;–&quot;_)"/>
    <numFmt numFmtId="168" formatCode="0.0%_);\(0.0%\);&quot;–&quot;_)"/>
    <numFmt numFmtId="169" formatCode="_(* #,##0%_);_(* \(#,##0%\);_(* &quot;-&quot;??_);_(@_)"/>
    <numFmt numFmtId="170" formatCode="_(* #,##0%_);_(* \(#,##0%\);_(* &quot;-&quot;_);_(@_)"/>
    <numFmt numFmtId="171" formatCode="0%_);\(0%\);&quot;–&quot;_)"/>
    <numFmt numFmtId="172" formatCode="0.0\x_);\(0.0\x\);&quot;–&quot;_)"/>
    <numFmt numFmtId="173" formatCode="_(* #,##0.0_);_(* \(#,##0.0\);_(* &quot;-&quot;_);_(@_)"/>
    <numFmt numFmtId="174" formatCode="mm/dd/yy;@"/>
    <numFmt numFmtId="175" formatCode="_(* #,##0.0%_);_(* \(#,##0.0%\);_(* &quot;-&quot;_);_(@_)"/>
    <numFmt numFmtId="176" formatCode="#,##0%_);\(#,##0%\)"/>
    <numFmt numFmtId="177" formatCode="_(* #,##0.0\x_);_(* \(#,##0.0\x\);_(* &quot;-&quot;_);_(@_)"/>
    <numFmt numFmtId="178" formatCode="0.0\x_);\(0.0\x\);0.0\x_)"/>
    <numFmt numFmtId="179" formatCode="&quot;On&quot;;;&quot;Off&quot;"/>
    <numFmt numFmtId="180" formatCode="\+0%_);\(0%\);&quot;–&quot;_)"/>
    <numFmt numFmtId="181" formatCode="_(* #,##0.0%_);_(* \(#,##0.0%\);_(* &quot;-&quot;??_);_(@_)"/>
    <numFmt numFmtId="182" formatCode="_(* #,##0.00_);_(* \(#,##0.00\);_(* &quot;-&quot;_);_(@_)"/>
    <numFmt numFmtId="183" formatCode="#,##0.00_);\(#,##0.00\);\–_);&quot;–&quot;_)"/>
    <numFmt numFmtId="184" formatCode="0%_);\(0%\);&quot;–&quot;_);_(@_)"/>
    <numFmt numFmtId="185" formatCode="0.0000\x_);\(0.0000\x\);&quot;–&quot;_)"/>
    <numFmt numFmtId="186" formatCode="_(* #,##0%_);_(* \(#,##0%\);_(* &quot;-&quot;?_);_(@_)"/>
    <numFmt numFmtId="187" formatCode="_(* #,##0_);_(* \(#,##0\);_(* &quot;-&quot;?_);_(@_)"/>
    <numFmt numFmtId="188" formatCode="_-* #,##0.00_-;\-* #,##0.00_-;_-* &quot;-&quot;??_-;_-@_-"/>
    <numFmt numFmtId="189" formatCode="_-&quot;$&quot;* #,##0.00_-;\-&quot;$&quot;* #,##0.00_-;_-&quot;$&quot;* &quot;-&quot;??_-;_-@_-"/>
    <numFmt numFmtId="190" formatCode="_-&quot;$&quot;* #,##0_-;\-&quot;$&quot;* #,##0_-;_-&quot;$&quot;* &quot;-&quot;_-;_-@_-"/>
    <numFmt numFmtId="191" formatCode="0.00_)"/>
    <numFmt numFmtId="192" formatCode="#,##0.00_);\(#,##0.00\);0.00_);@_)"/>
    <numFmt numFmtId="193" formatCode="#,##0\+_);\(#,##0\);\–_);&quot;–&quot;_)"/>
    <numFmt numFmtId="194" formatCode="_(* #,##0_);_(* \(#,##0\);_(* &quot;-&quot;??_);_(@_)"/>
    <numFmt numFmtId="195" formatCode="0.000\x_);\(0.000\x\);&quot;–&quot;_)"/>
    <numFmt numFmtId="196" formatCode="#,##0.0000\x_);\(0.0000\x\);&quot;–&quot;_)"/>
    <numFmt numFmtId="197" formatCode="_(* \+#,##0%_);_(* \(#,##0%\);_(* &quot;-&quot;_);_(@_)"/>
    <numFmt numFmtId="198" formatCode="_(* \+#,##0%_);_(* \(#,##0%\);_(* &quot;-&quot;??_);_(@_)"/>
    <numFmt numFmtId="199" formatCode="_(* \+#,##0.00%_);_(* \(#,##0.00%\);_(* &quot;-&quot;??_);_(@_)"/>
    <numFmt numFmtId="200" formatCode="0.00000000_);\(0.00000000\)"/>
    <numFmt numFmtId="201" formatCode="\+0.0%_);\(0.0%\);&quot;–&quot;_)"/>
    <numFmt numFmtId="202" formatCode="_(* #,##0_);_(* \(#,##0\);_(* &quot;–&quot;_);_(@_)"/>
    <numFmt numFmtId="203" formatCode="\+0%_);\(0%\);&quot;–&quot;_);_(@_)"/>
    <numFmt numFmtId="204" formatCode="\+#,##0%_);\(0%\);&quot;–&quot;_);_(@_)"/>
    <numFmt numFmtId="205" formatCode="_(* #,##0.00000_);_(* \(#,##0.00000\);_(* &quot;-&quot;_);_(@_)"/>
    <numFmt numFmtId="206" formatCode="#,##0.0;\(#,##0.0\);\–_);&quot;–&quot;_)"/>
    <numFmt numFmtId="207" formatCode="0.0\x_);\(0.0\x\);&quot;-&quot;_);_(@_)"/>
    <numFmt numFmtId="208" formatCode="#,##0.0\x_);\(#,##0.0\x\)"/>
    <numFmt numFmtId="209" formatCode="_(* #,##0.0%_);_(* \(#,##0.0%\);_(* &quot;-&quot;?_);_(@_)"/>
    <numFmt numFmtId="210" formatCode="General_)"/>
    <numFmt numFmtId="211" formatCode="_-* #,##0_-;\-* #,##0_-;_-* &quot;-&quot;_-;_-@_-"/>
    <numFmt numFmtId="212" formatCode="0\x_);\(0\x\);&quot;–&quot;_)"/>
    <numFmt numFmtId="213" formatCode="0.00%_);\(0.00%\);&quot;–&quot;_)"/>
    <numFmt numFmtId="214" formatCode="_(#,##0.0_)_%;_(\(#,##0.0\)_%;_(&quot;–&quot;_)_%;@_(_%"/>
    <numFmt numFmtId="215" formatCode="0.0%"/>
    <numFmt numFmtId="216" formatCode="#,##0_);\(#,##0\);\–_);&quot;n/a&quot;_)"/>
  </numFmts>
  <fonts count="93">
    <font>
      <sz val="11"/>
      <color theme="1"/>
      <name val="Calibri"/>
      <family val="2"/>
      <scheme val="minor"/>
    </font>
    <font>
      <sz val="8"/>
      <color theme="1"/>
      <name val="Arial"/>
      <family val="2"/>
    </font>
    <font>
      <sz val="8"/>
      <color theme="1"/>
      <name val="Arial"/>
      <family val="2"/>
    </font>
    <font>
      <sz val="8"/>
      <color theme="1"/>
      <name val="Arial"/>
      <family val="2"/>
    </font>
    <font>
      <sz val="8"/>
      <name val="Arial"/>
      <family val="2"/>
    </font>
    <font>
      <sz val="8"/>
      <color theme="1"/>
      <name val="Arial"/>
      <family val="2"/>
    </font>
    <font>
      <sz val="8"/>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11"/>
      <color theme="1"/>
      <name val="Calibri"/>
      <family val="2"/>
      <scheme val="minor"/>
    </font>
    <font>
      <b/>
      <sz val="8"/>
      <color theme="1"/>
      <name val="Arial"/>
      <family val="2"/>
    </font>
    <font>
      <sz val="8"/>
      <color theme="1"/>
      <name val="Arial"/>
      <family val="2"/>
    </font>
    <font>
      <i/>
      <sz val="8"/>
      <color theme="1"/>
      <name val="Arial"/>
      <family val="2"/>
    </font>
    <font>
      <b/>
      <sz val="10"/>
      <color theme="1"/>
      <name val="Arial"/>
      <family val="2"/>
    </font>
    <font>
      <b/>
      <u val="singleAccounting"/>
      <sz val="8"/>
      <color theme="1"/>
      <name val="Arial"/>
      <family val="2"/>
    </font>
    <font>
      <sz val="8"/>
      <color rgb="FF0000FF"/>
      <name val="Arial"/>
      <family val="2"/>
    </font>
    <font>
      <u val="singleAccounting"/>
      <sz val="8"/>
      <color rgb="FF0000FF"/>
      <name val="Arial"/>
      <family val="2"/>
    </font>
    <font>
      <sz val="8"/>
      <color rgb="FF000000"/>
      <name val="Arial"/>
      <family val="2"/>
    </font>
    <font>
      <u val="singleAccounting"/>
      <sz val="8"/>
      <color rgb="FF000000"/>
      <name val="Arial"/>
      <family val="2"/>
    </font>
    <font>
      <sz val="9"/>
      <color indexed="81"/>
      <name val="Tahoma"/>
      <family val="2"/>
    </font>
    <font>
      <b/>
      <sz val="9"/>
      <color indexed="81"/>
      <name val="Tahoma"/>
      <family val="2"/>
    </font>
    <font>
      <u/>
      <sz val="8"/>
      <color theme="1"/>
      <name val="Arial"/>
      <family val="2"/>
    </font>
    <font>
      <u val="singleAccounting"/>
      <sz val="8"/>
      <color theme="1"/>
      <name val="Arial"/>
      <family val="2"/>
    </font>
    <font>
      <i/>
      <u/>
      <sz val="8"/>
      <color theme="1"/>
      <name val="Arial"/>
      <family val="2"/>
    </font>
    <font>
      <sz val="10"/>
      <name val="Arial"/>
      <family val="2"/>
    </font>
    <font>
      <i/>
      <sz val="8"/>
      <color rgb="FF000000"/>
      <name val="Arial"/>
      <family val="2"/>
    </font>
    <font>
      <i/>
      <u val="singleAccounting"/>
      <sz val="8"/>
      <color rgb="FF000000"/>
      <name val="Arial"/>
      <family val="2"/>
    </font>
    <font>
      <i/>
      <u val="singleAccounting"/>
      <sz val="8"/>
      <color theme="1"/>
      <name val="Arial"/>
      <family val="2"/>
    </font>
    <font>
      <i/>
      <sz val="8"/>
      <color rgb="FF0000FF"/>
      <name val="Arial"/>
      <family val="2"/>
    </font>
    <font>
      <i/>
      <u val="singleAccounting"/>
      <sz val="8"/>
      <color rgb="FF0000FF"/>
      <name val="Arial"/>
      <family val="2"/>
    </font>
    <font>
      <i/>
      <sz val="8"/>
      <color rgb="FF008000"/>
      <name val="Arial"/>
      <family val="2"/>
    </font>
    <font>
      <i/>
      <sz val="8"/>
      <color rgb="FF800080"/>
      <name val="Arial"/>
      <family val="2"/>
    </font>
    <font>
      <i/>
      <sz val="8"/>
      <color rgb="FFFF0000"/>
      <name val="Arial"/>
      <family val="2"/>
    </font>
    <font>
      <sz val="8"/>
      <color rgb="FF008000"/>
      <name val="Arial"/>
      <family val="2"/>
    </font>
    <font>
      <sz val="8"/>
      <color rgb="FF800080"/>
      <name val="Arial"/>
      <family val="2"/>
    </font>
    <font>
      <sz val="8"/>
      <color rgb="FFFF0000"/>
      <name val="Arial"/>
      <family val="2"/>
    </font>
    <font>
      <u val="singleAccounting"/>
      <sz val="8"/>
      <color rgb="FFFF0000"/>
      <name val="Arial"/>
      <family val="2"/>
    </font>
    <font>
      <sz val="8"/>
      <color rgb="FFFFFFFF"/>
      <name val="Arial"/>
      <family val="2"/>
    </font>
    <font>
      <u val="singleAccounting"/>
      <sz val="8"/>
      <color rgb="FF008000"/>
      <name val="Arial"/>
      <family val="2"/>
    </font>
    <font>
      <b/>
      <i/>
      <sz val="8"/>
      <color theme="1"/>
      <name val="Arial"/>
      <family val="2"/>
    </font>
    <font>
      <b/>
      <u/>
      <sz val="8"/>
      <color theme="1"/>
      <name val="Arial"/>
      <family val="2"/>
    </font>
    <font>
      <b/>
      <sz val="8"/>
      <color rgb="FF008000"/>
      <name val="Arial"/>
      <family val="2"/>
    </font>
    <font>
      <b/>
      <sz val="8"/>
      <color rgb="FF000000"/>
      <name val="Arial"/>
      <family val="2"/>
    </font>
    <font>
      <b/>
      <i/>
      <u/>
      <sz val="8"/>
      <color theme="1"/>
      <name val="Arial"/>
      <family val="2"/>
    </font>
    <font>
      <i/>
      <sz val="11"/>
      <color theme="1"/>
      <name val="Calibri"/>
      <family val="2"/>
      <scheme val="minor"/>
    </font>
    <font>
      <sz val="1"/>
      <color indexed="9"/>
      <name val="Symbol"/>
      <family val="1"/>
      <charset val="2"/>
    </font>
    <font>
      <sz val="11"/>
      <color indexed="8"/>
      <name val="Calibri"/>
      <family val="2"/>
      <scheme val="minor"/>
    </font>
    <font>
      <b/>
      <sz val="11"/>
      <color theme="1"/>
      <name val="Calibri"/>
      <family val="2"/>
      <scheme val="minor"/>
    </font>
    <font>
      <b/>
      <i/>
      <sz val="8"/>
      <color rgb="FF000000"/>
      <name val="Arial"/>
      <family val="2"/>
    </font>
    <font>
      <i/>
      <u val="singleAccounting"/>
      <sz val="8"/>
      <color rgb="FF008000"/>
      <name val="Arial"/>
      <family val="2"/>
    </font>
    <font>
      <b/>
      <i/>
      <sz val="8"/>
      <color rgb="FFFF0000"/>
      <name val="Arial"/>
      <family val="2"/>
    </font>
    <font>
      <b/>
      <sz val="10"/>
      <color rgb="FFFF0000"/>
      <name val="Arial"/>
      <family val="2"/>
    </font>
    <font>
      <sz val="12"/>
      <name val="新細明體"/>
      <family val="1"/>
      <charset val="136"/>
    </font>
    <font>
      <sz val="12"/>
      <name val="Times New Roman"/>
      <family val="1"/>
    </font>
    <font>
      <sz val="10"/>
      <color indexed="8"/>
      <name val="微軟正黑體"/>
      <family val="2"/>
      <charset val="136"/>
    </font>
    <font>
      <sz val="12"/>
      <color theme="1"/>
      <name val="Calibri"/>
      <family val="1"/>
      <charset val="136"/>
      <scheme val="minor"/>
    </font>
    <font>
      <i/>
      <u val="singleAccounting"/>
      <sz val="8"/>
      <color rgb="FFFF0000"/>
      <name val="Arial"/>
      <family val="2"/>
    </font>
    <font>
      <sz val="8"/>
      <name val="Arial"/>
      <family val="2"/>
    </font>
    <font>
      <b/>
      <i/>
      <sz val="16"/>
      <name val="Helv"/>
      <family val="2"/>
    </font>
    <font>
      <i/>
      <u/>
      <sz val="8"/>
      <color rgb="FF0000FF"/>
      <name val="Arial"/>
      <family val="2"/>
    </font>
    <font>
      <i/>
      <sz val="8"/>
      <name val="Arial"/>
      <family val="2"/>
    </font>
    <font>
      <u val="singleAccounting"/>
      <sz val="11"/>
      <color theme="1"/>
      <name val="Calibri"/>
      <family val="2"/>
      <scheme val="minor"/>
    </font>
    <font>
      <sz val="11"/>
      <color rgb="FF0000FF"/>
      <name val="Calibri"/>
      <family val="2"/>
      <scheme val="minor"/>
    </font>
    <font>
      <b/>
      <i/>
      <u val="singleAccounting"/>
      <sz val="8"/>
      <color rgb="FF000000"/>
      <name val="Arial"/>
      <family val="2"/>
    </font>
    <font>
      <b/>
      <sz val="8"/>
      <color indexed="8"/>
      <name val="Arial"/>
      <family val="2"/>
    </font>
    <font>
      <b/>
      <u val="singleAccounting"/>
      <sz val="8"/>
      <color indexed="8"/>
      <name val="Arial"/>
      <family val="2"/>
    </font>
    <font>
      <sz val="8"/>
      <color indexed="8"/>
      <name val="Arial"/>
      <family val="2"/>
    </font>
    <font>
      <i/>
      <sz val="8"/>
      <color indexed="8"/>
      <name val="Arial"/>
      <family val="2"/>
    </font>
    <font>
      <b/>
      <i/>
      <u/>
      <sz val="8"/>
      <color indexed="8"/>
      <name val="Arial"/>
      <family val="2"/>
    </font>
    <font>
      <u/>
      <sz val="8"/>
      <color rgb="FF0000FF"/>
      <name val="Arial"/>
      <family val="2"/>
    </font>
    <font>
      <u val="singleAccounting"/>
      <sz val="8"/>
      <color rgb="FF800080"/>
      <name val="Arial"/>
      <family val="2"/>
    </font>
    <font>
      <i/>
      <u val="singleAccounting"/>
      <sz val="8"/>
      <color rgb="FF800080"/>
      <name val="Arial"/>
      <family val="2"/>
    </font>
    <font>
      <b/>
      <u val="singleAccounting"/>
      <sz val="8"/>
      <color rgb="FF000000"/>
      <name val="Arial"/>
      <family val="2"/>
    </font>
    <font>
      <b/>
      <i/>
      <sz val="8"/>
      <color rgb="FF800080"/>
      <name val="Arial"/>
      <family val="2"/>
    </font>
    <font>
      <sz val="8"/>
      <color rgb="FF00B050"/>
      <name val="Arial"/>
      <family val="2"/>
    </font>
    <font>
      <b/>
      <sz val="8"/>
      <color rgb="FF0000FF"/>
      <name val="Arial"/>
      <family val="2"/>
    </font>
    <font>
      <b/>
      <sz val="8"/>
      <color rgb="FFFF0000"/>
      <name val="Arial"/>
      <family val="2"/>
    </font>
    <font>
      <b/>
      <sz val="8"/>
      <name val="Arial"/>
      <family val="2"/>
    </font>
    <font>
      <b/>
      <i/>
      <u val="singleAccounting"/>
      <sz val="8"/>
      <color theme="1"/>
      <name val="Arial"/>
      <family val="2"/>
    </font>
    <font>
      <b/>
      <u val="doubleAccounting"/>
      <sz val="8"/>
      <color theme="1"/>
      <name val="Arial"/>
      <family val="2"/>
    </font>
    <font>
      <u val="singleAccounting"/>
      <sz val="8"/>
      <color rgb="FF00B050"/>
      <name val="Arial"/>
      <family val="2"/>
    </font>
    <font>
      <u val="singleAccounting"/>
      <sz val="8"/>
      <name val="Arial"/>
      <family val="2"/>
    </font>
    <font>
      <b/>
      <u val="singleAccounting"/>
      <vertAlign val="superscript"/>
      <sz val="8"/>
      <color theme="1"/>
      <name val="Arial"/>
      <family val="2"/>
    </font>
    <font>
      <vertAlign val="superscript"/>
      <sz val="8"/>
      <color theme="1"/>
      <name val="Arial"/>
      <family val="2"/>
    </font>
    <font>
      <sz val="8"/>
      <color theme="9" tint="-0.249977111117893"/>
      <name val="Arial"/>
      <family val="2"/>
    </font>
    <font>
      <sz val="8"/>
      <name val="Calibri"/>
      <family val="2"/>
      <scheme val="minor"/>
    </font>
    <font>
      <i/>
      <sz val="8"/>
      <color theme="9" tint="-0.249977111117893"/>
      <name val="Arial"/>
      <family val="2"/>
    </font>
    <font>
      <b/>
      <sz val="8"/>
      <color theme="9" tint="-0.249977111117893"/>
      <name val="Arial"/>
      <family val="2"/>
    </font>
    <font>
      <u val="singleAccounting"/>
      <sz val="8"/>
      <color theme="9" tint="-0.249977111117893"/>
      <name val="Arial"/>
      <family val="2"/>
    </font>
  </fonts>
  <fills count="11">
    <fill>
      <patternFill patternType="none"/>
    </fill>
    <fill>
      <patternFill patternType="gray125"/>
    </fill>
    <fill>
      <patternFill patternType="solid">
        <fgColor rgb="FFFFFFCC"/>
        <bgColor indexed="64"/>
      </patternFill>
    </fill>
    <fill>
      <patternFill patternType="solid">
        <fgColor theme="0" tint="-4.9989318521683403E-2"/>
        <bgColor indexed="64"/>
      </patternFill>
    </fill>
    <fill>
      <patternFill patternType="solid">
        <fgColor indexed="22"/>
        <bgColor indexed="64"/>
      </patternFill>
    </fill>
    <fill>
      <patternFill patternType="solid">
        <fgColor indexed="26"/>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EAEAEA"/>
        <bgColor indexed="64"/>
      </patternFill>
    </fill>
    <fill>
      <patternFill patternType="solid">
        <fgColor rgb="FFFFFF00"/>
        <bgColor indexed="64"/>
      </patternFill>
    </fill>
    <fill>
      <patternFill patternType="solid">
        <fgColor rgb="FFCCFFCC"/>
        <bgColor indexed="64"/>
      </patternFill>
    </fill>
  </fills>
  <borders count="18">
    <border>
      <left/>
      <right/>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dotted">
        <color theme="0" tint="-0.24994659260841701"/>
      </left>
      <right style="dotted">
        <color theme="0" tint="-0.24994659260841701"/>
      </right>
      <top style="dotted">
        <color theme="0" tint="-0.24994659260841701"/>
      </top>
      <bottom style="dotted">
        <color theme="0" tint="-0.24994659260841701"/>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s>
  <cellStyleXfs count="32">
    <xf numFmtId="0" fontId="0" fillId="0" borderId="0"/>
    <xf numFmtId="0" fontId="13" fillId="0" borderId="0"/>
    <xf numFmtId="0" fontId="28" fillId="0" borderId="0"/>
    <xf numFmtId="0" fontId="49" fillId="0" borderId="0" applyAlignment="0"/>
    <xf numFmtId="0" fontId="50" fillId="0" borderId="0"/>
    <xf numFmtId="0" fontId="56" fillId="0" borderId="0"/>
    <xf numFmtId="188" fontId="58" fillId="0" borderId="0" applyFont="0" applyFill="0" applyBorder="0" applyAlignment="0" applyProtection="0">
      <alignment vertical="center"/>
    </xf>
    <xf numFmtId="189" fontId="28" fillId="0" borderId="0" applyFont="0" applyFill="0" applyBorder="0" applyAlignment="0" applyProtection="0"/>
    <xf numFmtId="0" fontId="28" fillId="0" borderId="0"/>
    <xf numFmtId="189" fontId="56" fillId="0" borderId="0" applyFont="0" applyFill="0" applyBorder="0" applyAlignment="0" applyProtection="0"/>
    <xf numFmtId="0" fontId="59" fillId="0" borderId="0">
      <alignment vertical="center"/>
    </xf>
    <xf numFmtId="188" fontId="56" fillId="0" borderId="0" applyFont="0" applyFill="0" applyBorder="0" applyAlignment="0" applyProtection="0"/>
    <xf numFmtId="189" fontId="28" fillId="0" borderId="0" applyFont="0" applyFill="0" applyBorder="0" applyAlignment="0" applyProtection="0"/>
    <xf numFmtId="0" fontId="28" fillId="0" borderId="0"/>
    <xf numFmtId="189" fontId="28" fillId="0" borderId="0" applyFont="0" applyFill="0" applyBorder="0" applyAlignment="0" applyProtection="0"/>
    <xf numFmtId="0" fontId="59" fillId="0" borderId="0">
      <alignment vertical="center"/>
    </xf>
    <xf numFmtId="0" fontId="57" fillId="0" borderId="0"/>
    <xf numFmtId="0" fontId="28" fillId="0" borderId="0"/>
    <xf numFmtId="9" fontId="56" fillId="0" borderId="0" applyFont="0" applyFill="0" applyBorder="0" applyAlignment="0" applyProtection="0">
      <alignment vertical="center"/>
    </xf>
    <xf numFmtId="9" fontId="56" fillId="0" borderId="0" applyFont="0" applyFill="0" applyBorder="0" applyAlignment="0" applyProtection="0"/>
    <xf numFmtId="0" fontId="57" fillId="0" borderId="0"/>
    <xf numFmtId="192" fontId="28" fillId="0" borderId="0" applyFont="0" applyFill="0" applyBorder="0" applyAlignment="0" applyProtection="0"/>
    <xf numFmtId="38" fontId="61" fillId="4" borderId="0" applyNumberFormat="0" applyBorder="0" applyAlignment="0" applyProtection="0"/>
    <xf numFmtId="10" fontId="61" fillId="5" borderId="4" applyNumberFormat="0" applyBorder="0" applyAlignment="0" applyProtection="0"/>
    <xf numFmtId="191" fontId="62" fillId="0" borderId="0"/>
    <xf numFmtId="10" fontId="28" fillId="0" borderId="0" applyFont="0" applyFill="0" applyBorder="0" applyAlignment="0" applyProtection="0"/>
    <xf numFmtId="188" fontId="57" fillId="0" borderId="0" applyFont="0" applyFill="0" applyBorder="0" applyAlignment="0" applyProtection="0"/>
    <xf numFmtId="9" fontId="57" fillId="0" borderId="0" applyFont="0" applyFill="0" applyBorder="0" applyAlignment="0" applyProtection="0"/>
    <xf numFmtId="190" fontId="56" fillId="0" borderId="0" applyFont="0" applyFill="0" applyBorder="0" applyAlignment="0" applyProtection="0"/>
    <xf numFmtId="0" fontId="15" fillId="0" borderId="0"/>
    <xf numFmtId="0" fontId="57" fillId="0" borderId="0"/>
    <xf numFmtId="9" fontId="13" fillId="0" borderId="0" applyFont="0" applyFill="0" applyBorder="0" applyAlignment="0" applyProtection="0"/>
  </cellStyleXfs>
  <cellXfs count="700">
    <xf numFmtId="0" fontId="0" fillId="0" borderId="0" xfId="0"/>
    <xf numFmtId="0" fontId="14" fillId="0" borderId="0" xfId="0" applyFont="1" applyAlignment="1">
      <alignment horizontal="centerContinuous"/>
    </xf>
    <xf numFmtId="0" fontId="15" fillId="0" borderId="0" xfId="0" applyFont="1"/>
    <xf numFmtId="0" fontId="15" fillId="0" borderId="0" xfId="0" applyFont="1" applyAlignment="1">
      <alignment horizontal="centerContinuous"/>
    </xf>
    <xf numFmtId="0" fontId="17" fillId="0" borderId="0" xfId="0" applyFont="1" applyAlignment="1">
      <alignment horizontal="centerContinuous"/>
    </xf>
    <xf numFmtId="0" fontId="14" fillId="0" borderId="0" xfId="0" applyFont="1"/>
    <xf numFmtId="0" fontId="16" fillId="0" borderId="0" xfId="0" applyFont="1"/>
    <xf numFmtId="0" fontId="16" fillId="0" borderId="1" xfId="0" applyFont="1" applyBorder="1"/>
    <xf numFmtId="0" fontId="18" fillId="0" borderId="0" xfId="0" applyFont="1" applyAlignment="1">
      <alignment horizontal="center"/>
    </xf>
    <xf numFmtId="0" fontId="16" fillId="0" borderId="0" xfId="0" applyFont="1" applyAlignment="1">
      <alignment horizontal="left" indent="1"/>
    </xf>
    <xf numFmtId="0" fontId="15" fillId="0" borderId="3" xfId="0" applyFont="1" applyBorder="1"/>
    <xf numFmtId="0" fontId="14" fillId="0" borderId="2" xfId="0" applyFont="1" applyBorder="1" applyAlignment="1">
      <alignment vertical="center"/>
    </xf>
    <xf numFmtId="0" fontId="15" fillId="0" borderId="0" xfId="0" applyFont="1" applyAlignment="1">
      <alignment horizontal="left" indent="1"/>
    </xf>
    <xf numFmtId="0" fontId="15" fillId="0" borderId="0" xfId="0" applyFont="1" applyAlignment="1">
      <alignment horizontal="left"/>
    </xf>
    <xf numFmtId="41" fontId="19" fillId="0" borderId="0" xfId="0" applyNumberFormat="1" applyFont="1"/>
    <xf numFmtId="41" fontId="20" fillId="0" borderId="0" xfId="0" applyNumberFormat="1" applyFont="1"/>
    <xf numFmtId="41" fontId="19" fillId="0" borderId="0" xfId="0" applyNumberFormat="1" applyFont="1" applyAlignment="1">
      <alignment vertical="center"/>
    </xf>
    <xf numFmtId="41" fontId="20" fillId="0" borderId="0" xfId="0" applyNumberFormat="1" applyFont="1" applyAlignment="1">
      <alignment vertical="center"/>
    </xf>
    <xf numFmtId="0" fontId="15" fillId="0" borderId="0" xfId="0" applyFont="1" applyAlignment="1">
      <alignment vertical="center"/>
    </xf>
    <xf numFmtId="41" fontId="15" fillId="0" borderId="0" xfId="0" applyNumberFormat="1" applyFont="1"/>
    <xf numFmtId="41" fontId="21" fillId="0" borderId="0" xfId="0" applyNumberFormat="1" applyFont="1" applyAlignment="1">
      <alignment vertical="center"/>
    </xf>
    <xf numFmtId="41" fontId="22" fillId="0" borderId="0" xfId="0" applyNumberFormat="1" applyFont="1" applyAlignment="1">
      <alignment vertical="center"/>
    </xf>
    <xf numFmtId="0" fontId="18" fillId="0" borderId="0" xfId="0" applyFont="1" applyAlignment="1">
      <alignment horizontal="centerContinuous"/>
    </xf>
    <xf numFmtId="0" fontId="26" fillId="0" borderId="0" xfId="0" applyFont="1" applyAlignment="1">
      <alignment horizontal="centerContinuous"/>
    </xf>
    <xf numFmtId="41" fontId="26" fillId="0" borderId="0" xfId="0" applyNumberFormat="1" applyFont="1"/>
    <xf numFmtId="0" fontId="25" fillId="0" borderId="0" xfId="0" applyFont="1"/>
    <xf numFmtId="41" fontId="21" fillId="0" borderId="0" xfId="0" applyNumberFormat="1" applyFont="1" applyAlignment="1">
      <alignment horizontal="right" vertical="center"/>
    </xf>
    <xf numFmtId="167" fontId="15" fillId="0" borderId="0" xfId="0" applyNumberFormat="1" applyFont="1"/>
    <xf numFmtId="168" fontId="15" fillId="0" borderId="0" xfId="0" applyNumberFormat="1" applyFont="1"/>
    <xf numFmtId="41" fontId="16" fillId="0" borderId="0" xfId="0" applyNumberFormat="1" applyFont="1"/>
    <xf numFmtId="0" fontId="15" fillId="0" borderId="0" xfId="0" applyFont="1" applyAlignment="1">
      <alignment horizontal="left" vertical="center"/>
    </xf>
    <xf numFmtId="0" fontId="15" fillId="0" borderId="0" xfId="0" applyFont="1" applyAlignment="1">
      <alignment horizontal="left" vertical="center" indent="1"/>
    </xf>
    <xf numFmtId="0" fontId="27" fillId="0" borderId="0" xfId="0" applyFont="1" applyAlignment="1">
      <alignment horizontal="left" indent="1"/>
    </xf>
    <xf numFmtId="41" fontId="29" fillId="0" borderId="0" xfId="0" applyNumberFormat="1" applyFont="1" applyAlignment="1">
      <alignment horizontal="right" vertical="center"/>
    </xf>
    <xf numFmtId="169" fontId="16" fillId="0" borderId="0" xfId="0" applyNumberFormat="1" applyFont="1" applyAlignment="1">
      <alignment horizontal="right"/>
    </xf>
    <xf numFmtId="0" fontId="16" fillId="0" borderId="0" xfId="0" applyFont="1" applyAlignment="1">
      <alignment horizontal="left" vertical="center" indent="1"/>
    </xf>
    <xf numFmtId="0" fontId="16" fillId="0" borderId="0" xfId="0" applyFont="1" applyAlignment="1">
      <alignment horizontal="left" vertical="center" indent="2"/>
    </xf>
    <xf numFmtId="41" fontId="15" fillId="0" borderId="0" xfId="0" applyNumberFormat="1" applyFont="1" applyAlignment="1">
      <alignment horizontal="right"/>
    </xf>
    <xf numFmtId="169" fontId="32" fillId="0" borderId="0" xfId="0" applyNumberFormat="1" applyFont="1" applyAlignment="1">
      <alignment horizontal="right"/>
    </xf>
    <xf numFmtId="0" fontId="16" fillId="0" borderId="0" xfId="0" applyFont="1" applyAlignment="1">
      <alignment horizontal="center"/>
    </xf>
    <xf numFmtId="169" fontId="29" fillId="0" borderId="0" xfId="0" applyNumberFormat="1" applyFont="1" applyAlignment="1">
      <alignment horizontal="right"/>
    </xf>
    <xf numFmtId="0" fontId="16" fillId="0" borderId="0" xfId="0" applyFont="1" applyAlignment="1">
      <alignment horizontal="left" indent="2"/>
    </xf>
    <xf numFmtId="168" fontId="16" fillId="0" borderId="0" xfId="0" applyNumberFormat="1" applyFont="1"/>
    <xf numFmtId="171" fontId="16" fillId="0" borderId="0" xfId="0" applyNumberFormat="1" applyFont="1"/>
    <xf numFmtId="41" fontId="14" fillId="0" borderId="0" xfId="0" applyNumberFormat="1" applyFont="1"/>
    <xf numFmtId="171" fontId="32" fillId="0" borderId="0" xfId="0" applyNumberFormat="1" applyFont="1"/>
    <xf numFmtId="171" fontId="36" fillId="0" borderId="0" xfId="0" applyNumberFormat="1" applyFont="1"/>
    <xf numFmtId="171" fontId="16" fillId="0" borderId="0" xfId="0" applyNumberFormat="1" applyFont="1" applyAlignment="1">
      <alignment horizontal="right"/>
    </xf>
    <xf numFmtId="0" fontId="14" fillId="0" borderId="0" xfId="0" applyFont="1" applyAlignment="1">
      <alignment horizontal="left"/>
    </xf>
    <xf numFmtId="41" fontId="37" fillId="0" borderId="0" xfId="0" applyNumberFormat="1" applyFont="1"/>
    <xf numFmtId="41" fontId="39" fillId="0" borderId="0" xfId="0" applyNumberFormat="1" applyFont="1"/>
    <xf numFmtId="41" fontId="40" fillId="0" borderId="0" xfId="0" applyNumberFormat="1" applyFont="1"/>
    <xf numFmtId="0" fontId="16" fillId="0" borderId="0" xfId="0" applyFont="1" applyAlignment="1">
      <alignment vertical="center"/>
    </xf>
    <xf numFmtId="41" fontId="21" fillId="0" borderId="0" xfId="0" applyNumberFormat="1" applyFont="1"/>
    <xf numFmtId="0" fontId="0" fillId="0" borderId="0" xfId="0" applyAlignment="1">
      <alignment vertical="center"/>
    </xf>
    <xf numFmtId="0" fontId="14" fillId="0" borderId="0" xfId="0" applyFont="1" applyAlignment="1">
      <alignment vertical="center"/>
    </xf>
    <xf numFmtId="41" fontId="15" fillId="0" borderId="0" xfId="0" applyNumberFormat="1" applyFont="1" applyAlignment="1">
      <alignment vertical="center"/>
    </xf>
    <xf numFmtId="41" fontId="37" fillId="0" borderId="0" xfId="0" applyNumberFormat="1" applyFont="1" applyAlignment="1">
      <alignment vertical="center"/>
    </xf>
    <xf numFmtId="43" fontId="15" fillId="0" borderId="0" xfId="0" applyNumberFormat="1" applyFont="1"/>
    <xf numFmtId="41" fontId="42" fillId="0" borderId="0" xfId="0" applyNumberFormat="1" applyFont="1"/>
    <xf numFmtId="0" fontId="14" fillId="0" borderId="0" xfId="0" applyFont="1" applyAlignment="1">
      <alignment horizontal="left" indent="1"/>
    </xf>
    <xf numFmtId="171" fontId="43" fillId="0" borderId="0" xfId="0" applyNumberFormat="1" applyFont="1" applyAlignment="1">
      <alignment horizontal="right"/>
    </xf>
    <xf numFmtId="164" fontId="16" fillId="0" borderId="0" xfId="0" applyNumberFormat="1" applyFont="1" applyAlignment="1">
      <alignment vertical="center"/>
    </xf>
    <xf numFmtId="167" fontId="16" fillId="0" borderId="0" xfId="0" applyNumberFormat="1" applyFont="1"/>
    <xf numFmtId="0" fontId="15" fillId="0" borderId="0" xfId="0" applyFont="1" applyAlignment="1">
      <alignment horizontal="center"/>
    </xf>
    <xf numFmtId="0" fontId="44" fillId="0" borderId="0" xfId="0" applyFont="1"/>
    <xf numFmtId="171" fontId="36" fillId="0" borderId="0" xfId="0" applyNumberFormat="1" applyFont="1" applyAlignment="1">
      <alignment vertical="center"/>
    </xf>
    <xf numFmtId="171" fontId="16" fillId="0" borderId="0" xfId="0" applyNumberFormat="1" applyFont="1" applyAlignment="1">
      <alignment horizontal="right" vertical="center"/>
    </xf>
    <xf numFmtId="171" fontId="29" fillId="0" borderId="0" xfId="0" applyNumberFormat="1" applyFont="1" applyAlignment="1">
      <alignment vertical="center"/>
    </xf>
    <xf numFmtId="41" fontId="21" fillId="0" borderId="0" xfId="0" applyNumberFormat="1" applyFont="1" applyAlignment="1">
      <alignment horizontal="right"/>
    </xf>
    <xf numFmtId="41" fontId="26" fillId="0" borderId="0" xfId="0" applyNumberFormat="1" applyFont="1" applyAlignment="1">
      <alignment vertical="center"/>
    </xf>
    <xf numFmtId="167" fontId="16" fillId="0" borderId="0" xfId="0" applyNumberFormat="1" applyFont="1" applyAlignment="1">
      <alignment horizontal="right"/>
    </xf>
    <xf numFmtId="168" fontId="16" fillId="0" borderId="0" xfId="0" applyNumberFormat="1" applyFont="1" applyAlignment="1">
      <alignment horizontal="right" vertical="center"/>
    </xf>
    <xf numFmtId="171" fontId="16" fillId="0" borderId="1" xfId="0" applyNumberFormat="1" applyFont="1" applyBorder="1" applyAlignment="1">
      <alignment horizontal="right"/>
    </xf>
    <xf numFmtId="0" fontId="0" fillId="0" borderId="1" xfId="0" applyBorder="1"/>
    <xf numFmtId="0" fontId="15" fillId="0" borderId="1" xfId="0" quotePrefix="1" applyFont="1" applyBorder="1"/>
    <xf numFmtId="172" fontId="16" fillId="0" borderId="0" xfId="0" applyNumberFormat="1" applyFont="1" applyAlignment="1">
      <alignment horizontal="right"/>
    </xf>
    <xf numFmtId="172" fontId="15" fillId="0" borderId="0" xfId="0" applyNumberFormat="1" applyFont="1"/>
    <xf numFmtId="0" fontId="27" fillId="0" borderId="0" xfId="0" quotePrefix="1" applyFont="1" applyAlignment="1">
      <alignment horizontal="left" indent="1"/>
    </xf>
    <xf numFmtId="0" fontId="16" fillId="0" borderId="0" xfId="0" quotePrefix="1" applyFont="1" applyAlignment="1">
      <alignment horizontal="left" indent="1"/>
    </xf>
    <xf numFmtId="0" fontId="44" fillId="0" borderId="0" xfId="0" quotePrefix="1" applyFont="1" applyAlignment="1">
      <alignment horizontal="left"/>
    </xf>
    <xf numFmtId="0" fontId="15" fillId="0" borderId="0" xfId="0" quotePrefix="1" applyFont="1" applyAlignment="1">
      <alignment horizontal="left" vertical="center"/>
    </xf>
    <xf numFmtId="0" fontId="31" fillId="0" borderId="0" xfId="0" applyFont="1" applyAlignment="1">
      <alignment horizontal="center"/>
    </xf>
    <xf numFmtId="41" fontId="16" fillId="0" borderId="0" xfId="0" applyNumberFormat="1" applyFont="1" applyAlignment="1">
      <alignment horizontal="right"/>
    </xf>
    <xf numFmtId="173" fontId="16" fillId="0" borderId="0" xfId="0" applyNumberFormat="1" applyFont="1" applyAlignment="1">
      <alignment horizontal="right"/>
    </xf>
    <xf numFmtId="0" fontId="31" fillId="0" borderId="0" xfId="0" applyFont="1" applyAlignment="1">
      <alignment horizontal="centerContinuous"/>
    </xf>
    <xf numFmtId="173" fontId="35" fillId="0" borderId="0" xfId="0" applyNumberFormat="1" applyFont="1" applyAlignment="1">
      <alignment horizontal="right"/>
    </xf>
    <xf numFmtId="0" fontId="15" fillId="0" borderId="0" xfId="1" applyFont="1" applyAlignment="1">
      <alignment horizontal="centerContinuous"/>
    </xf>
    <xf numFmtId="0" fontId="18" fillId="0" borderId="0" xfId="1" applyFont="1" applyAlignment="1">
      <alignment horizontal="center"/>
    </xf>
    <xf numFmtId="0" fontId="18" fillId="0" borderId="0" xfId="1" applyFont="1" applyAlignment="1">
      <alignment horizontal="centerContinuous"/>
    </xf>
    <xf numFmtId="0" fontId="15" fillId="0" borderId="0" xfId="1" applyFont="1" applyAlignment="1">
      <alignment horizontal="center"/>
    </xf>
    <xf numFmtId="41" fontId="22" fillId="0" borderId="0" xfId="0" applyNumberFormat="1" applyFont="1"/>
    <xf numFmtId="41" fontId="46" fillId="0" borderId="0" xfId="0" applyNumberFormat="1" applyFont="1"/>
    <xf numFmtId="175" fontId="36" fillId="0" borderId="0" xfId="1" applyNumberFormat="1" applyFont="1"/>
    <xf numFmtId="0" fontId="27" fillId="0" borderId="0" xfId="0" applyFont="1" applyAlignment="1">
      <alignment horizontal="left" vertical="center" indent="1"/>
    </xf>
    <xf numFmtId="41" fontId="35" fillId="0" borderId="0" xfId="0" applyNumberFormat="1" applyFont="1"/>
    <xf numFmtId="0" fontId="15" fillId="0" borderId="0" xfId="1" applyFont="1"/>
    <xf numFmtId="41" fontId="15" fillId="0" borderId="0" xfId="1" applyNumberFormat="1" applyFont="1"/>
    <xf numFmtId="164" fontId="29" fillId="0" borderId="0" xfId="0" applyNumberFormat="1" applyFont="1" applyAlignment="1">
      <alignment horizontal="center"/>
    </xf>
    <xf numFmtId="164" fontId="32" fillId="0" borderId="0" xfId="0" applyNumberFormat="1" applyFont="1" applyAlignment="1">
      <alignment horizontal="center"/>
    </xf>
    <xf numFmtId="174" fontId="16" fillId="0" borderId="0" xfId="0" applyNumberFormat="1" applyFont="1" applyAlignment="1">
      <alignment horizontal="center"/>
    </xf>
    <xf numFmtId="41" fontId="18" fillId="0" borderId="6" xfId="1" applyNumberFormat="1" applyFont="1" applyBorder="1" applyAlignment="1">
      <alignment horizontal="center"/>
    </xf>
    <xf numFmtId="41" fontId="15" fillId="0" borderId="7" xfId="0" applyNumberFormat="1" applyFont="1" applyBorder="1" applyAlignment="1">
      <alignment vertical="center"/>
    </xf>
    <xf numFmtId="41" fontId="26" fillId="0" borderId="7" xfId="0" applyNumberFormat="1" applyFont="1" applyBorder="1" applyAlignment="1">
      <alignment vertical="center"/>
    </xf>
    <xf numFmtId="172" fontId="14" fillId="0" borderId="8" xfId="0" applyNumberFormat="1" applyFont="1" applyBorder="1"/>
    <xf numFmtId="0" fontId="15" fillId="0" borderId="0" xfId="1" applyFont="1" applyAlignment="1">
      <alignment vertical="center"/>
    </xf>
    <xf numFmtId="41" fontId="15" fillId="0" borderId="0" xfId="1" applyNumberFormat="1" applyFont="1" applyAlignment="1">
      <alignment vertical="center"/>
    </xf>
    <xf numFmtId="41" fontId="37" fillId="0" borderId="0" xfId="1" applyNumberFormat="1" applyFont="1" applyAlignment="1">
      <alignment vertical="center"/>
    </xf>
    <xf numFmtId="41" fontId="42" fillId="0" borderId="0" xfId="1" applyNumberFormat="1" applyFont="1" applyAlignment="1">
      <alignment vertical="center"/>
    </xf>
    <xf numFmtId="41" fontId="29" fillId="0" borderId="0" xfId="0" applyNumberFormat="1" applyFont="1" applyAlignment="1">
      <alignment horizontal="right"/>
    </xf>
    <xf numFmtId="0" fontId="27" fillId="0" borderId="0" xfId="0" applyFont="1" applyAlignment="1">
      <alignment horizontal="left" indent="2"/>
    </xf>
    <xf numFmtId="167" fontId="36" fillId="0" borderId="0" xfId="0" applyNumberFormat="1" applyFont="1" applyAlignment="1">
      <alignment horizontal="right"/>
    </xf>
    <xf numFmtId="0" fontId="44" fillId="0" borderId="0" xfId="0" applyFont="1" applyAlignment="1">
      <alignment horizontal="centerContinuous"/>
    </xf>
    <xf numFmtId="0" fontId="25" fillId="0" borderId="0" xfId="0" applyFont="1" applyAlignment="1">
      <alignment horizontal="centerContinuous"/>
    </xf>
    <xf numFmtId="168" fontId="15" fillId="0" borderId="0" xfId="0" applyNumberFormat="1" applyFont="1" applyAlignment="1">
      <alignment horizontal="center"/>
    </xf>
    <xf numFmtId="171" fontId="16" fillId="0" borderId="0" xfId="0" applyNumberFormat="1" applyFont="1" applyAlignment="1">
      <alignment horizontal="left" vertical="center"/>
    </xf>
    <xf numFmtId="0" fontId="15" fillId="0" borderId="0" xfId="0" quotePrefix="1" applyFont="1"/>
    <xf numFmtId="41" fontId="14" fillId="0" borderId="0" xfId="0" applyNumberFormat="1" applyFont="1" applyAlignment="1">
      <alignment vertical="center"/>
    </xf>
    <xf numFmtId="171" fontId="15" fillId="0" borderId="0" xfId="0" applyNumberFormat="1" applyFont="1" applyAlignment="1">
      <alignment horizontal="center" vertical="center"/>
    </xf>
    <xf numFmtId="169" fontId="36" fillId="0" borderId="0" xfId="0" applyNumberFormat="1" applyFont="1" applyAlignment="1">
      <alignment horizontal="right"/>
    </xf>
    <xf numFmtId="169" fontId="29" fillId="0" borderId="0" xfId="0" applyNumberFormat="1" applyFont="1" applyAlignment="1">
      <alignment horizontal="right" vertical="center"/>
    </xf>
    <xf numFmtId="167" fontId="14" fillId="0" borderId="5" xfId="0" applyNumberFormat="1" applyFont="1" applyBorder="1" applyAlignment="1">
      <alignment horizontal="center"/>
    </xf>
    <xf numFmtId="180" fontId="16" fillId="0" borderId="4" xfId="0" applyNumberFormat="1" applyFont="1" applyBorder="1" applyAlignment="1">
      <alignment horizontal="right" vertical="center"/>
    </xf>
    <xf numFmtId="0" fontId="17" fillId="0" borderId="1" xfId="0" applyFont="1" applyBorder="1" applyAlignment="1">
      <alignment horizontal="centerContinuous"/>
    </xf>
    <xf numFmtId="164" fontId="16" fillId="0" borderId="0" xfId="0" applyNumberFormat="1" applyFont="1" applyAlignment="1">
      <alignment horizontal="right"/>
    </xf>
    <xf numFmtId="176" fontId="46" fillId="0" borderId="0" xfId="0" applyNumberFormat="1" applyFont="1" applyAlignment="1">
      <alignment horizontal="center"/>
    </xf>
    <xf numFmtId="41" fontId="29" fillId="0" borderId="0" xfId="0" applyNumberFormat="1" applyFont="1" applyAlignment="1">
      <alignment vertical="center"/>
    </xf>
    <xf numFmtId="181" fontId="16" fillId="0" borderId="0" xfId="0" applyNumberFormat="1" applyFont="1" applyAlignment="1">
      <alignment horizontal="right"/>
    </xf>
    <xf numFmtId="0" fontId="14" fillId="0" borderId="0" xfId="0" applyFont="1" applyAlignment="1">
      <alignment horizontal="left" vertical="center"/>
    </xf>
    <xf numFmtId="0" fontId="14" fillId="0" borderId="0" xfId="0" applyFont="1" applyAlignment="1">
      <alignment horizontal="left" vertical="center" indent="1"/>
    </xf>
    <xf numFmtId="0" fontId="14" fillId="2" borderId="2" xfId="1" applyFont="1" applyFill="1" applyBorder="1" applyAlignment="1">
      <alignment vertical="center"/>
    </xf>
    <xf numFmtId="41" fontId="14" fillId="2" borderId="5" xfId="1" applyNumberFormat="1" applyFont="1" applyFill="1" applyBorder="1" applyAlignment="1">
      <alignment vertical="center"/>
    </xf>
    <xf numFmtId="176" fontId="14" fillId="2" borderId="3" xfId="1" applyNumberFormat="1" applyFont="1" applyFill="1" applyBorder="1" applyAlignment="1">
      <alignment vertical="center"/>
    </xf>
    <xf numFmtId="41" fontId="26" fillId="0" borderId="0" xfId="0" applyNumberFormat="1" applyFont="1" applyAlignment="1">
      <alignment horizontal="right" vertical="center"/>
    </xf>
    <xf numFmtId="169" fontId="16" fillId="0" borderId="0" xfId="0" applyNumberFormat="1" applyFont="1" applyAlignment="1">
      <alignment vertical="center"/>
    </xf>
    <xf numFmtId="0" fontId="16" fillId="0" borderId="0" xfId="0" applyFont="1" applyAlignment="1">
      <alignment horizontal="left" vertical="center" indent="3"/>
    </xf>
    <xf numFmtId="169" fontId="16" fillId="0" borderId="0" xfId="0" applyNumberFormat="1" applyFont="1" applyAlignment="1">
      <alignment horizontal="right" vertical="center"/>
    </xf>
    <xf numFmtId="169" fontId="19" fillId="0" borderId="0" xfId="0" applyNumberFormat="1" applyFont="1" applyAlignment="1">
      <alignment vertical="center"/>
    </xf>
    <xf numFmtId="169" fontId="21" fillId="0" borderId="0" xfId="0" applyNumberFormat="1" applyFont="1" applyAlignment="1">
      <alignment horizontal="right" vertical="center"/>
    </xf>
    <xf numFmtId="169" fontId="19" fillId="0" borderId="0" xfId="0" applyNumberFormat="1" applyFont="1" applyAlignment="1">
      <alignment horizontal="right" vertical="center"/>
    </xf>
    <xf numFmtId="169" fontId="34" fillId="0" borderId="0" xfId="0" applyNumberFormat="1" applyFont="1" applyAlignment="1">
      <alignment horizontal="right"/>
    </xf>
    <xf numFmtId="181" fontId="16" fillId="0" borderId="0" xfId="0" applyNumberFormat="1" applyFont="1"/>
    <xf numFmtId="169" fontId="36" fillId="0" borderId="0" xfId="0" applyNumberFormat="1" applyFont="1" applyAlignment="1">
      <alignment horizontal="right" vertical="center"/>
    </xf>
    <xf numFmtId="168" fontId="15" fillId="0" borderId="0" xfId="0" applyNumberFormat="1" applyFont="1" applyAlignment="1">
      <alignment horizontal="center" vertical="center"/>
    </xf>
    <xf numFmtId="41" fontId="35" fillId="0" borderId="0" xfId="0" applyNumberFormat="1" applyFont="1" applyAlignment="1">
      <alignment vertical="center"/>
    </xf>
    <xf numFmtId="177" fontId="40" fillId="0" borderId="0" xfId="0" applyNumberFormat="1" applyFont="1" applyAlignment="1">
      <alignment horizontal="right"/>
    </xf>
    <xf numFmtId="41" fontId="26" fillId="0" borderId="0" xfId="1" applyNumberFormat="1" applyFont="1" applyAlignment="1">
      <alignment horizontal="center"/>
    </xf>
    <xf numFmtId="0" fontId="14" fillId="0" borderId="5" xfId="0" applyFont="1" applyBorder="1"/>
    <xf numFmtId="41" fontId="45" fillId="0" borderId="5" xfId="0" applyNumberFormat="1" applyFont="1" applyBorder="1"/>
    <xf numFmtId="41" fontId="14" fillId="0" borderId="5" xfId="0" applyNumberFormat="1" applyFont="1" applyBorder="1"/>
    <xf numFmtId="41" fontId="46" fillId="0" borderId="5" xfId="0" applyNumberFormat="1" applyFont="1" applyBorder="1"/>
    <xf numFmtId="0" fontId="14" fillId="3" borderId="2" xfId="1" applyFont="1" applyFill="1" applyBorder="1" applyAlignment="1">
      <alignment horizontal="centerContinuous"/>
    </xf>
    <xf numFmtId="0" fontId="14" fillId="3" borderId="5" xfId="1" applyFont="1" applyFill="1" applyBorder="1" applyAlignment="1">
      <alignment horizontal="centerContinuous"/>
    </xf>
    <xf numFmtId="0" fontId="14" fillId="3" borderId="3" xfId="1" applyFont="1" applyFill="1" applyBorder="1" applyAlignment="1">
      <alignment horizontal="centerContinuous"/>
    </xf>
    <xf numFmtId="0" fontId="29" fillId="0" borderId="0" xfId="0" applyFont="1" applyAlignment="1">
      <alignment horizontal="left"/>
    </xf>
    <xf numFmtId="0" fontId="47" fillId="0" borderId="0" xfId="0" applyFont="1"/>
    <xf numFmtId="0" fontId="18" fillId="0" borderId="0" xfId="1" quotePrefix="1" applyFont="1" applyAlignment="1">
      <alignment horizontal="center"/>
    </xf>
    <xf numFmtId="0" fontId="14" fillId="0" borderId="2" xfId="0" quotePrefix="1" applyFont="1" applyBorder="1"/>
    <xf numFmtId="168" fontId="16" fillId="0" borderId="0" xfId="0" applyNumberFormat="1" applyFont="1" applyAlignment="1">
      <alignment vertical="center"/>
    </xf>
    <xf numFmtId="0" fontId="48" fillId="0" borderId="0" xfId="0" applyFont="1"/>
    <xf numFmtId="0" fontId="16" fillId="0" borderId="0" xfId="0" applyFont="1" applyAlignment="1">
      <alignment horizontal="right" vertical="center"/>
    </xf>
    <xf numFmtId="0" fontId="44" fillId="0" borderId="0" xfId="0" applyFont="1" applyAlignment="1">
      <alignment horizontal="left"/>
    </xf>
    <xf numFmtId="173" fontId="16" fillId="0" borderId="0" xfId="0" applyNumberFormat="1" applyFont="1" applyAlignment="1">
      <alignment horizontal="right" vertical="center"/>
    </xf>
    <xf numFmtId="181" fontId="29" fillId="0" borderId="0" xfId="0" applyNumberFormat="1" applyFont="1" applyAlignment="1">
      <alignment horizontal="right" vertical="center"/>
    </xf>
    <xf numFmtId="181" fontId="36" fillId="0" borderId="0" xfId="0" applyNumberFormat="1" applyFont="1" applyAlignment="1">
      <alignment horizontal="right" vertical="center"/>
    </xf>
    <xf numFmtId="181" fontId="16" fillId="0" borderId="0" xfId="0" applyNumberFormat="1" applyFont="1" applyAlignment="1">
      <alignment horizontal="right" vertical="center"/>
    </xf>
    <xf numFmtId="41" fontId="40" fillId="0" borderId="0" xfId="0" applyNumberFormat="1" applyFont="1" applyAlignment="1">
      <alignment vertical="center"/>
    </xf>
    <xf numFmtId="0" fontId="14" fillId="0" borderId="0" xfId="0" quotePrefix="1" applyFont="1"/>
    <xf numFmtId="0" fontId="47" fillId="0" borderId="0" xfId="0" applyFont="1" applyAlignment="1">
      <alignment horizontal="left" vertical="center"/>
    </xf>
    <xf numFmtId="0" fontId="15" fillId="0" borderId="0" xfId="0" applyFont="1" applyAlignment="1">
      <alignment horizontal="right" vertical="center"/>
    </xf>
    <xf numFmtId="182" fontId="16" fillId="0" borderId="0" xfId="0" applyNumberFormat="1" applyFont="1" applyAlignment="1">
      <alignment horizontal="right"/>
    </xf>
    <xf numFmtId="169" fontId="21" fillId="0" borderId="0" xfId="0" applyNumberFormat="1" applyFont="1" applyAlignment="1">
      <alignment vertical="center"/>
    </xf>
    <xf numFmtId="167" fontId="36" fillId="0" borderId="0" xfId="0" applyNumberFormat="1" applyFont="1" applyAlignment="1">
      <alignment horizontal="right" vertical="center"/>
    </xf>
    <xf numFmtId="171" fontId="15" fillId="0" borderId="0" xfId="0" applyNumberFormat="1" applyFont="1" applyAlignment="1">
      <alignment horizontal="right" vertical="center"/>
    </xf>
    <xf numFmtId="172" fontId="15" fillId="0" borderId="0" xfId="0" applyNumberFormat="1" applyFont="1" applyAlignment="1">
      <alignment vertical="center"/>
    </xf>
    <xf numFmtId="164" fontId="29" fillId="0" borderId="0" xfId="0" applyNumberFormat="1" applyFont="1" applyAlignment="1">
      <alignment horizontal="center" vertical="center"/>
    </xf>
    <xf numFmtId="167" fontId="16" fillId="0" borderId="0" xfId="0" applyNumberFormat="1" applyFont="1" applyAlignment="1">
      <alignment horizontal="right" vertical="center"/>
    </xf>
    <xf numFmtId="41" fontId="16" fillId="0" borderId="0" xfId="0" applyNumberFormat="1" applyFont="1" applyAlignment="1">
      <alignment vertical="center"/>
    </xf>
    <xf numFmtId="0" fontId="15" fillId="0" borderId="0" xfId="0" quotePrefix="1" applyFont="1" applyAlignment="1">
      <alignment vertical="center"/>
    </xf>
    <xf numFmtId="166" fontId="16" fillId="0" borderId="0" xfId="0" applyNumberFormat="1" applyFont="1" applyAlignment="1">
      <alignment horizontal="right"/>
    </xf>
    <xf numFmtId="166" fontId="36" fillId="0" borderId="0" xfId="1" applyNumberFormat="1" applyFont="1"/>
    <xf numFmtId="171" fontId="15" fillId="0" borderId="0" xfId="0" applyNumberFormat="1" applyFont="1" applyAlignment="1">
      <alignment horizontal="right"/>
    </xf>
    <xf numFmtId="0" fontId="14" fillId="0" borderId="5" xfId="0" applyFont="1" applyBorder="1" applyAlignment="1">
      <alignment horizontal="left" indent="1"/>
    </xf>
    <xf numFmtId="167" fontId="15" fillId="0" borderId="0" xfId="0" applyNumberFormat="1" applyFont="1" applyAlignment="1">
      <alignment horizontal="right" vertical="center"/>
    </xf>
    <xf numFmtId="0" fontId="44" fillId="0" borderId="0" xfId="0" applyFont="1" applyAlignment="1">
      <alignment horizontal="left" vertical="center"/>
    </xf>
    <xf numFmtId="0" fontId="17" fillId="0" borderId="3" xfId="0" applyFont="1" applyBorder="1" applyAlignment="1">
      <alignment horizontal="centerContinuous"/>
    </xf>
    <xf numFmtId="179" fontId="36" fillId="0" borderId="0" xfId="0" applyNumberFormat="1" applyFont="1" applyAlignment="1">
      <alignment horizontal="right" vertical="center"/>
    </xf>
    <xf numFmtId="0" fontId="29" fillId="0" borderId="0" xfId="0" applyFont="1" applyAlignment="1">
      <alignment horizontal="left" vertical="center" indent="2"/>
    </xf>
    <xf numFmtId="172" fontId="16" fillId="0" borderId="0" xfId="0" applyNumberFormat="1" applyFont="1" applyAlignment="1">
      <alignment horizontal="right" vertical="center"/>
    </xf>
    <xf numFmtId="168" fontId="37" fillId="0" borderId="0" xfId="0" applyNumberFormat="1" applyFont="1"/>
    <xf numFmtId="171" fontId="21" fillId="0" borderId="4" xfId="0" applyNumberFormat="1" applyFont="1" applyBorder="1"/>
    <xf numFmtId="171" fontId="16" fillId="0" borderId="0" xfId="0" applyNumberFormat="1" applyFont="1" applyAlignment="1">
      <alignment horizontal="center"/>
    </xf>
    <xf numFmtId="169" fontId="31" fillId="0" borderId="0" xfId="0" applyNumberFormat="1" applyFont="1" applyAlignment="1">
      <alignment vertical="center"/>
    </xf>
    <xf numFmtId="182" fontId="21" fillId="0" borderId="0" xfId="0" applyNumberFormat="1" applyFont="1"/>
    <xf numFmtId="41" fontId="29" fillId="0" borderId="0" xfId="0" applyNumberFormat="1" applyFont="1"/>
    <xf numFmtId="167" fontId="19" fillId="0" borderId="0" xfId="0" applyNumberFormat="1" applyFont="1" applyAlignment="1">
      <alignment horizontal="right" vertical="center"/>
    </xf>
    <xf numFmtId="169" fontId="36" fillId="0" borderId="0" xfId="0" applyNumberFormat="1" applyFont="1" applyAlignment="1">
      <alignment vertical="center"/>
    </xf>
    <xf numFmtId="167" fontId="32" fillId="0" borderId="0" xfId="0" applyNumberFormat="1" applyFont="1"/>
    <xf numFmtId="0" fontId="29" fillId="0" borderId="0" xfId="0" applyFont="1" applyAlignment="1">
      <alignment vertical="center"/>
    </xf>
    <xf numFmtId="181" fontId="36" fillId="0" borderId="0" xfId="0" applyNumberFormat="1" applyFont="1" applyAlignment="1">
      <alignment vertical="center"/>
    </xf>
    <xf numFmtId="182" fontId="14" fillId="0" borderId="0" xfId="0" applyNumberFormat="1" applyFont="1" applyAlignment="1">
      <alignment horizontal="right" vertical="center"/>
    </xf>
    <xf numFmtId="0" fontId="16" fillId="0" borderId="0" xfId="0" quotePrefix="1" applyFont="1" applyAlignment="1">
      <alignment horizontal="left" vertical="center" indent="1"/>
    </xf>
    <xf numFmtId="171" fontId="15" fillId="0" borderId="0" xfId="0" applyNumberFormat="1" applyFont="1" applyAlignment="1">
      <alignment horizontal="center"/>
    </xf>
    <xf numFmtId="184" fontId="16" fillId="0" borderId="0" xfId="0" applyNumberFormat="1" applyFont="1" applyAlignment="1">
      <alignment horizontal="right" vertical="center"/>
    </xf>
    <xf numFmtId="0" fontId="14" fillId="0" borderId="5" xfId="0" applyFont="1" applyBorder="1" applyAlignment="1">
      <alignment horizontal="left" vertical="center" indent="1"/>
    </xf>
    <xf numFmtId="0" fontId="14" fillId="0" borderId="5" xfId="0" applyFont="1" applyBorder="1" applyAlignment="1">
      <alignment vertical="center"/>
    </xf>
    <xf numFmtId="41" fontId="14" fillId="0" borderId="5" xfId="0" applyNumberFormat="1" applyFont="1" applyBorder="1" applyAlignment="1">
      <alignment vertical="center"/>
    </xf>
    <xf numFmtId="0" fontId="48" fillId="0" borderId="0" xfId="0" applyFont="1" applyAlignment="1">
      <alignment vertical="center"/>
    </xf>
    <xf numFmtId="0" fontId="38" fillId="0" borderId="0" xfId="0" applyFont="1"/>
    <xf numFmtId="41" fontId="36" fillId="0" borderId="0" xfId="0" applyNumberFormat="1" applyFont="1" applyAlignment="1">
      <alignment vertical="center"/>
    </xf>
    <xf numFmtId="41" fontId="42" fillId="0" borderId="0" xfId="0" applyNumberFormat="1" applyFont="1" applyAlignment="1">
      <alignment vertical="center"/>
    </xf>
    <xf numFmtId="170" fontId="29" fillId="0" borderId="0" xfId="0" applyNumberFormat="1" applyFont="1" applyAlignment="1">
      <alignment horizontal="right" vertical="center"/>
    </xf>
    <xf numFmtId="164" fontId="18" fillId="0" borderId="0" xfId="0" applyNumberFormat="1" applyFont="1" applyAlignment="1">
      <alignment horizontal="centerContinuous"/>
    </xf>
    <xf numFmtId="0" fontId="44" fillId="0" borderId="0" xfId="0" applyFont="1" applyAlignment="1">
      <alignment vertical="center"/>
    </xf>
    <xf numFmtId="0" fontId="15" fillId="0" borderId="0" xfId="0" quotePrefix="1" applyFont="1" applyAlignment="1">
      <alignment horizontal="left" vertical="center" indent="1"/>
    </xf>
    <xf numFmtId="0" fontId="51" fillId="0" borderId="0" xfId="0" applyFont="1"/>
    <xf numFmtId="169" fontId="30" fillId="0" borderId="0" xfId="0" applyNumberFormat="1" applyFont="1" applyAlignment="1">
      <alignment horizontal="right" vertical="center"/>
    </xf>
    <xf numFmtId="41" fontId="39" fillId="0" borderId="0" xfId="0" applyNumberFormat="1" applyFont="1" applyAlignment="1">
      <alignment vertical="center"/>
    </xf>
    <xf numFmtId="170" fontId="29" fillId="0" borderId="0" xfId="0" applyNumberFormat="1" applyFont="1" applyAlignment="1">
      <alignment horizontal="right"/>
    </xf>
    <xf numFmtId="169" fontId="52" fillId="0" borderId="4" xfId="0" applyNumberFormat="1" applyFont="1" applyBorder="1" applyAlignment="1">
      <alignment horizontal="right"/>
    </xf>
    <xf numFmtId="41" fontId="46" fillId="0" borderId="5" xfId="0" applyNumberFormat="1" applyFont="1" applyBorder="1" applyAlignment="1">
      <alignment vertical="center"/>
    </xf>
    <xf numFmtId="173" fontId="15" fillId="0" borderId="0" xfId="0" applyNumberFormat="1" applyFont="1" applyAlignment="1">
      <alignment horizontal="right"/>
    </xf>
    <xf numFmtId="183" fontId="21" fillId="0" borderId="0" xfId="0" applyNumberFormat="1" applyFont="1" applyAlignment="1">
      <alignment vertical="center"/>
    </xf>
    <xf numFmtId="182" fontId="19" fillId="0" borderId="0" xfId="0" applyNumberFormat="1" applyFont="1" applyAlignment="1">
      <alignment vertical="center"/>
    </xf>
    <xf numFmtId="0" fontId="16" fillId="0" borderId="0" xfId="1" applyFont="1" applyAlignment="1">
      <alignment horizontal="left" vertical="center" indent="2"/>
    </xf>
    <xf numFmtId="182" fontId="21" fillId="0" borderId="0" xfId="0" applyNumberFormat="1" applyFont="1" applyAlignment="1">
      <alignment vertical="center"/>
    </xf>
    <xf numFmtId="0" fontId="15" fillId="0" borderId="0" xfId="1" applyFont="1" applyAlignment="1">
      <alignment horizontal="left" vertical="center" indent="1"/>
    </xf>
    <xf numFmtId="167" fontId="21" fillId="0" borderId="0" xfId="0" applyNumberFormat="1" applyFont="1" applyAlignment="1">
      <alignment vertical="center"/>
    </xf>
    <xf numFmtId="169" fontId="32" fillId="0" borderId="0" xfId="0" applyNumberFormat="1" applyFont="1" applyAlignment="1">
      <alignment vertical="center"/>
    </xf>
    <xf numFmtId="186" fontId="30" fillId="0" borderId="0" xfId="0" applyNumberFormat="1" applyFont="1" applyAlignment="1">
      <alignment vertical="center"/>
    </xf>
    <xf numFmtId="41" fontId="18" fillId="0" borderId="0" xfId="0" applyNumberFormat="1" applyFont="1" applyAlignment="1">
      <alignment horizontal="center"/>
    </xf>
    <xf numFmtId="41" fontId="15" fillId="0" borderId="0" xfId="0" applyNumberFormat="1" applyFont="1" applyAlignment="1">
      <alignment horizontal="center" vertical="center"/>
    </xf>
    <xf numFmtId="0" fontId="54" fillId="0" borderId="0" xfId="0" applyFont="1"/>
    <xf numFmtId="169" fontId="36" fillId="0" borderId="9" xfId="0" applyNumberFormat="1" applyFont="1" applyBorder="1" applyAlignment="1">
      <alignment horizontal="right" vertical="center"/>
    </xf>
    <xf numFmtId="187" fontId="15" fillId="0" borderId="0" xfId="0" applyNumberFormat="1" applyFont="1" applyAlignment="1">
      <alignment horizontal="center" vertical="center"/>
    </xf>
    <xf numFmtId="0" fontId="55" fillId="0" borderId="1" xfId="0" applyFont="1" applyBorder="1" applyAlignment="1">
      <alignment horizontal="centerContinuous"/>
    </xf>
    <xf numFmtId="171" fontId="29" fillId="0" borderId="0" xfId="0" applyNumberFormat="1" applyFont="1" applyAlignment="1">
      <alignment horizontal="right" vertical="center"/>
    </xf>
    <xf numFmtId="0" fontId="25" fillId="0" borderId="0" xfId="0" applyFont="1" applyAlignment="1">
      <alignment horizontal="left"/>
    </xf>
    <xf numFmtId="0" fontId="25" fillId="0" borderId="0" xfId="0" applyFont="1" applyAlignment="1">
      <alignment horizontal="left" vertical="center"/>
    </xf>
    <xf numFmtId="41" fontId="19" fillId="0" borderId="0" xfId="0" applyNumberFormat="1" applyFont="1" applyAlignment="1">
      <alignment horizontal="right" vertical="center"/>
    </xf>
    <xf numFmtId="41" fontId="20" fillId="0" borderId="0" xfId="0" applyNumberFormat="1" applyFont="1" applyAlignment="1">
      <alignment horizontal="right" vertical="center"/>
    </xf>
    <xf numFmtId="182" fontId="37" fillId="0" borderId="0" xfId="0" applyNumberFormat="1" applyFont="1" applyAlignment="1">
      <alignment vertical="center"/>
    </xf>
    <xf numFmtId="183" fontId="37" fillId="0" borderId="0" xfId="0" applyNumberFormat="1" applyFont="1" applyAlignment="1">
      <alignment vertical="center"/>
    </xf>
    <xf numFmtId="0" fontId="25" fillId="0" borderId="0" xfId="0" applyFont="1" applyAlignment="1">
      <alignment vertical="center"/>
    </xf>
    <xf numFmtId="0" fontId="15" fillId="0" borderId="0" xfId="0" quotePrefix="1" applyFont="1" applyAlignment="1">
      <alignment horizontal="left"/>
    </xf>
    <xf numFmtId="41" fontId="17" fillId="0" borderId="0" xfId="0" applyNumberFormat="1" applyFont="1" applyAlignment="1">
      <alignment horizontal="centerContinuous"/>
    </xf>
    <xf numFmtId="41" fontId="16" fillId="0" borderId="1" xfId="0" applyNumberFormat="1" applyFont="1" applyBorder="1"/>
    <xf numFmtId="186" fontId="29" fillId="0" borderId="0" xfId="0" applyNumberFormat="1" applyFont="1" applyAlignment="1">
      <alignment vertical="center"/>
    </xf>
    <xf numFmtId="186" fontId="32" fillId="0" borderId="0" xfId="0" applyNumberFormat="1" applyFont="1" applyAlignment="1">
      <alignment vertical="center"/>
    </xf>
    <xf numFmtId="186" fontId="33" fillId="0" borderId="0" xfId="0" applyNumberFormat="1" applyFont="1" applyAlignment="1">
      <alignment vertical="center"/>
    </xf>
    <xf numFmtId="169" fontId="32" fillId="0" borderId="0" xfId="0" applyNumberFormat="1" applyFont="1" applyAlignment="1">
      <alignment horizontal="right" vertical="center"/>
    </xf>
    <xf numFmtId="169" fontId="33" fillId="0" borderId="0" xfId="0" applyNumberFormat="1" applyFont="1" applyAlignment="1">
      <alignment horizontal="right" vertical="center"/>
    </xf>
    <xf numFmtId="169" fontId="34" fillId="0" borderId="0" xfId="0" applyNumberFormat="1" applyFont="1" applyAlignment="1">
      <alignment horizontal="right" vertical="center"/>
    </xf>
    <xf numFmtId="169" fontId="60" fillId="0" borderId="0" xfId="0" applyNumberFormat="1" applyFont="1" applyAlignment="1">
      <alignment horizontal="right" vertical="center"/>
    </xf>
    <xf numFmtId="41" fontId="21" fillId="0" borderId="10" xfId="0" applyNumberFormat="1" applyFont="1" applyBorder="1" applyAlignment="1">
      <alignment vertical="center"/>
    </xf>
    <xf numFmtId="173" fontId="21" fillId="0" borderId="0" xfId="0" applyNumberFormat="1" applyFont="1" applyAlignment="1">
      <alignment vertical="center"/>
    </xf>
    <xf numFmtId="173" fontId="19" fillId="0" borderId="0" xfId="0" applyNumberFormat="1" applyFont="1" applyAlignment="1">
      <alignment vertical="center"/>
    </xf>
    <xf numFmtId="41" fontId="16" fillId="0" borderId="0" xfId="0" applyNumberFormat="1" applyFont="1" applyAlignment="1">
      <alignment horizontal="right" vertical="center"/>
    </xf>
    <xf numFmtId="167" fontId="16" fillId="0" borderId="0" xfId="0" applyNumberFormat="1" applyFont="1" applyAlignment="1">
      <alignment vertical="center"/>
    </xf>
    <xf numFmtId="41" fontId="38" fillId="0" borderId="0" xfId="0" applyNumberFormat="1" applyFont="1" applyAlignment="1">
      <alignment vertical="center"/>
    </xf>
    <xf numFmtId="186" fontId="29" fillId="0" borderId="0" xfId="0" applyNumberFormat="1" applyFont="1" applyAlignment="1">
      <alignment horizontal="right" vertical="center"/>
    </xf>
    <xf numFmtId="41" fontId="32" fillId="0" borderId="0" xfId="0" applyNumberFormat="1" applyFont="1"/>
    <xf numFmtId="41" fontId="33" fillId="0" borderId="0" xfId="0" applyNumberFormat="1" applyFont="1"/>
    <xf numFmtId="0" fontId="44" fillId="0" borderId="0" xfId="0" quotePrefix="1" applyFont="1"/>
    <xf numFmtId="166" fontId="15" fillId="0" borderId="0" xfId="0" applyNumberFormat="1" applyFont="1" applyAlignment="1">
      <alignment vertical="center"/>
    </xf>
    <xf numFmtId="167" fontId="19" fillId="0" borderId="0" xfId="0" applyNumberFormat="1" applyFont="1" applyAlignment="1">
      <alignment vertical="center"/>
    </xf>
    <xf numFmtId="0" fontId="19" fillId="0" borderId="0" xfId="0" applyFont="1" applyAlignment="1">
      <alignment vertical="center"/>
    </xf>
    <xf numFmtId="193" fontId="19" fillId="0" borderId="0" xfId="0" applyNumberFormat="1" applyFont="1" applyAlignment="1">
      <alignment horizontal="right" vertical="center"/>
    </xf>
    <xf numFmtId="194" fontId="15" fillId="0" borderId="0" xfId="0" applyNumberFormat="1" applyFont="1" applyAlignment="1">
      <alignment vertical="center"/>
    </xf>
    <xf numFmtId="0" fontId="28" fillId="0" borderId="0" xfId="0" quotePrefix="1" applyFont="1"/>
    <xf numFmtId="0" fontId="15" fillId="0" borderId="1" xfId="0" applyFont="1" applyBorder="1"/>
    <xf numFmtId="166" fontId="15" fillId="0" borderId="0" xfId="0" applyNumberFormat="1" applyFont="1"/>
    <xf numFmtId="167" fontId="19" fillId="0" borderId="0" xfId="0" applyNumberFormat="1" applyFont="1"/>
    <xf numFmtId="41" fontId="37" fillId="0" borderId="0" xfId="0" applyNumberFormat="1" applyFont="1" applyAlignment="1">
      <alignment horizontal="center" vertical="center"/>
    </xf>
    <xf numFmtId="170" fontId="34" fillId="0" borderId="0" xfId="0" applyNumberFormat="1" applyFont="1" applyAlignment="1">
      <alignment horizontal="right" vertical="center"/>
    </xf>
    <xf numFmtId="168" fontId="14" fillId="0" borderId="0" xfId="0" applyNumberFormat="1" applyFont="1" applyAlignment="1">
      <alignment horizontal="center"/>
    </xf>
    <xf numFmtId="173" fontId="34" fillId="0" borderId="0" xfId="1" applyNumberFormat="1" applyFont="1" applyAlignment="1">
      <alignment vertical="center"/>
    </xf>
    <xf numFmtId="41" fontId="16" fillId="0" borderId="0" xfId="1" applyNumberFormat="1" applyFont="1" applyAlignment="1">
      <alignment horizontal="right" vertical="center"/>
    </xf>
    <xf numFmtId="164" fontId="29" fillId="0" borderId="0" xfId="0" applyNumberFormat="1" applyFont="1" applyAlignment="1">
      <alignment vertical="center"/>
    </xf>
    <xf numFmtId="0" fontId="16" fillId="0" borderId="1" xfId="0" applyFont="1" applyBorder="1" applyAlignment="1">
      <alignment vertical="center"/>
    </xf>
    <xf numFmtId="164" fontId="16" fillId="0" borderId="1" xfId="0" applyNumberFormat="1" applyFont="1" applyBorder="1" applyAlignment="1">
      <alignment vertical="center"/>
    </xf>
    <xf numFmtId="0" fontId="14" fillId="0" borderId="3" xfId="0" applyFont="1" applyBorder="1" applyAlignment="1">
      <alignment vertical="center"/>
    </xf>
    <xf numFmtId="185" fontId="39" fillId="0" borderId="0" xfId="0" applyNumberFormat="1" applyFont="1"/>
    <xf numFmtId="172" fontId="38" fillId="0" borderId="0" xfId="0" applyNumberFormat="1" applyFont="1"/>
    <xf numFmtId="172" fontId="39" fillId="0" borderId="0" xfId="0" applyNumberFormat="1" applyFont="1"/>
    <xf numFmtId="185" fontId="21" fillId="0" borderId="0" xfId="0" applyNumberFormat="1" applyFont="1"/>
    <xf numFmtId="196" fontId="34" fillId="0" borderId="0" xfId="0" applyNumberFormat="1" applyFont="1" applyAlignment="1">
      <alignment vertical="center"/>
    </xf>
    <xf numFmtId="173" fontId="15" fillId="0" borderId="0" xfId="1" applyNumberFormat="1" applyFont="1" applyAlignment="1">
      <alignment vertical="center"/>
    </xf>
    <xf numFmtId="173" fontId="26" fillId="0" borderId="0" xfId="1" applyNumberFormat="1" applyFont="1" applyAlignment="1">
      <alignment vertical="center"/>
    </xf>
    <xf numFmtId="182" fontId="22" fillId="0" borderId="0" xfId="0" applyNumberFormat="1" applyFont="1" applyAlignment="1">
      <alignment vertical="center"/>
    </xf>
    <xf numFmtId="173" fontId="22" fillId="0" borderId="0" xfId="0" applyNumberFormat="1" applyFont="1" applyAlignment="1">
      <alignment vertical="center"/>
    </xf>
    <xf numFmtId="172" fontId="34" fillId="0" borderId="0" xfId="0" applyNumberFormat="1" applyFont="1" applyAlignment="1">
      <alignment vertical="center"/>
    </xf>
    <xf numFmtId="172" fontId="21" fillId="0" borderId="0" xfId="0" applyNumberFormat="1" applyFont="1"/>
    <xf numFmtId="0" fontId="14" fillId="0" borderId="10" xfId="0" applyFont="1" applyBorder="1"/>
    <xf numFmtId="164" fontId="15" fillId="0" borderId="0" xfId="0" applyNumberFormat="1" applyFont="1" applyAlignment="1">
      <alignment horizontal="center"/>
    </xf>
    <xf numFmtId="0" fontId="15" fillId="0" borderId="0" xfId="0" applyFont="1" applyAlignment="1">
      <alignment horizontal="center" vertical="center"/>
    </xf>
    <xf numFmtId="49" fontId="21" fillId="0" borderId="0" xfId="0" quotePrefix="1" applyNumberFormat="1" applyFont="1" applyAlignment="1">
      <alignment horizontal="left" vertical="center"/>
    </xf>
    <xf numFmtId="167" fontId="19" fillId="0" borderId="0" xfId="0" applyNumberFormat="1" applyFont="1" applyAlignment="1">
      <alignment horizontal="center" vertical="center"/>
    </xf>
    <xf numFmtId="49" fontId="21" fillId="0" borderId="0" xfId="0" applyNumberFormat="1" applyFont="1" applyAlignment="1">
      <alignment horizontal="left" vertical="center"/>
    </xf>
    <xf numFmtId="9" fontId="15" fillId="0" borderId="0" xfId="0" applyNumberFormat="1" applyFont="1" applyAlignment="1">
      <alignment horizontal="left" vertical="center"/>
    </xf>
    <xf numFmtId="165" fontId="19" fillId="0" borderId="0" xfId="0" applyNumberFormat="1" applyFont="1" applyAlignment="1">
      <alignment horizontal="center"/>
    </xf>
    <xf numFmtId="0" fontId="15" fillId="0" borderId="4" xfId="0" applyFont="1" applyBorder="1" applyAlignment="1">
      <alignment horizontal="center" vertical="center" wrapText="1"/>
    </xf>
    <xf numFmtId="164" fontId="15" fillId="0" borderId="4" xfId="0" applyNumberFormat="1" applyFont="1" applyBorder="1" applyAlignment="1">
      <alignment horizontal="center" vertical="center" wrapText="1"/>
    </xf>
    <xf numFmtId="0" fontId="15" fillId="0" borderId="4" xfId="0" applyFont="1" applyBorder="1" applyAlignment="1">
      <alignment vertical="top" wrapText="1"/>
    </xf>
    <xf numFmtId="0" fontId="14" fillId="0" borderId="10" xfId="1" applyFont="1" applyBorder="1"/>
    <xf numFmtId="0" fontId="15" fillId="0" borderId="10" xfId="0" applyFont="1" applyBorder="1"/>
    <xf numFmtId="0" fontId="14" fillId="0" borderId="2" xfId="0" applyFont="1" applyBorder="1"/>
    <xf numFmtId="171" fontId="34" fillId="0" borderId="0" xfId="0" applyNumberFormat="1" applyFont="1"/>
    <xf numFmtId="0" fontId="15" fillId="0" borderId="0" xfId="0" applyFont="1" applyAlignment="1">
      <alignment horizontal="right"/>
    </xf>
    <xf numFmtId="41" fontId="38" fillId="0" borderId="0" xfId="0" applyNumberFormat="1" applyFont="1"/>
    <xf numFmtId="170" fontId="64" fillId="0" borderId="0" xfId="0" applyNumberFormat="1" applyFont="1" applyAlignment="1">
      <alignment horizontal="right"/>
    </xf>
    <xf numFmtId="170" fontId="61" fillId="0" borderId="0" xfId="0" applyNumberFormat="1" applyFont="1" applyAlignment="1">
      <alignment horizontal="right"/>
    </xf>
    <xf numFmtId="197" fontId="61" fillId="0" borderId="0" xfId="0" applyNumberFormat="1" applyFont="1" applyAlignment="1">
      <alignment horizontal="right"/>
    </xf>
    <xf numFmtId="171" fontId="29" fillId="0" borderId="0" xfId="0" applyNumberFormat="1" applyFont="1"/>
    <xf numFmtId="195" fontId="16" fillId="0" borderId="0" xfId="0" applyNumberFormat="1" applyFont="1" applyAlignment="1">
      <alignment horizontal="center"/>
    </xf>
    <xf numFmtId="195" fontId="18" fillId="0" borderId="0" xfId="0" applyNumberFormat="1" applyFont="1" applyAlignment="1">
      <alignment horizontal="centerContinuous"/>
    </xf>
    <xf numFmtId="175" fontId="36" fillId="0" borderId="0" xfId="0" applyNumberFormat="1" applyFont="1" applyAlignment="1">
      <alignment horizontal="right" vertical="center"/>
    </xf>
    <xf numFmtId="43" fontId="48" fillId="0" borderId="0" xfId="0" applyNumberFormat="1" applyFont="1" applyAlignment="1">
      <alignment vertical="center"/>
    </xf>
    <xf numFmtId="198" fontId="29" fillId="0" borderId="0" xfId="0" applyNumberFormat="1" applyFont="1" applyAlignment="1">
      <alignment horizontal="right" vertical="center"/>
    </xf>
    <xf numFmtId="198" fontId="36" fillId="0" borderId="0" xfId="0" applyNumberFormat="1" applyFont="1" applyAlignment="1">
      <alignment horizontal="right" vertical="center"/>
    </xf>
    <xf numFmtId="41" fontId="45" fillId="0" borderId="5" xfId="0" applyNumberFormat="1" applyFont="1" applyBorder="1" applyAlignment="1">
      <alignment vertical="center"/>
    </xf>
    <xf numFmtId="166" fontId="21" fillId="0" borderId="0" xfId="0" applyNumberFormat="1" applyFont="1" applyAlignment="1">
      <alignment horizontal="right" vertical="center"/>
    </xf>
    <xf numFmtId="167" fontId="19" fillId="0" borderId="0" xfId="0" applyNumberFormat="1" applyFont="1" applyAlignment="1">
      <alignment horizontal="right"/>
    </xf>
    <xf numFmtId="169" fontId="21" fillId="0" borderId="0" xfId="0" applyNumberFormat="1" applyFont="1" applyAlignment="1">
      <alignment horizontal="right"/>
    </xf>
    <xf numFmtId="0" fontId="27" fillId="0" borderId="0" xfId="0" applyFont="1" applyAlignment="1">
      <alignment horizontal="left" vertical="center" indent="2"/>
    </xf>
    <xf numFmtId="183" fontId="20" fillId="0" borderId="0" xfId="0" applyNumberFormat="1" applyFont="1" applyAlignment="1">
      <alignment vertical="center"/>
    </xf>
    <xf numFmtId="5" fontId="19" fillId="0" borderId="0" xfId="0" applyNumberFormat="1" applyFont="1" applyAlignment="1">
      <alignment vertical="center"/>
    </xf>
    <xf numFmtId="41" fontId="30" fillId="0" borderId="0" xfId="0" applyNumberFormat="1" applyFont="1" applyAlignment="1">
      <alignment vertical="center"/>
    </xf>
    <xf numFmtId="41" fontId="32" fillId="0" borderId="0" xfId="0" applyNumberFormat="1" applyFont="1" applyAlignment="1">
      <alignment vertical="center"/>
    </xf>
    <xf numFmtId="41" fontId="33" fillId="0" borderId="0" xfId="0" applyNumberFormat="1" applyFont="1" applyAlignment="1">
      <alignment vertical="center"/>
    </xf>
    <xf numFmtId="183" fontId="19" fillId="0" borderId="0" xfId="0" applyNumberFormat="1" applyFont="1" applyAlignment="1">
      <alignment vertical="center"/>
    </xf>
    <xf numFmtId="0" fontId="66" fillId="0" borderId="0" xfId="0" applyFont="1"/>
    <xf numFmtId="194" fontId="25" fillId="0" borderId="0" xfId="0" applyNumberFormat="1" applyFont="1"/>
    <xf numFmtId="199" fontId="16" fillId="0" borderId="0" xfId="0" applyNumberFormat="1" applyFont="1" applyAlignment="1">
      <alignment vertical="center"/>
    </xf>
    <xf numFmtId="198" fontId="16" fillId="0" borderId="0" xfId="0" applyNumberFormat="1" applyFont="1" applyAlignment="1">
      <alignment vertical="center"/>
    </xf>
    <xf numFmtId="169" fontId="15" fillId="0" borderId="0" xfId="0" applyNumberFormat="1" applyFont="1"/>
    <xf numFmtId="182" fontId="29" fillId="0" borderId="0" xfId="0" applyNumberFormat="1" applyFont="1" applyAlignment="1">
      <alignment vertical="center"/>
    </xf>
    <xf numFmtId="178" fontId="36" fillId="0" borderId="0" xfId="0" applyNumberFormat="1" applyFont="1" applyAlignment="1">
      <alignment horizontal="right"/>
    </xf>
    <xf numFmtId="169" fontId="67" fillId="0" borderId="11" xfId="0" applyNumberFormat="1" applyFont="1" applyBorder="1" applyAlignment="1">
      <alignment horizontal="centerContinuous" vertical="center"/>
    </xf>
    <xf numFmtId="0" fontId="65" fillId="0" borderId="1" xfId="0" applyFont="1" applyBorder="1" applyAlignment="1">
      <alignment horizontal="centerContinuous" vertical="center"/>
    </xf>
    <xf numFmtId="169" fontId="30" fillId="0" borderId="1" xfId="0" applyNumberFormat="1" applyFont="1" applyBorder="1" applyAlignment="1">
      <alignment horizontal="centerContinuous" vertical="center"/>
    </xf>
    <xf numFmtId="169" fontId="53" fillId="0" borderId="1" xfId="0" applyNumberFormat="1" applyFont="1" applyBorder="1" applyAlignment="1">
      <alignment horizontal="centerContinuous" vertical="center"/>
    </xf>
    <xf numFmtId="169" fontId="53" fillId="0" borderId="12" xfId="0" applyNumberFormat="1" applyFont="1" applyBorder="1" applyAlignment="1">
      <alignment horizontal="centerContinuous" vertical="center"/>
    </xf>
    <xf numFmtId="171" fontId="29" fillId="0" borderId="15" xfId="0" applyNumberFormat="1" applyFont="1" applyBorder="1" applyAlignment="1">
      <alignment horizontal="center" vertical="center"/>
    </xf>
    <xf numFmtId="171" fontId="29" fillId="0" borderId="10" xfId="0" applyNumberFormat="1" applyFont="1" applyBorder="1" applyAlignment="1">
      <alignment horizontal="center" vertical="center"/>
    </xf>
    <xf numFmtId="171" fontId="29" fillId="0" borderId="16" xfId="0" applyNumberFormat="1" applyFont="1" applyBorder="1" applyAlignment="1">
      <alignment horizontal="center" vertical="center"/>
    </xf>
    <xf numFmtId="171" fontId="63" fillId="0" borderId="13" xfId="0" applyNumberFormat="1" applyFont="1" applyBorder="1" applyAlignment="1">
      <alignment horizontal="center" vertical="center"/>
    </xf>
    <xf numFmtId="171" fontId="63" fillId="0" borderId="0" xfId="0" applyNumberFormat="1" applyFont="1" applyAlignment="1">
      <alignment horizontal="center" vertical="center"/>
    </xf>
    <xf numFmtId="171" fontId="63" fillId="0" borderId="14" xfId="0" applyNumberFormat="1" applyFont="1" applyBorder="1" applyAlignment="1">
      <alignment horizontal="center" vertical="center"/>
    </xf>
    <xf numFmtId="169" fontId="39" fillId="0" borderId="0" xfId="0" applyNumberFormat="1" applyFont="1"/>
    <xf numFmtId="186" fontId="30" fillId="0" borderId="0" xfId="0" applyNumberFormat="1" applyFont="1" applyAlignment="1">
      <alignment horizontal="right" vertical="center"/>
    </xf>
    <xf numFmtId="172" fontId="32" fillId="0" borderId="0" xfId="0" applyNumberFormat="1" applyFont="1" applyAlignment="1">
      <alignment horizontal="right" vertical="center"/>
    </xf>
    <xf numFmtId="171" fontId="16" fillId="0" borderId="1" xfId="0" applyNumberFormat="1" applyFont="1" applyBorder="1"/>
    <xf numFmtId="166" fontId="29" fillId="0" borderId="0" xfId="0" applyNumberFormat="1" applyFont="1" applyAlignment="1">
      <alignment horizontal="right"/>
    </xf>
    <xf numFmtId="171" fontId="15" fillId="0" borderId="0" xfId="0" applyNumberFormat="1" applyFont="1"/>
    <xf numFmtId="0" fontId="68" fillId="0" borderId="0" xfId="0" applyFont="1" applyAlignment="1">
      <alignment vertical="center"/>
    </xf>
    <xf numFmtId="164" fontId="29" fillId="0" borderId="0" xfId="0" applyNumberFormat="1" applyFont="1" applyAlignment="1">
      <alignment horizontal="right"/>
    </xf>
    <xf numFmtId="0" fontId="68" fillId="0" borderId="0" xfId="0" applyFont="1"/>
    <xf numFmtId="195" fontId="69" fillId="0" borderId="0" xfId="0" applyNumberFormat="1" applyFont="1" applyAlignment="1">
      <alignment horizontal="centerContinuous"/>
    </xf>
    <xf numFmtId="0" fontId="69" fillId="0" borderId="0" xfId="0" applyFont="1" applyAlignment="1">
      <alignment horizontal="centerContinuous" wrapText="1"/>
    </xf>
    <xf numFmtId="171" fontId="19" fillId="0" borderId="0" xfId="0" applyNumberFormat="1" applyFont="1"/>
    <xf numFmtId="171" fontId="21" fillId="0" borderId="0" xfId="0" applyNumberFormat="1" applyFont="1"/>
    <xf numFmtId="0" fontId="71" fillId="0" borderId="0" xfId="0" applyFont="1"/>
    <xf numFmtId="168" fontId="21" fillId="0" borderId="0" xfId="0" applyNumberFormat="1" applyFont="1"/>
    <xf numFmtId="0" fontId="70" fillId="0" borderId="0" xfId="0" applyFont="1" applyAlignment="1">
      <alignment horizontal="center"/>
    </xf>
    <xf numFmtId="0" fontId="19" fillId="0" borderId="0" xfId="0" applyFont="1" applyAlignment="1">
      <alignment horizontal="center"/>
    </xf>
    <xf numFmtId="0" fontId="39" fillId="0" borderId="0" xfId="0" applyFont="1" applyAlignment="1">
      <alignment horizontal="center"/>
    </xf>
    <xf numFmtId="195" fontId="29" fillId="0" borderId="0" xfId="0" applyNumberFormat="1" applyFont="1" applyAlignment="1">
      <alignment horizontal="right"/>
    </xf>
    <xf numFmtId="171" fontId="38" fillId="0" borderId="0" xfId="0" applyNumberFormat="1" applyFont="1"/>
    <xf numFmtId="171" fontId="39" fillId="0" borderId="0" xfId="0" applyNumberFormat="1" applyFont="1"/>
    <xf numFmtId="195" fontId="32" fillId="0" borderId="0" xfId="0" applyNumberFormat="1" applyFont="1" applyAlignment="1">
      <alignment horizontal="right"/>
    </xf>
    <xf numFmtId="0" fontId="72" fillId="0" borderId="0" xfId="0" applyFont="1"/>
    <xf numFmtId="200" fontId="15" fillId="0" borderId="0" xfId="0" applyNumberFormat="1" applyFont="1"/>
    <xf numFmtId="195" fontId="29" fillId="0" borderId="0" xfId="0" applyNumberFormat="1" applyFont="1" applyAlignment="1">
      <alignment horizontal="right" vertical="center"/>
    </xf>
    <xf numFmtId="43" fontId="16" fillId="0" borderId="0" xfId="0" applyNumberFormat="1" applyFont="1" applyAlignment="1">
      <alignment vertical="center"/>
    </xf>
    <xf numFmtId="168" fontId="38" fillId="0" borderId="0" xfId="0" applyNumberFormat="1" applyFont="1"/>
    <xf numFmtId="0" fontId="16" fillId="0" borderId="0" xfId="0" applyFont="1" applyAlignment="1">
      <alignment horizontal="left"/>
    </xf>
    <xf numFmtId="167" fontId="21" fillId="0" borderId="0" xfId="0" applyNumberFormat="1" applyFont="1"/>
    <xf numFmtId="201" fontId="16" fillId="0" borderId="0" xfId="0" applyNumberFormat="1" applyFont="1"/>
    <xf numFmtId="171" fontId="73" fillId="6" borderId="0" xfId="0" applyNumberFormat="1" applyFont="1" applyFill="1"/>
    <xf numFmtId="167" fontId="29" fillId="0" borderId="0" xfId="0" applyNumberFormat="1" applyFont="1"/>
    <xf numFmtId="169" fontId="20" fillId="7" borderId="0" xfId="0" applyNumberFormat="1" applyFont="1" applyFill="1" applyAlignment="1">
      <alignment horizontal="right" vertical="center"/>
    </xf>
    <xf numFmtId="167" fontId="15" fillId="0" borderId="0" xfId="0" applyNumberFormat="1" applyFont="1" applyAlignment="1">
      <alignment vertical="center"/>
    </xf>
    <xf numFmtId="0" fontId="71" fillId="0" borderId="0" xfId="0" applyFont="1" applyAlignment="1">
      <alignment vertical="center"/>
    </xf>
    <xf numFmtId="171" fontId="34" fillId="0" borderId="0" xfId="0" applyNumberFormat="1" applyFont="1" applyAlignment="1">
      <alignment horizontal="right" vertical="center"/>
    </xf>
    <xf numFmtId="183" fontId="29" fillId="0" borderId="0" xfId="0" applyNumberFormat="1" applyFont="1" applyAlignment="1">
      <alignment horizontal="right" vertical="center"/>
    </xf>
    <xf numFmtId="185" fontId="29" fillId="0" borderId="0" xfId="0" applyNumberFormat="1" applyFont="1" applyAlignment="1">
      <alignment horizontal="right" vertical="center"/>
    </xf>
    <xf numFmtId="185" fontId="29" fillId="0" borderId="0" xfId="0" applyNumberFormat="1" applyFont="1" applyAlignment="1">
      <alignment horizontal="center" vertical="center"/>
    </xf>
    <xf numFmtId="171" fontId="41" fillId="0" borderId="0" xfId="0" applyNumberFormat="1" applyFont="1"/>
    <xf numFmtId="0" fontId="14" fillId="0" borderId="0" xfId="0" applyFont="1" applyAlignment="1">
      <alignment horizontal="center"/>
    </xf>
    <xf numFmtId="9" fontId="21" fillId="0" borderId="0" xfId="0" applyNumberFormat="1" applyFont="1" applyAlignment="1">
      <alignment horizontal="center" vertical="center"/>
    </xf>
    <xf numFmtId="171" fontId="21" fillId="0" borderId="0" xfId="0" applyNumberFormat="1" applyFont="1" applyAlignment="1">
      <alignment horizontal="center" vertical="center"/>
    </xf>
    <xf numFmtId="171" fontId="15" fillId="0" borderId="11" xfId="0" applyNumberFormat="1" applyFont="1" applyBorder="1" applyAlignment="1">
      <alignment horizontal="center"/>
    </xf>
    <xf numFmtId="171" fontId="15" fillId="0" borderId="1" xfId="0" applyNumberFormat="1" applyFont="1" applyBorder="1" applyAlignment="1">
      <alignment horizontal="center"/>
    </xf>
    <xf numFmtId="171" fontId="15" fillId="0" borderId="12" xfId="0" applyNumberFormat="1" applyFont="1" applyBorder="1" applyAlignment="1">
      <alignment horizontal="center"/>
    </xf>
    <xf numFmtId="171" fontId="15" fillId="0" borderId="13" xfId="0" applyNumberFormat="1" applyFont="1" applyBorder="1" applyAlignment="1">
      <alignment horizontal="center"/>
    </xf>
    <xf numFmtId="171" fontId="15" fillId="0" borderId="14" xfId="0" applyNumberFormat="1" applyFont="1" applyBorder="1" applyAlignment="1">
      <alignment horizontal="center"/>
    </xf>
    <xf numFmtId="171" fontId="15" fillId="0" borderId="15" xfId="0" applyNumberFormat="1" applyFont="1" applyBorder="1" applyAlignment="1">
      <alignment horizontal="center"/>
    </xf>
    <xf numFmtId="171" fontId="15" fillId="0" borderId="10" xfId="0" applyNumberFormat="1" applyFont="1" applyBorder="1" applyAlignment="1">
      <alignment horizontal="center"/>
    </xf>
    <xf numFmtId="171" fontId="15" fillId="0" borderId="16" xfId="0" applyNumberFormat="1" applyFont="1" applyBorder="1" applyAlignment="1">
      <alignment horizontal="center"/>
    </xf>
    <xf numFmtId="171" fontId="19" fillId="0" borderId="0" xfId="0" applyNumberFormat="1" applyFont="1" applyAlignment="1">
      <alignment horizontal="center" vertical="center"/>
    </xf>
    <xf numFmtId="0" fontId="16" fillId="2" borderId="0" xfId="0" applyFont="1" applyFill="1"/>
    <xf numFmtId="171" fontId="16" fillId="2" borderId="0" xfId="0" applyNumberFormat="1" applyFont="1" applyFill="1" applyAlignment="1">
      <alignment horizontal="center"/>
    </xf>
    <xf numFmtId="9" fontId="19" fillId="0" borderId="0" xfId="0" applyNumberFormat="1" applyFont="1" applyAlignment="1">
      <alignment horizontal="center" vertical="center"/>
    </xf>
    <xf numFmtId="9" fontId="46" fillId="0" borderId="0" xfId="0" applyNumberFormat="1" applyFont="1" applyAlignment="1">
      <alignment horizontal="center"/>
    </xf>
    <xf numFmtId="171" fontId="46" fillId="0" borderId="0" xfId="0" applyNumberFormat="1" applyFont="1" applyAlignment="1">
      <alignment horizontal="center"/>
    </xf>
    <xf numFmtId="194" fontId="34" fillId="0" borderId="0" xfId="0" applyNumberFormat="1" applyFont="1"/>
    <xf numFmtId="9" fontId="16" fillId="0" borderId="0" xfId="0" applyNumberFormat="1" applyFont="1"/>
    <xf numFmtId="0" fontId="47" fillId="0" borderId="0" xfId="0" applyFont="1" applyAlignment="1">
      <alignment horizontal="left" indent="1"/>
    </xf>
    <xf numFmtId="0" fontId="32" fillId="0" borderId="0" xfId="0" applyFont="1" applyAlignment="1">
      <alignment horizontal="center"/>
    </xf>
    <xf numFmtId="41" fontId="19" fillId="0" borderId="0" xfId="0" applyNumberFormat="1" applyFont="1" applyAlignment="1">
      <alignment horizontal="right"/>
    </xf>
    <xf numFmtId="41" fontId="20" fillId="0" borderId="0" xfId="0" applyNumberFormat="1" applyFont="1" applyAlignment="1">
      <alignment horizontal="right"/>
    </xf>
    <xf numFmtId="167" fontId="46" fillId="0" borderId="5" xfId="0" applyNumberFormat="1" applyFont="1" applyBorder="1"/>
    <xf numFmtId="0" fontId="43" fillId="0" borderId="0" xfId="0" applyFont="1"/>
    <xf numFmtId="164" fontId="16" fillId="0" borderId="0" xfId="0" applyNumberFormat="1" applyFont="1"/>
    <xf numFmtId="0" fontId="14" fillId="0" borderId="5" xfId="0" applyFont="1" applyBorder="1" applyAlignment="1">
      <alignment horizontal="left"/>
    </xf>
    <xf numFmtId="202" fontId="38" fillId="0" borderId="0" xfId="0" applyNumberFormat="1" applyFont="1" applyAlignment="1">
      <alignment horizontal="right" vertical="center"/>
    </xf>
    <xf numFmtId="0" fontId="32" fillId="0" borderId="0" xfId="0" applyFont="1" applyAlignment="1">
      <alignment horizontal="center" vertical="center"/>
    </xf>
    <xf numFmtId="202" fontId="74" fillId="0" borderId="0" xfId="0" applyNumberFormat="1" applyFont="1" applyAlignment="1">
      <alignment horizontal="right" vertical="center"/>
    </xf>
    <xf numFmtId="0" fontId="75" fillId="0" borderId="0" xfId="0" applyFont="1" applyAlignment="1">
      <alignment horizontal="center"/>
    </xf>
    <xf numFmtId="0" fontId="76" fillId="0" borderId="0" xfId="0" applyFont="1" applyAlignment="1">
      <alignment horizontal="centerContinuous"/>
    </xf>
    <xf numFmtId="0" fontId="46" fillId="0" borderId="0" xfId="0" applyFont="1" applyAlignment="1">
      <alignment horizontal="center"/>
    </xf>
    <xf numFmtId="164" fontId="16" fillId="0" borderId="0" xfId="0" applyNumberFormat="1" applyFont="1" applyAlignment="1">
      <alignment horizontal="center"/>
    </xf>
    <xf numFmtId="0" fontId="14" fillId="8" borderId="5" xfId="0" applyFont="1" applyFill="1" applyBorder="1"/>
    <xf numFmtId="171" fontId="14" fillId="8" borderId="5" xfId="0" applyNumberFormat="1" applyFont="1" applyFill="1" applyBorder="1"/>
    <xf numFmtId="0" fontId="14" fillId="8" borderId="5" xfId="0" applyFont="1" applyFill="1" applyBorder="1" applyAlignment="1">
      <alignment horizontal="left"/>
    </xf>
    <xf numFmtId="203" fontId="29" fillId="0" borderId="0" xfId="0" applyNumberFormat="1" applyFont="1" applyAlignment="1">
      <alignment horizontal="right"/>
    </xf>
    <xf numFmtId="202" fontId="19" fillId="0" borderId="0" xfId="0" applyNumberFormat="1" applyFont="1" applyAlignment="1">
      <alignment horizontal="right" vertical="center"/>
    </xf>
    <xf numFmtId="202" fontId="35" fillId="0" borderId="0" xfId="0" applyNumberFormat="1" applyFont="1" applyAlignment="1">
      <alignment horizontal="right" vertical="center"/>
    </xf>
    <xf numFmtId="204" fontId="38" fillId="0" borderId="0" xfId="0" applyNumberFormat="1" applyFont="1" applyAlignment="1">
      <alignment horizontal="right"/>
    </xf>
    <xf numFmtId="202" fontId="15" fillId="0" borderId="0" xfId="0" applyNumberFormat="1" applyFont="1"/>
    <xf numFmtId="170" fontId="73" fillId="0" borderId="0" xfId="0" applyNumberFormat="1" applyFont="1" applyAlignment="1">
      <alignment vertical="center"/>
    </xf>
    <xf numFmtId="0" fontId="43" fillId="0" borderId="0" xfId="0" applyFont="1" applyAlignment="1">
      <alignment horizontal="left"/>
    </xf>
    <xf numFmtId="0" fontId="43" fillId="0" borderId="0" xfId="0" applyFont="1" applyAlignment="1">
      <alignment horizontal="center"/>
    </xf>
    <xf numFmtId="171" fontId="14" fillId="0" borderId="5" xfId="0" applyNumberFormat="1" applyFont="1" applyBorder="1" applyAlignment="1">
      <alignment horizontal="right"/>
    </xf>
    <xf numFmtId="0" fontId="16" fillId="0" borderId="0" xfId="0" applyFont="1" applyAlignment="1">
      <alignment horizontal="center" vertical="center"/>
    </xf>
    <xf numFmtId="171" fontId="16" fillId="0" borderId="0" xfId="0" applyNumberFormat="1" applyFont="1" applyAlignment="1">
      <alignment vertical="center"/>
    </xf>
    <xf numFmtId="173" fontId="77" fillId="0" borderId="0" xfId="0" applyNumberFormat="1" applyFont="1" applyAlignment="1">
      <alignment horizontal="right"/>
    </xf>
    <xf numFmtId="0" fontId="51" fillId="0" borderId="0" xfId="0" applyFont="1" applyAlignment="1">
      <alignment vertical="center"/>
    </xf>
    <xf numFmtId="186" fontId="14" fillId="0" borderId="5" xfId="0" applyNumberFormat="1" applyFont="1" applyBorder="1" applyAlignment="1">
      <alignment vertical="center"/>
    </xf>
    <xf numFmtId="0" fontId="14" fillId="0" borderId="0" xfId="29" applyFont="1"/>
    <xf numFmtId="164" fontId="16" fillId="0" borderId="0" xfId="29" applyNumberFormat="1" applyFont="1"/>
    <xf numFmtId="0" fontId="14" fillId="0" borderId="10" xfId="29" applyFont="1" applyBorder="1"/>
    <xf numFmtId="0" fontId="16" fillId="0" borderId="0" xfId="29" applyFont="1"/>
    <xf numFmtId="0" fontId="15" fillId="0" borderId="0" xfId="29"/>
    <xf numFmtId="0" fontId="14" fillId="0" borderId="10" xfId="29" applyFont="1" applyBorder="1" applyAlignment="1">
      <alignment horizontal="centerContinuous"/>
    </xf>
    <xf numFmtId="0" fontId="18" fillId="0" borderId="0" xfId="29" applyFont="1" applyAlignment="1">
      <alignment horizontal="center"/>
    </xf>
    <xf numFmtId="0" fontId="14" fillId="0" borderId="2" xfId="29" applyFont="1" applyBorder="1"/>
    <xf numFmtId="0" fontId="15" fillId="0" borderId="3" xfId="29" applyBorder="1"/>
    <xf numFmtId="0" fontId="44" fillId="0" borderId="0" xfId="29" applyFont="1"/>
    <xf numFmtId="0" fontId="15" fillId="0" borderId="0" xfId="29" quotePrefix="1"/>
    <xf numFmtId="41" fontId="15" fillId="0" borderId="0" xfId="29" applyNumberFormat="1"/>
    <xf numFmtId="41" fontId="78" fillId="0" borderId="0" xfId="29" applyNumberFormat="1" applyFont="1"/>
    <xf numFmtId="41" fontId="26" fillId="0" borderId="0" xfId="29" applyNumberFormat="1" applyFont="1"/>
    <xf numFmtId="41" fontId="40" fillId="0" borderId="0" xfId="29" applyNumberFormat="1" applyFont="1"/>
    <xf numFmtId="0" fontId="14" fillId="0" borderId="0" xfId="29" applyFont="1" applyAlignment="1">
      <alignment horizontal="left" indent="1"/>
    </xf>
    <xf numFmtId="41" fontId="14" fillId="0" borderId="0" xfId="29" applyNumberFormat="1" applyFont="1"/>
    <xf numFmtId="43" fontId="15" fillId="0" borderId="0" xfId="29" applyNumberFormat="1"/>
    <xf numFmtId="0" fontId="27" fillId="0" borderId="0" xfId="29" applyFont="1" applyAlignment="1">
      <alignment horizontal="left" indent="1"/>
    </xf>
    <xf numFmtId="0" fontId="16" fillId="0" borderId="0" xfId="29" applyFont="1" applyAlignment="1">
      <alignment horizontal="left" indent="1"/>
    </xf>
    <xf numFmtId="41" fontId="16" fillId="0" borderId="0" xfId="29" applyNumberFormat="1" applyFont="1"/>
    <xf numFmtId="0" fontId="16" fillId="0" borderId="0" xfId="29" applyFont="1" applyAlignment="1">
      <alignment horizontal="left" indent="2"/>
    </xf>
    <xf numFmtId="170" fontId="16" fillId="0" borderId="0" xfId="29" applyNumberFormat="1" applyFont="1"/>
    <xf numFmtId="41" fontId="20" fillId="0" borderId="0" xfId="29" applyNumberFormat="1" applyFont="1"/>
    <xf numFmtId="41" fontId="19" fillId="0" borderId="0" xfId="29" applyNumberFormat="1" applyFont="1"/>
    <xf numFmtId="41" fontId="79" fillId="0" borderId="0" xfId="29" applyNumberFormat="1" applyFont="1"/>
    <xf numFmtId="173" fontId="16" fillId="0" borderId="0" xfId="29" applyNumberFormat="1" applyFont="1"/>
    <xf numFmtId="41" fontId="19" fillId="0" borderId="0" xfId="29" applyNumberFormat="1" applyFont="1" applyAlignment="1">
      <alignment horizontal="right"/>
    </xf>
    <xf numFmtId="41" fontId="19" fillId="0" borderId="0" xfId="29" quotePrefix="1" applyNumberFormat="1" applyFont="1" applyAlignment="1">
      <alignment horizontal="right"/>
    </xf>
    <xf numFmtId="41" fontId="32" fillId="0" borderId="0" xfId="29" applyNumberFormat="1" applyFont="1" applyAlignment="1">
      <alignment horizontal="left"/>
    </xf>
    <xf numFmtId="173" fontId="15" fillId="0" borderId="0" xfId="29" applyNumberFormat="1"/>
    <xf numFmtId="16" fontId="19" fillId="0" borderId="0" xfId="29" quotePrefix="1" applyNumberFormat="1" applyFont="1" applyAlignment="1">
      <alignment horizontal="right"/>
    </xf>
    <xf numFmtId="41" fontId="42" fillId="0" borderId="0" xfId="29" applyNumberFormat="1" applyFont="1"/>
    <xf numFmtId="41" fontId="37" fillId="0" borderId="0" xfId="29" applyNumberFormat="1" applyFont="1"/>
    <xf numFmtId="41" fontId="39" fillId="0" borderId="0" xfId="29" applyNumberFormat="1" applyFont="1"/>
    <xf numFmtId="173" fontId="19" fillId="7" borderId="0" xfId="29" applyNumberFormat="1" applyFont="1" applyFill="1"/>
    <xf numFmtId="173" fontId="21" fillId="7" borderId="0" xfId="29" applyNumberFormat="1" applyFont="1" applyFill="1"/>
    <xf numFmtId="205" fontId="16" fillId="0" borderId="0" xfId="29" applyNumberFormat="1" applyFont="1"/>
    <xf numFmtId="41" fontId="21" fillId="0" borderId="0" xfId="29" applyNumberFormat="1" applyFont="1"/>
    <xf numFmtId="166" fontId="34" fillId="0" borderId="0" xfId="0" applyNumberFormat="1" applyFont="1" applyAlignment="1">
      <alignment vertical="center"/>
    </xf>
    <xf numFmtId="9" fontId="16" fillId="0" borderId="0" xfId="0" applyNumberFormat="1" applyFont="1" applyAlignment="1">
      <alignment vertical="center"/>
    </xf>
    <xf numFmtId="41" fontId="16" fillId="0" borderId="5" xfId="1" applyNumberFormat="1" applyFont="1" applyBorder="1" applyAlignment="1">
      <alignment horizontal="right" vertical="center"/>
    </xf>
    <xf numFmtId="0" fontId="29" fillId="0" borderId="0" xfId="0" applyFont="1" applyAlignment="1">
      <alignment horizontal="left" vertical="center" indent="1"/>
    </xf>
    <xf numFmtId="0" fontId="16" fillId="0" borderId="0" xfId="1" applyFont="1" applyAlignment="1">
      <alignment horizontal="left" vertical="center" indent="1"/>
    </xf>
    <xf numFmtId="171" fontId="21" fillId="0" borderId="0" xfId="0" applyNumberFormat="1" applyFont="1" applyAlignment="1">
      <alignment vertical="center"/>
    </xf>
    <xf numFmtId="186" fontId="14" fillId="0" borderId="0" xfId="0" applyNumberFormat="1" applyFont="1" applyAlignment="1">
      <alignment vertical="center"/>
    </xf>
    <xf numFmtId="9" fontId="36" fillId="0" borderId="0" xfId="0" applyNumberFormat="1" applyFont="1" applyAlignment="1">
      <alignment vertical="center"/>
    </xf>
    <xf numFmtId="41" fontId="34" fillId="0" borderId="0" xfId="0" applyNumberFormat="1" applyFont="1" applyAlignment="1">
      <alignment vertical="center"/>
    </xf>
    <xf numFmtId="41" fontId="16" fillId="0" borderId="3" xfId="1" applyNumberFormat="1" applyFont="1" applyBorder="1" applyAlignment="1">
      <alignment horizontal="right" vertical="center"/>
    </xf>
    <xf numFmtId="41" fontId="34" fillId="0" borderId="0" xfId="29" applyNumberFormat="1" applyFont="1"/>
    <xf numFmtId="170" fontId="34" fillId="0" borderId="0" xfId="29" applyNumberFormat="1" applyFont="1"/>
    <xf numFmtId="202" fontId="32" fillId="0" borderId="0" xfId="0" applyNumberFormat="1" applyFont="1" applyAlignment="1">
      <alignment horizontal="right" vertical="center"/>
    </xf>
    <xf numFmtId="164" fontId="29" fillId="0" borderId="0" xfId="0" applyNumberFormat="1" applyFont="1" applyAlignment="1">
      <alignment horizontal="left" vertical="center"/>
    </xf>
    <xf numFmtId="41" fontId="14" fillId="0" borderId="0" xfId="1" applyNumberFormat="1" applyFont="1" applyAlignment="1">
      <alignment horizontal="right" vertical="center"/>
    </xf>
    <xf numFmtId="206" fontId="45" fillId="0" borderId="0" xfId="0" applyNumberFormat="1" applyFont="1" applyAlignment="1">
      <alignment horizontal="center" vertical="center"/>
    </xf>
    <xf numFmtId="43" fontId="16" fillId="0" borderId="0" xfId="0" applyNumberFormat="1" applyFont="1" applyAlignment="1">
      <alignment horizontal="right" vertical="center"/>
    </xf>
    <xf numFmtId="0" fontId="14" fillId="0" borderId="5" xfId="0" applyFont="1" applyBorder="1" applyAlignment="1">
      <alignment horizontal="left" vertical="center"/>
    </xf>
    <xf numFmtId="166" fontId="29" fillId="0" borderId="0" xfId="0" applyNumberFormat="1" applyFont="1" applyAlignment="1">
      <alignment horizontal="right" vertical="center"/>
    </xf>
    <xf numFmtId="167" fontId="21" fillId="0" borderId="0" xfId="0" applyNumberFormat="1" applyFont="1" applyAlignment="1">
      <alignment horizontal="right" vertical="center"/>
    </xf>
    <xf numFmtId="169" fontId="46" fillId="0" borderId="5" xfId="0" applyNumberFormat="1" applyFont="1" applyBorder="1" applyAlignment="1">
      <alignment horizontal="right" vertical="center"/>
    </xf>
    <xf numFmtId="169" fontId="46" fillId="0" borderId="0" xfId="0" applyNumberFormat="1" applyFont="1" applyAlignment="1">
      <alignment horizontal="right" vertical="center"/>
    </xf>
    <xf numFmtId="176" fontId="16" fillId="0" borderId="0" xfId="0" applyNumberFormat="1" applyFont="1" applyAlignment="1">
      <alignment horizontal="right"/>
    </xf>
    <xf numFmtId="164" fontId="16" fillId="0" borderId="0" xfId="0" applyNumberFormat="1" applyFont="1" applyAlignment="1">
      <alignment horizontal="center" vertical="center"/>
    </xf>
    <xf numFmtId="0" fontId="14" fillId="0" borderId="3" xfId="0" applyFont="1" applyBorder="1"/>
    <xf numFmtId="0" fontId="46" fillId="0" borderId="2" xfId="0" applyFont="1" applyBorder="1" applyAlignment="1">
      <alignment vertical="center"/>
    </xf>
    <xf numFmtId="164" fontId="32" fillId="0" borderId="0" xfId="0" applyNumberFormat="1" applyFont="1" applyAlignment="1">
      <alignment horizontal="center" vertical="center"/>
    </xf>
    <xf numFmtId="183" fontId="38" fillId="0" borderId="0" xfId="0" applyNumberFormat="1" applyFont="1" applyAlignment="1">
      <alignment horizontal="right"/>
    </xf>
    <xf numFmtId="207" fontId="21" fillId="0" borderId="0" xfId="0" applyNumberFormat="1" applyFont="1" applyAlignment="1">
      <alignment horizontal="right" vertical="center"/>
    </xf>
    <xf numFmtId="183" fontId="21" fillId="0" borderId="0" xfId="0" applyNumberFormat="1" applyFont="1" applyAlignment="1">
      <alignment horizontal="right"/>
    </xf>
    <xf numFmtId="41" fontId="22" fillId="0" borderId="0" xfId="0" applyNumberFormat="1" applyFont="1" applyAlignment="1">
      <alignment horizontal="right" vertical="center"/>
    </xf>
    <xf numFmtId="209" fontId="16" fillId="0" borderId="0" xfId="0" applyNumberFormat="1" applyFont="1" applyAlignment="1">
      <alignment horizontal="right" vertical="center"/>
    </xf>
    <xf numFmtId="182" fontId="14" fillId="0" borderId="5" xfId="0" applyNumberFormat="1" applyFont="1" applyBorder="1" applyAlignment="1">
      <alignment vertical="center"/>
    </xf>
    <xf numFmtId="208" fontId="35" fillId="0" borderId="0" xfId="0" applyNumberFormat="1" applyFont="1" applyAlignment="1">
      <alignment horizontal="right"/>
    </xf>
    <xf numFmtId="41" fontId="35" fillId="0" borderId="0" xfId="0" applyNumberFormat="1" applyFont="1" applyAlignment="1">
      <alignment horizontal="right"/>
    </xf>
    <xf numFmtId="210" fontId="81" fillId="0" borderId="0" xfId="30" applyNumberFormat="1" applyFont="1" applyAlignment="1">
      <alignment horizontal="left"/>
    </xf>
    <xf numFmtId="37" fontId="61" fillId="0" borderId="0" xfId="30" applyNumberFormat="1" applyFont="1" applyAlignment="1">
      <alignment horizontal="left"/>
    </xf>
    <xf numFmtId="0" fontId="61" fillId="0" borderId="0" xfId="30" applyFont="1"/>
    <xf numFmtId="210" fontId="61" fillId="0" borderId="0" xfId="30" applyNumberFormat="1" applyFont="1" applyAlignment="1">
      <alignment horizontal="left"/>
    </xf>
    <xf numFmtId="37" fontId="61" fillId="0" borderId="0" xfId="30" applyNumberFormat="1" applyFont="1"/>
    <xf numFmtId="37" fontId="81" fillId="0" borderId="0" xfId="30" applyNumberFormat="1" applyFont="1" applyAlignment="1">
      <alignment horizontal="left"/>
    </xf>
    <xf numFmtId="0" fontId="81" fillId="0" borderId="0" xfId="30" applyFont="1"/>
    <xf numFmtId="190" fontId="61" fillId="0" borderId="0" xfId="30" applyNumberFormat="1" applyFont="1"/>
    <xf numFmtId="37" fontId="61" fillId="0" borderId="10" xfId="30" applyNumberFormat="1" applyFont="1" applyBorder="1"/>
    <xf numFmtId="37" fontId="61" fillId="0" borderId="5" xfId="30" applyNumberFormat="1" applyFont="1" applyBorder="1"/>
    <xf numFmtId="211" fontId="61" fillId="0" borderId="0" xfId="0" applyNumberFormat="1" applyFont="1"/>
    <xf numFmtId="190" fontId="61" fillId="0" borderId="17" xfId="30" applyNumberFormat="1" applyFont="1" applyBorder="1"/>
    <xf numFmtId="0" fontId="44" fillId="0" borderId="0" xfId="0" applyFont="1" applyAlignment="1">
      <alignment horizontal="centerContinuous" vertical="center"/>
    </xf>
    <xf numFmtId="212" fontId="21" fillId="0" borderId="0" xfId="0" applyNumberFormat="1" applyFont="1" applyAlignment="1">
      <alignment horizontal="center" vertical="center"/>
    </xf>
    <xf numFmtId="212" fontId="19" fillId="0" borderId="4" xfId="0" applyNumberFormat="1" applyFont="1" applyBorder="1" applyAlignment="1">
      <alignment horizontal="center" vertical="center"/>
    </xf>
    <xf numFmtId="169" fontId="22" fillId="0" borderId="0" xfId="0" applyNumberFormat="1" applyFont="1" applyAlignment="1">
      <alignment horizontal="right" vertical="center"/>
    </xf>
    <xf numFmtId="170" fontId="16" fillId="0" borderId="0" xfId="0" applyNumberFormat="1" applyFont="1" applyAlignment="1">
      <alignment horizontal="right"/>
    </xf>
    <xf numFmtId="207" fontId="38" fillId="0" borderId="0" xfId="0" applyNumberFormat="1" applyFont="1" applyAlignment="1">
      <alignment horizontal="right" vertical="center"/>
    </xf>
    <xf numFmtId="0" fontId="46" fillId="0" borderId="5" xfId="0" applyFont="1" applyBorder="1" applyAlignment="1">
      <alignment vertical="center"/>
    </xf>
    <xf numFmtId="169" fontId="80" fillId="0" borderId="5" xfId="0" applyNumberFormat="1" applyFont="1" applyBorder="1" applyAlignment="1">
      <alignment vertical="center"/>
    </xf>
    <xf numFmtId="182" fontId="14" fillId="0" borderId="5" xfId="0" applyNumberFormat="1" applyFont="1" applyBorder="1" applyAlignment="1">
      <alignment horizontal="right" vertical="center"/>
    </xf>
    <xf numFmtId="186" fontId="15" fillId="0" borderId="0" xfId="0" applyNumberFormat="1" applyFont="1" applyAlignment="1">
      <alignment vertical="center"/>
    </xf>
    <xf numFmtId="186" fontId="37" fillId="0" borderId="0" xfId="0" applyNumberFormat="1" applyFont="1" applyAlignment="1">
      <alignment vertical="center"/>
    </xf>
    <xf numFmtId="0" fontId="18" fillId="0" borderId="0" xfId="0" applyFont="1" applyAlignment="1">
      <alignment horizontal="centerContinuous" wrapText="1"/>
    </xf>
    <xf numFmtId="167" fontId="29" fillId="0" borderId="0" xfId="0" applyNumberFormat="1" applyFont="1" applyAlignment="1">
      <alignment horizontal="right" vertical="center"/>
    </xf>
    <xf numFmtId="0" fontId="16" fillId="0" borderId="0" xfId="0" applyFont="1" applyAlignment="1">
      <alignment horizontal="left" indent="3"/>
    </xf>
    <xf numFmtId="0" fontId="82" fillId="0" borderId="0" xfId="0" applyFont="1" applyAlignment="1">
      <alignment horizontal="center"/>
    </xf>
    <xf numFmtId="213" fontId="16" fillId="0" borderId="0" xfId="0" applyNumberFormat="1" applyFont="1"/>
    <xf numFmtId="168" fontId="32" fillId="0" borderId="4" xfId="0" applyNumberFormat="1" applyFont="1" applyBorder="1"/>
    <xf numFmtId="171" fontId="19" fillId="0" borderId="4" xfId="0" applyNumberFormat="1" applyFont="1" applyBorder="1"/>
    <xf numFmtId="172" fontId="16" fillId="0" borderId="0" xfId="0" applyNumberFormat="1" applyFont="1"/>
    <xf numFmtId="0" fontId="15" fillId="0" borderId="0" xfId="0" applyFont="1" applyAlignment="1">
      <alignment vertical="top" wrapText="1"/>
    </xf>
    <xf numFmtId="164" fontId="15" fillId="0" borderId="0" xfId="0" applyNumberFormat="1" applyFont="1"/>
    <xf numFmtId="172" fontId="32" fillId="0" borderId="0" xfId="0" applyNumberFormat="1" applyFont="1"/>
    <xf numFmtId="171" fontId="34" fillId="0" borderId="0" xfId="0" applyNumberFormat="1" applyFont="1" applyAlignment="1">
      <alignment vertical="center"/>
    </xf>
    <xf numFmtId="0" fontId="21" fillId="0" borderId="0" xfId="0" applyFont="1"/>
    <xf numFmtId="0" fontId="39" fillId="0" borderId="0" xfId="0" applyFont="1"/>
    <xf numFmtId="37" fontId="15" fillId="0" borderId="0" xfId="0" applyNumberFormat="1" applyFont="1"/>
    <xf numFmtId="167" fontId="37" fillId="0" borderId="0" xfId="0" applyNumberFormat="1" applyFont="1"/>
    <xf numFmtId="0" fontId="44" fillId="0" borderId="0" xfId="0" applyFont="1" applyAlignment="1">
      <alignment horizontal="center"/>
    </xf>
    <xf numFmtId="167" fontId="39" fillId="0" borderId="0" xfId="0" applyNumberFormat="1" applyFont="1"/>
    <xf numFmtId="168" fontId="16" fillId="0" borderId="4" xfId="0" applyNumberFormat="1" applyFont="1" applyBorder="1"/>
    <xf numFmtId="0" fontId="26" fillId="0" borderId="0" xfId="0" applyFont="1" applyAlignment="1">
      <alignment horizontal="center"/>
    </xf>
    <xf numFmtId="41" fontId="46" fillId="0" borderId="0" xfId="0" applyNumberFormat="1" applyFont="1" applyAlignment="1">
      <alignment vertical="center"/>
    </xf>
    <xf numFmtId="214" fontId="15" fillId="0" borderId="0" xfId="0" applyNumberFormat="1" applyFont="1"/>
    <xf numFmtId="167" fontId="14" fillId="0" borderId="0" xfId="0" applyNumberFormat="1" applyFont="1"/>
    <xf numFmtId="167" fontId="14" fillId="0" borderId="4" xfId="0" applyNumberFormat="1" applyFont="1" applyBorder="1"/>
    <xf numFmtId="167" fontId="29" fillId="0" borderId="0" xfId="0" applyNumberFormat="1" applyFont="1" applyAlignment="1">
      <alignment vertical="center"/>
    </xf>
    <xf numFmtId="170" fontId="15" fillId="0" borderId="0" xfId="0" applyNumberFormat="1" applyFont="1" applyAlignment="1">
      <alignment vertical="center"/>
    </xf>
    <xf numFmtId="169" fontId="80" fillId="0" borderId="5" xfId="0" applyNumberFormat="1" applyFont="1" applyBorder="1" applyAlignment="1">
      <alignment horizontal="right" vertical="center"/>
    </xf>
    <xf numFmtId="167" fontId="32" fillId="0" borderId="4" xfId="0" applyNumberFormat="1" applyFont="1" applyBorder="1" applyAlignment="1">
      <alignment horizontal="center" vertical="center"/>
    </xf>
    <xf numFmtId="0" fontId="16" fillId="0" borderId="1" xfId="0" applyFont="1" applyBorder="1" applyAlignment="1">
      <alignment horizontal="right"/>
    </xf>
    <xf numFmtId="0" fontId="14" fillId="0" borderId="0" xfId="1" quotePrefix="1" applyFont="1" applyAlignment="1">
      <alignment horizontal="center"/>
    </xf>
    <xf numFmtId="183" fontId="21" fillId="0" borderId="0" xfId="0" applyNumberFormat="1" applyFont="1"/>
    <xf numFmtId="0" fontId="18" fillId="0" borderId="0" xfId="0" quotePrefix="1" applyFont="1" applyAlignment="1">
      <alignment horizontal="centerContinuous"/>
    </xf>
    <xf numFmtId="169" fontId="20" fillId="0" borderId="0" xfId="0" applyNumberFormat="1" applyFont="1" applyAlignment="1">
      <alignment horizontal="right" vertical="center"/>
    </xf>
    <xf numFmtId="167" fontId="45" fillId="0" borderId="0" xfId="0" applyNumberFormat="1" applyFont="1"/>
    <xf numFmtId="0" fontId="43" fillId="0" borderId="0" xfId="0" applyFont="1" applyAlignment="1">
      <alignment horizontal="left" indent="1"/>
    </xf>
    <xf numFmtId="169" fontId="52" fillId="0" borderId="0" xfId="0" applyNumberFormat="1" applyFont="1" applyAlignment="1">
      <alignment horizontal="left" vertical="center" indent="1"/>
    </xf>
    <xf numFmtId="0" fontId="43" fillId="0" borderId="0" xfId="0" applyFont="1" applyAlignment="1">
      <alignment horizontal="left" indent="2"/>
    </xf>
    <xf numFmtId="169" fontId="52" fillId="0" borderId="0" xfId="0" applyNumberFormat="1" applyFont="1" applyAlignment="1">
      <alignment horizontal="right" vertical="center"/>
    </xf>
    <xf numFmtId="41" fontId="52" fillId="0" borderId="0" xfId="0" applyNumberFormat="1" applyFont="1" applyAlignment="1">
      <alignment vertical="center"/>
    </xf>
    <xf numFmtId="169" fontId="79" fillId="0" borderId="0" xfId="0" applyNumberFormat="1" applyFont="1" applyAlignment="1">
      <alignment horizontal="right" vertical="center"/>
    </xf>
    <xf numFmtId="172" fontId="34" fillId="0" borderId="0" xfId="0" applyNumberFormat="1" applyFont="1"/>
    <xf numFmtId="167" fontId="46" fillId="0" borderId="0" xfId="0" applyNumberFormat="1" applyFont="1"/>
    <xf numFmtId="184" fontId="16" fillId="0" borderId="0" xfId="0" applyNumberFormat="1" applyFont="1" applyAlignment="1">
      <alignment horizontal="right"/>
    </xf>
    <xf numFmtId="184" fontId="36" fillId="0" borderId="0" xfId="0" applyNumberFormat="1" applyFont="1" applyAlignment="1">
      <alignment horizontal="right"/>
    </xf>
    <xf numFmtId="41" fontId="19" fillId="9" borderId="0" xfId="0" applyNumberFormat="1" applyFont="1" applyFill="1" applyAlignment="1">
      <alignment vertical="center"/>
    </xf>
    <xf numFmtId="0" fontId="15" fillId="9" borderId="0" xfId="0" applyFont="1" applyFill="1"/>
    <xf numFmtId="182" fontId="34" fillId="0" borderId="0" xfId="0" applyNumberFormat="1" applyFont="1" applyAlignment="1">
      <alignment vertical="center"/>
    </xf>
    <xf numFmtId="0" fontId="14" fillId="0" borderId="0" xfId="1" applyFont="1" applyAlignment="1">
      <alignment horizontal="centerContinuous"/>
    </xf>
    <xf numFmtId="0" fontId="83" fillId="0" borderId="0" xfId="1" applyFont="1" applyAlignment="1">
      <alignment horizontal="centerContinuous"/>
    </xf>
    <xf numFmtId="173" fontId="29" fillId="0" borderId="0" xfId="1" applyNumberFormat="1" applyFont="1" applyAlignment="1">
      <alignment vertical="center"/>
    </xf>
    <xf numFmtId="196" fontId="16" fillId="0" borderId="0" xfId="0" applyNumberFormat="1" applyFont="1" applyAlignment="1">
      <alignment vertical="center"/>
    </xf>
    <xf numFmtId="41" fontId="26" fillId="0" borderId="0" xfId="1" applyNumberFormat="1" applyFont="1" applyAlignment="1">
      <alignment vertical="center"/>
    </xf>
    <xf numFmtId="215" fontId="15" fillId="0" borderId="0" xfId="0" applyNumberFormat="1" applyFont="1" applyAlignment="1">
      <alignment vertical="center"/>
    </xf>
    <xf numFmtId="180" fontId="29" fillId="0" borderId="0" xfId="1" applyNumberFormat="1" applyFont="1" applyAlignment="1">
      <alignment vertical="center"/>
    </xf>
    <xf numFmtId="182" fontId="15" fillId="0" borderId="0" xfId="1" applyNumberFormat="1" applyFont="1" applyAlignment="1">
      <alignment vertical="center"/>
    </xf>
    <xf numFmtId="182" fontId="19" fillId="0" borderId="4" xfId="0" applyNumberFormat="1" applyFont="1" applyBorder="1" applyAlignment="1">
      <alignment vertical="center"/>
    </xf>
    <xf numFmtId="182" fontId="37" fillId="0" borderId="4" xfId="0" applyNumberFormat="1" applyFont="1" applyBorder="1" applyAlignment="1">
      <alignment vertical="center"/>
    </xf>
    <xf numFmtId="0" fontId="19" fillId="0" borderId="0" xfId="0" applyFont="1"/>
    <xf numFmtId="167" fontId="14" fillId="0" borderId="5" xfId="0" applyNumberFormat="1" applyFont="1" applyBorder="1"/>
    <xf numFmtId="41" fontId="79" fillId="0" borderId="0" xfId="0" applyNumberFormat="1" applyFont="1" applyAlignment="1">
      <alignment vertical="center"/>
    </xf>
    <xf numFmtId="0" fontId="14" fillId="9" borderId="0" xfId="0" applyFont="1" applyFill="1"/>
    <xf numFmtId="164" fontId="16" fillId="9" borderId="0" xfId="0" applyNumberFormat="1" applyFont="1" applyFill="1"/>
    <xf numFmtId="0" fontId="39" fillId="9" borderId="0" xfId="0" applyFont="1" applyFill="1"/>
    <xf numFmtId="202" fontId="75" fillId="0" borderId="0" xfId="0" applyNumberFormat="1" applyFont="1" applyAlignment="1">
      <alignment horizontal="right" vertical="center"/>
    </xf>
    <xf numFmtId="167" fontId="29" fillId="0" borderId="0" xfId="0" applyNumberFormat="1" applyFont="1" applyAlignment="1">
      <alignment horizontal="right"/>
    </xf>
    <xf numFmtId="0" fontId="12" fillId="0" borderId="0" xfId="0" applyFont="1"/>
    <xf numFmtId="181" fontId="15" fillId="0" borderId="0" xfId="0" applyNumberFormat="1" applyFont="1" applyAlignment="1">
      <alignment vertical="center"/>
    </xf>
    <xf numFmtId="9" fontId="35" fillId="0" borderId="0" xfId="31" applyFont="1" applyAlignment="1">
      <alignment vertical="center"/>
    </xf>
    <xf numFmtId="0" fontId="11" fillId="0" borderId="0" xfId="0" applyFont="1"/>
    <xf numFmtId="0" fontId="11" fillId="0" borderId="10" xfId="0" applyFont="1" applyBorder="1"/>
    <xf numFmtId="0" fontId="14" fillId="0" borderId="10" xfId="0" applyFont="1" applyBorder="1" applyAlignment="1">
      <alignment horizontal="center"/>
    </xf>
    <xf numFmtId="0" fontId="18" fillId="0" borderId="0" xfId="0" applyFont="1"/>
    <xf numFmtId="0" fontId="18" fillId="0" borderId="0" xfId="0" applyFont="1" applyAlignment="1">
      <alignment horizontal="center" wrapText="1"/>
    </xf>
    <xf numFmtId="170" fontId="11" fillId="0" borderId="0" xfId="0" applyNumberFormat="1" applyFont="1"/>
    <xf numFmtId="170" fontId="84" fillId="0" borderId="0" xfId="0" applyNumberFormat="1" applyFont="1"/>
    <xf numFmtId="0" fontId="11" fillId="0" borderId="0" xfId="0" applyFont="1" applyAlignment="1">
      <alignment horizontal="left" indent="1"/>
    </xf>
    <xf numFmtId="170" fontId="40" fillId="0" borderId="0" xfId="0" applyNumberFormat="1" applyFont="1"/>
    <xf numFmtId="0" fontId="14" fillId="0" borderId="0" xfId="0" applyFont="1" applyAlignment="1">
      <alignment horizontal="center" wrapText="1"/>
    </xf>
    <xf numFmtId="170" fontId="61" fillId="0" borderId="0" xfId="0" applyNumberFormat="1" applyFont="1"/>
    <xf numFmtId="0" fontId="14" fillId="10" borderId="2" xfId="0" applyFont="1" applyFill="1" applyBorder="1" applyAlignment="1">
      <alignment horizontal="left" indent="1"/>
    </xf>
    <xf numFmtId="0" fontId="14" fillId="10" borderId="5" xfId="0" applyFont="1" applyFill="1" applyBorder="1"/>
    <xf numFmtId="170" fontId="14" fillId="10" borderId="3" xfId="0" applyNumberFormat="1" applyFont="1" applyFill="1" applyBorder="1"/>
    <xf numFmtId="0" fontId="11" fillId="0" borderId="0" xfId="0" applyFont="1" applyAlignment="1">
      <alignment vertical="center"/>
    </xf>
    <xf numFmtId="170" fontId="11" fillId="0" borderId="0" xfId="0" applyNumberFormat="1" applyFont="1" applyAlignment="1">
      <alignment vertical="center"/>
    </xf>
    <xf numFmtId="170" fontId="39" fillId="0" borderId="0" xfId="0" applyNumberFormat="1" applyFont="1" applyAlignment="1">
      <alignment vertical="center"/>
    </xf>
    <xf numFmtId="170" fontId="40" fillId="0" borderId="0" xfId="0" applyNumberFormat="1" applyFont="1" applyAlignment="1">
      <alignment vertical="center"/>
    </xf>
    <xf numFmtId="0" fontId="16" fillId="0" borderId="0" xfId="0" applyFont="1" applyAlignment="1">
      <alignment vertical="top" wrapText="1"/>
    </xf>
    <xf numFmtId="0" fontId="11" fillId="0" borderId="0" xfId="0" quotePrefix="1" applyFont="1"/>
    <xf numFmtId="170" fontId="61" fillId="0" borderId="0" xfId="0" applyNumberFormat="1" applyFont="1" applyAlignment="1">
      <alignment vertical="center"/>
    </xf>
    <xf numFmtId="170" fontId="85" fillId="0" borderId="0" xfId="0" applyNumberFormat="1" applyFont="1" applyAlignment="1">
      <alignment vertical="center"/>
    </xf>
    <xf numFmtId="0" fontId="10" fillId="0" borderId="0" xfId="0" applyFont="1" applyAlignment="1">
      <alignment horizontal="left" indent="1"/>
    </xf>
    <xf numFmtId="0" fontId="10" fillId="0" borderId="0" xfId="0" applyFont="1"/>
    <xf numFmtId="9" fontId="15" fillId="0" borderId="0" xfId="31" applyFont="1"/>
    <xf numFmtId="172" fontId="61" fillId="0" borderId="0" xfId="0" applyNumberFormat="1" applyFont="1"/>
    <xf numFmtId="41" fontId="61" fillId="0" borderId="0" xfId="0" applyNumberFormat="1" applyFont="1" applyAlignment="1">
      <alignment vertical="center"/>
    </xf>
    <xf numFmtId="41" fontId="88" fillId="0" borderId="0" xfId="0" applyNumberFormat="1" applyFont="1" applyAlignment="1">
      <alignment vertical="center"/>
    </xf>
    <xf numFmtId="41" fontId="45" fillId="0" borderId="5" xfId="0" applyNumberFormat="1" applyFont="1" applyBorder="1" applyAlignment="1">
      <alignment horizontal="center" vertical="center"/>
    </xf>
    <xf numFmtId="0" fontId="9" fillId="0" borderId="0" xfId="1" applyFont="1" applyAlignment="1">
      <alignment horizontal="center"/>
    </xf>
    <xf numFmtId="0" fontId="8" fillId="0" borderId="0" xfId="0" applyFont="1" applyAlignment="1">
      <alignment horizontal="left" vertical="center" indent="1"/>
    </xf>
    <xf numFmtId="0" fontId="8" fillId="0" borderId="0" xfId="0" applyFont="1"/>
    <xf numFmtId="169" fontId="20" fillId="0" borderId="0" xfId="0" applyNumberFormat="1" applyFont="1" applyAlignment="1">
      <alignment vertical="center"/>
    </xf>
    <xf numFmtId="216" fontId="19" fillId="0" borderId="0" xfId="0" applyNumberFormat="1" applyFont="1" applyAlignment="1">
      <alignment vertical="center"/>
    </xf>
    <xf numFmtId="216" fontId="19" fillId="0" borderId="0" xfId="0" applyNumberFormat="1" applyFont="1" applyAlignment="1">
      <alignment horizontal="right" vertical="center"/>
    </xf>
    <xf numFmtId="41" fontId="30" fillId="0" borderId="0" xfId="0" applyNumberFormat="1" applyFont="1" applyAlignment="1">
      <alignment horizontal="right" vertical="center"/>
    </xf>
    <xf numFmtId="0" fontId="8" fillId="0" borderId="0" xfId="0" quotePrefix="1" applyFont="1"/>
    <xf numFmtId="0" fontId="8" fillId="0" borderId="0" xfId="0" quotePrefix="1" applyFont="1" applyAlignment="1">
      <alignment horizontal="left" indent="1"/>
    </xf>
    <xf numFmtId="0" fontId="16" fillId="0" borderId="0" xfId="0" quotePrefix="1" applyFont="1" applyAlignment="1">
      <alignment horizontal="left" indent="2"/>
    </xf>
    <xf numFmtId="194" fontId="15" fillId="0" borderId="0" xfId="0" applyNumberFormat="1" applyFont="1" applyAlignment="1">
      <alignment horizontal="right" vertical="center"/>
    </xf>
    <xf numFmtId="194" fontId="14" fillId="0" borderId="0" xfId="0" applyNumberFormat="1" applyFont="1" applyAlignment="1">
      <alignment horizontal="right" vertical="center"/>
    </xf>
    <xf numFmtId="0" fontId="7" fillId="0" borderId="0" xfId="0" applyFont="1" applyAlignment="1">
      <alignment horizontal="left" vertical="center"/>
    </xf>
    <xf numFmtId="0" fontId="5" fillId="0" borderId="0" xfId="0" applyFont="1" applyAlignment="1">
      <alignment horizontal="left"/>
    </xf>
    <xf numFmtId="186" fontId="36" fillId="0" borderId="0" xfId="0" applyNumberFormat="1" applyFont="1" applyAlignment="1">
      <alignment vertical="center"/>
    </xf>
    <xf numFmtId="41" fontId="39" fillId="0" borderId="0" xfId="0" applyNumberFormat="1" applyFont="1" applyAlignment="1">
      <alignment horizontal="right" vertical="center"/>
    </xf>
    <xf numFmtId="41" fontId="6" fillId="0" borderId="0" xfId="0" applyNumberFormat="1" applyFont="1" applyAlignment="1">
      <alignment horizontal="right" vertical="center"/>
    </xf>
    <xf numFmtId="41" fontId="85" fillId="0" borderId="0" xfId="0" applyNumberFormat="1" applyFont="1" applyAlignment="1">
      <alignment horizontal="right" vertical="center"/>
    </xf>
    <xf numFmtId="215" fontId="15" fillId="0" borderId="0" xfId="31" applyNumberFormat="1" applyFont="1"/>
    <xf numFmtId="41" fontId="45" fillId="0" borderId="0" xfId="0" applyNumberFormat="1" applyFont="1" applyAlignment="1">
      <alignment vertical="center"/>
    </xf>
    <xf numFmtId="182" fontId="14" fillId="0" borderId="0" xfId="0" applyNumberFormat="1" applyFont="1" applyAlignment="1">
      <alignment vertical="center"/>
    </xf>
    <xf numFmtId="14" fontId="18" fillId="0" borderId="10" xfId="0" applyNumberFormat="1" applyFont="1" applyBorder="1" applyAlignment="1">
      <alignment horizontal="centerContinuous"/>
    </xf>
    <xf numFmtId="0" fontId="18" fillId="0" borderId="10" xfId="0" applyFont="1" applyBorder="1" applyAlignment="1">
      <alignment horizontal="centerContinuous"/>
    </xf>
    <xf numFmtId="0" fontId="26" fillId="0" borderId="10" xfId="0" applyFont="1" applyBorder="1" applyAlignment="1">
      <alignment horizontal="centerContinuous"/>
    </xf>
    <xf numFmtId="14" fontId="14" fillId="0" borderId="10" xfId="0" applyNumberFormat="1" applyFont="1" applyBorder="1" applyAlignment="1">
      <alignment horizontal="centerContinuous"/>
    </xf>
    <xf numFmtId="0" fontId="3" fillId="0" borderId="0" xfId="0" applyFont="1"/>
    <xf numFmtId="0" fontId="3" fillId="0" borderId="0" xfId="0" applyFont="1" applyAlignment="1">
      <alignment horizontal="centerContinuous"/>
    </xf>
    <xf numFmtId="0" fontId="3" fillId="0" borderId="1" xfId="0" applyFont="1" applyBorder="1"/>
    <xf numFmtId="0" fontId="3" fillId="0" borderId="10" xfId="0" applyFont="1" applyBorder="1" applyAlignment="1">
      <alignment horizontal="centerContinuous"/>
    </xf>
    <xf numFmtId="0" fontId="3" fillId="0" borderId="0" xfId="0" applyFont="1" applyAlignment="1">
      <alignment vertical="center"/>
    </xf>
    <xf numFmtId="0" fontId="3" fillId="0" borderId="0" xfId="0" applyFont="1" applyAlignment="1">
      <alignment horizontal="left" vertical="center"/>
    </xf>
    <xf numFmtId="0" fontId="3" fillId="0" borderId="5" xfId="0" applyFont="1" applyBorder="1" applyAlignment="1">
      <alignment vertical="center"/>
    </xf>
    <xf numFmtId="182" fontId="3" fillId="0" borderId="0" xfId="0" applyNumberFormat="1" applyFont="1"/>
    <xf numFmtId="41" fontId="3" fillId="0" borderId="0" xfId="0" applyNumberFormat="1" applyFont="1" applyAlignment="1">
      <alignment vertical="center"/>
    </xf>
    <xf numFmtId="0" fontId="3" fillId="0" borderId="0" xfId="0" quotePrefix="1" applyFont="1" applyAlignment="1">
      <alignment horizontal="left" vertical="center"/>
    </xf>
    <xf numFmtId="0" fontId="3" fillId="0" borderId="0" xfId="0" quotePrefix="1" applyFont="1" applyAlignment="1">
      <alignment horizontal="left" vertical="center" indent="1"/>
    </xf>
    <xf numFmtId="0" fontId="3" fillId="0" borderId="3" xfId="0" applyFont="1" applyBorder="1"/>
    <xf numFmtId="0" fontId="3" fillId="0" borderId="0" xfId="0" quotePrefix="1" applyFont="1" applyAlignment="1">
      <alignment vertical="center"/>
    </xf>
    <xf numFmtId="0" fontId="3" fillId="0" borderId="0" xfId="0" applyFont="1" applyAlignment="1">
      <alignment horizontal="left" indent="1"/>
    </xf>
    <xf numFmtId="0" fontId="3" fillId="0" borderId="0" xfId="0" quotePrefix="1" applyFont="1"/>
    <xf numFmtId="0" fontId="14" fillId="0" borderId="1" xfId="0" applyFont="1" applyBorder="1" applyAlignment="1">
      <alignment horizontal="centerContinuous"/>
    </xf>
    <xf numFmtId="207" fontId="88" fillId="0" borderId="0" xfId="0" applyNumberFormat="1" applyFont="1" applyAlignment="1">
      <alignment horizontal="right" vertical="center"/>
    </xf>
    <xf numFmtId="0" fontId="3" fillId="0" borderId="10" xfId="0" applyFont="1" applyBorder="1"/>
    <xf numFmtId="164" fontId="14" fillId="0" borderId="10" xfId="0" applyNumberFormat="1" applyFont="1" applyBorder="1"/>
    <xf numFmtId="9" fontId="42" fillId="0" borderId="0" xfId="31" applyFont="1" applyAlignment="1">
      <alignment vertical="center"/>
    </xf>
    <xf numFmtId="41" fontId="85" fillId="0" borderId="0" xfId="0" applyNumberFormat="1" applyFont="1" applyAlignment="1">
      <alignment vertical="center"/>
    </xf>
    <xf numFmtId="183" fontId="4" fillId="0" borderId="0" xfId="0" applyNumberFormat="1" applyFont="1" applyAlignment="1">
      <alignment horizontal="right"/>
    </xf>
    <xf numFmtId="41" fontId="4" fillId="0" borderId="0" xfId="0" applyNumberFormat="1" applyFont="1" applyAlignment="1">
      <alignment vertical="center"/>
    </xf>
    <xf numFmtId="41" fontId="4" fillId="0" borderId="0" xfId="0" applyNumberFormat="1" applyFont="1" applyAlignment="1">
      <alignment horizontal="right" vertical="center"/>
    </xf>
    <xf numFmtId="169" fontId="90" fillId="0" borderId="0" xfId="0" applyNumberFormat="1" applyFont="1" applyAlignment="1">
      <alignment horizontal="right" vertical="center"/>
    </xf>
    <xf numFmtId="169" fontId="91" fillId="0" borderId="5" xfId="0" applyNumberFormat="1" applyFont="1" applyBorder="1" applyAlignment="1">
      <alignment horizontal="right" vertical="center"/>
    </xf>
    <xf numFmtId="181" fontId="90" fillId="0" borderId="0" xfId="0" applyNumberFormat="1" applyFont="1" applyAlignment="1">
      <alignment horizontal="right" vertical="center"/>
    </xf>
    <xf numFmtId="41" fontId="88" fillId="0" borderId="0" xfId="0" applyNumberFormat="1" applyFont="1"/>
    <xf numFmtId="41" fontId="92" fillId="0" borderId="0" xfId="0" applyNumberFormat="1" applyFont="1"/>
    <xf numFmtId="178" fontId="90" fillId="0" borderId="0" xfId="0" applyNumberFormat="1" applyFont="1" applyAlignment="1">
      <alignment horizontal="right"/>
    </xf>
    <xf numFmtId="173" fontId="16" fillId="0" borderId="0" xfId="0" applyNumberFormat="1" applyFont="1"/>
    <xf numFmtId="0" fontId="2" fillId="0" borderId="0" xfId="0" applyFont="1" applyAlignment="1">
      <alignment horizontal="center"/>
    </xf>
    <xf numFmtId="9" fontId="37" fillId="0" borderId="0" xfId="31" applyFont="1" applyAlignment="1">
      <alignment vertical="center"/>
    </xf>
    <xf numFmtId="41" fontId="37" fillId="0" borderId="0" xfId="31" applyNumberFormat="1" applyFont="1" applyAlignment="1">
      <alignment vertical="center"/>
    </xf>
    <xf numFmtId="9" fontId="15" fillId="0" borderId="0" xfId="31" applyFont="1" applyAlignment="1">
      <alignment vertical="center"/>
    </xf>
    <xf numFmtId="41" fontId="0" fillId="0" borderId="0" xfId="0" applyNumberFormat="1" applyAlignment="1">
      <alignment vertical="center"/>
    </xf>
    <xf numFmtId="10" fontId="15" fillId="0" borderId="0" xfId="31" applyNumberFormat="1" applyFont="1" applyAlignment="1">
      <alignment vertical="center"/>
    </xf>
    <xf numFmtId="170" fontId="36" fillId="0" borderId="0" xfId="0" applyNumberFormat="1" applyFont="1" applyAlignment="1">
      <alignment horizontal="right" vertical="center"/>
    </xf>
    <xf numFmtId="14" fontId="0" fillId="0" borderId="0" xfId="0" applyNumberFormat="1"/>
    <xf numFmtId="170" fontId="64" fillId="0" borderId="0" xfId="0" applyNumberFormat="1" applyFont="1" applyAlignment="1">
      <alignment horizontal="right" vertical="center"/>
    </xf>
    <xf numFmtId="0" fontId="14" fillId="0" borderId="14" xfId="0" applyFont="1" applyBorder="1" applyAlignment="1">
      <alignment horizontal="right" vertical="center" textRotation="90" wrapText="1"/>
    </xf>
  </cellXfs>
  <cellStyles count="32">
    <cellStyle name="_CurrencySpace" xfId="21" xr:uid="{ECBA39C7-5D0A-46FD-8E6B-E8004F05170D}"/>
    <cellStyle name="Comma 2" xfId="11" xr:uid="{0ECD5BEC-77D4-4F98-A322-3D1996B9FFFB}"/>
    <cellStyle name="Comma 3" xfId="26" xr:uid="{FB58B0A8-AF80-415F-BDBF-9F9C42B644E6}"/>
    <cellStyle name="Currency 2" xfId="9" xr:uid="{0A6AE49A-3CE6-4684-9111-B2898FE76F51}"/>
    <cellStyle name="Grey" xfId="22" xr:uid="{907758A2-90EC-4600-8E62-0DE69DDBF673}"/>
    <cellStyle name="Input [yellow]" xfId="23" xr:uid="{32B7A4A9-6569-433D-A4DF-4A6AC83B201B}"/>
    <cellStyle name="Invisible" xfId="3" xr:uid="{3C482750-A4A1-4597-AA62-188EC105235B}"/>
    <cellStyle name="Normal" xfId="0" builtinId="0"/>
    <cellStyle name="Normal - Style1" xfId="24" xr:uid="{02C7B227-569C-4009-8F4E-714FE1FC3E96}"/>
    <cellStyle name="Normal 2" xfId="2" xr:uid="{812D4AC3-4498-467D-8A0C-DB95C109891B}"/>
    <cellStyle name="Normal 2 2" xfId="1" xr:uid="{4E972079-8672-424A-A993-4D897F5E9493}"/>
    <cellStyle name="Normal 3" xfId="4" xr:uid="{85BCD04C-9503-4B4A-BBCD-652239A715E5}"/>
    <cellStyle name="Normal 4" xfId="5" xr:uid="{42C45275-2468-4518-92D9-B72E7E897458}"/>
    <cellStyle name="Normal 5" xfId="20" xr:uid="{DDE98C11-390C-4CAE-BC83-F548341EF60D}"/>
    <cellStyle name="Normal 6" xfId="29" xr:uid="{E5A0BD6C-AC16-4DE0-BB99-A35613EFDF3D}"/>
    <cellStyle name="Percent" xfId="31" builtinId="5"/>
    <cellStyle name="Percent [2]" xfId="25" xr:uid="{829DDA04-F62E-44A9-9787-E913F94AA706}"/>
    <cellStyle name="Percent 2" xfId="18" xr:uid="{FB53F4F3-9A12-46BB-9156-741BADD705AC}"/>
    <cellStyle name="Percent 3" xfId="19" xr:uid="{276019EA-9CB4-41B3-A512-E2F8AE86D464}"/>
    <cellStyle name="Percent 4" xfId="27" xr:uid="{1A784E9C-16A9-4EF4-BBDF-823ACF8E8169}"/>
    <cellStyle name="一般 11" xfId="13" xr:uid="{4F5B7159-2F10-4B8E-9900-577AE3706055}"/>
    <cellStyle name="一般 2 2" xfId="8" xr:uid="{39F37BEB-FE35-441C-81F4-D1223D892DD1}"/>
    <cellStyle name="一般 2 2 3" xfId="15" xr:uid="{E3E44345-2895-4F40-A3F5-4DBF5E7AEB88}"/>
    <cellStyle name="一般 4" xfId="10" xr:uid="{7D7396EF-3310-454E-85C0-75EE25851267}"/>
    <cellStyle name="一般 9" xfId="17" xr:uid="{89072036-1649-4AEF-9499-BEE5719620A5}"/>
    <cellStyle name="一般_2Q04 Financial Statement-audit_IR_050419" xfId="16" xr:uid="{945FCCB9-0EF7-4941-B21E-072FEDC9CE9E}"/>
    <cellStyle name="一般_CF" xfId="30" xr:uid="{D11B0A8A-D331-43F9-8AC5-7683F9DA57E3}"/>
    <cellStyle name="千分位 5" xfId="6" xr:uid="{EF913149-E27D-45FD-A024-1C48542AF428}"/>
    <cellStyle name="貨幣 2 2 2" xfId="14" xr:uid="{FD747B2F-C9A0-452B-90EE-447CB1041CBC}"/>
    <cellStyle name="貨幣 3" xfId="7" xr:uid="{29D46870-5EB5-4A2D-A570-19FB7737A2A3}"/>
    <cellStyle name="貨幣 3 4" xfId="12" xr:uid="{D9AD12C2-5B10-4605-B5D9-25E14B44CFDE}"/>
    <cellStyle name="貨幣[0]_laroux" xfId="28" xr:uid="{10F767AA-CA02-40CD-A0F7-94DA6EBF6832}"/>
  </cellStyles>
  <dxfs count="1">
    <dxf>
      <fill>
        <patternFill>
          <bgColor theme="9" tint="0.79998168889431442"/>
        </patternFill>
      </fill>
    </dxf>
  </dxfs>
  <tableStyles count="0" defaultTableStyle="TableStyleMedium2" defaultPivotStyle="PivotStyleLight16"/>
  <colors>
    <mruColors>
      <color rgb="FF0000FF"/>
      <color rgb="FFCCFFCC"/>
      <color rgb="FFE60012"/>
      <color rgb="FF264D82"/>
      <color rgb="FFEB8521"/>
      <color rgb="FFEAEAEA"/>
      <color rgb="FFF5F5F5"/>
      <color rgb="FFFFFFCC"/>
      <color rgb="FFFFFFFF"/>
      <color rgb="FFFACA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chartsheet" Target="chartsheets/sheet4.xml"/><Relationship Id="rId26" Type="http://schemas.openxmlformats.org/officeDocument/2006/relationships/worksheet" Target="worksheets/sheet21.xml"/><Relationship Id="rId39" Type="http://schemas.openxmlformats.org/officeDocument/2006/relationships/sharedStrings" Target="sharedStrings.xml"/><Relationship Id="rId21" Type="http://schemas.openxmlformats.org/officeDocument/2006/relationships/worksheet" Target="worksheets/sheet16.xml"/><Relationship Id="rId34" Type="http://schemas.openxmlformats.org/officeDocument/2006/relationships/externalLink" Target="externalLinks/externalLink1.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2.xml"/><Relationship Id="rId20" Type="http://schemas.openxmlformats.org/officeDocument/2006/relationships/worksheet" Target="worksheets/sheet15.xml"/><Relationship Id="rId29" Type="http://schemas.openxmlformats.org/officeDocument/2006/relationships/worksheet" Target="worksheets/sheet24.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19.xml"/><Relationship Id="rId32" Type="http://schemas.openxmlformats.org/officeDocument/2006/relationships/worksheet" Target="worksheets/sheet27.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hartsheet" Target="chartsheets/sheet1.xml"/><Relationship Id="rId23" Type="http://schemas.openxmlformats.org/officeDocument/2006/relationships/worksheet" Target="worksheets/sheet18.xml"/><Relationship Id="rId28" Type="http://schemas.openxmlformats.org/officeDocument/2006/relationships/worksheet" Target="worksheets/sheet23.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chartsheet" Target="chartsheets/sheet5.xml"/><Relationship Id="rId31" Type="http://schemas.openxmlformats.org/officeDocument/2006/relationships/worksheet" Target="worksheets/sheet26.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17.xml"/><Relationship Id="rId27" Type="http://schemas.openxmlformats.org/officeDocument/2006/relationships/worksheet" Target="worksheets/sheet22.xml"/><Relationship Id="rId30" Type="http://schemas.openxmlformats.org/officeDocument/2006/relationships/worksheet" Target="worksheets/sheet25.xml"/><Relationship Id="rId35" Type="http://schemas.openxmlformats.org/officeDocument/2006/relationships/externalLink" Target="externalLinks/externalLink2.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3.xml"/><Relationship Id="rId25" Type="http://schemas.openxmlformats.org/officeDocument/2006/relationships/worksheet" Target="worksheets/sheet20.xml"/><Relationship Id="rId33" Type="http://schemas.openxmlformats.org/officeDocument/2006/relationships/worksheet" Target="worksheets/sheet28.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Financial Profile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Revenue</c:v>
          </c:tx>
          <c:spPr>
            <a:solidFill>
              <a:schemeClr val="accent1"/>
            </a:solidFill>
            <a:ln>
              <a:noFill/>
            </a:ln>
            <a:effectLst/>
          </c:spPr>
          <c:invertIfNegative val="0"/>
          <c:cat>
            <c:strRef>
              <c:f>'Historical Financials'!$AC$7:$BD$7</c:f>
              <c:strCache>
                <c:ptCount val="15"/>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FY24e</c:v>
                </c:pt>
              </c:strCache>
            </c:strRef>
          </c:cat>
          <c:val>
            <c:numRef>
              <c:f>'Historical Financials'!$AC$16:$BD$16</c:f>
              <c:numCache>
                <c:formatCode>_(* #,##0_);_(* \(#,##0\);_(* "-"_);_(@_)</c:formatCode>
                <c:ptCount val="15"/>
                <c:pt idx="0">
                  <c:v>419.53800000000001</c:v>
                </c:pt>
                <c:pt idx="1">
                  <c:v>427.08100000000002</c:v>
                </c:pt>
                <c:pt idx="2">
                  <c:v>506.745</c:v>
                </c:pt>
                <c:pt idx="3">
                  <c:v>597.024</c:v>
                </c:pt>
                <c:pt idx="4">
                  <c:v>762.80600000000004</c:v>
                </c:pt>
                <c:pt idx="5">
                  <c:v>843.49699999999996</c:v>
                </c:pt>
                <c:pt idx="6">
                  <c:v>947.93799999999999</c:v>
                </c:pt>
                <c:pt idx="7">
                  <c:v>977.44699999999989</c:v>
                </c:pt>
                <c:pt idx="8">
                  <c:v>1031.473557</c:v>
                </c:pt>
                <c:pt idx="9">
                  <c:v>1069.9854480000001</c:v>
                </c:pt>
                <c:pt idx="10">
                  <c:v>1339.254811</c:v>
                </c:pt>
                <c:pt idx="11">
                  <c:v>1587.4150369999998</c:v>
                </c:pt>
                <c:pt idx="12">
                  <c:v>2263.8912920000002</c:v>
                </c:pt>
                <c:pt idx="13">
                  <c:v>2161.7359999999999</c:v>
                </c:pt>
                <c:pt idx="14">
                  <c:v>2886.9901861713583</c:v>
                </c:pt>
              </c:numCache>
            </c:numRef>
          </c:val>
          <c:extLst>
            <c:ext xmlns:c16="http://schemas.microsoft.com/office/drawing/2014/chart" uri="{C3380CC4-5D6E-409C-BE32-E72D297353CC}">
              <c16:uniqueId val="{00000000-9B41-4649-AB4C-22D7C27A2E96}"/>
            </c:ext>
          </c:extLst>
        </c:ser>
        <c:ser>
          <c:idx val="1"/>
          <c:order val="1"/>
          <c:tx>
            <c:v>EBIT</c:v>
          </c:tx>
          <c:spPr>
            <a:solidFill>
              <a:schemeClr val="accent2"/>
            </a:solidFill>
            <a:ln>
              <a:noFill/>
            </a:ln>
            <a:effectLst/>
          </c:spPr>
          <c:invertIfNegative val="0"/>
          <c:cat>
            <c:strRef>
              <c:f>'Historical Financials'!$AC$7:$BD$7</c:f>
              <c:strCache>
                <c:ptCount val="15"/>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FY24e</c:v>
                </c:pt>
              </c:strCache>
            </c:strRef>
          </c:cat>
          <c:val>
            <c:numRef>
              <c:f>'Historical Financials'!$AC$50:$BD$50</c:f>
              <c:numCache>
                <c:formatCode>_(* #,##0_);_(* \(#,##0\);_(* "-"_);_(@_)</c:formatCode>
                <c:ptCount val="15"/>
                <c:pt idx="0">
                  <c:v>159.17500000000001</c:v>
                </c:pt>
                <c:pt idx="1">
                  <c:v>141.55700000000002</c:v>
                </c:pt>
                <c:pt idx="2">
                  <c:v>181.17699999999999</c:v>
                </c:pt>
                <c:pt idx="3">
                  <c:v>209.42899999999997</c:v>
                </c:pt>
                <c:pt idx="4">
                  <c:v>295.87000000000006</c:v>
                </c:pt>
                <c:pt idx="5">
                  <c:v>320.048</c:v>
                </c:pt>
                <c:pt idx="6">
                  <c:v>377.95799999999997</c:v>
                </c:pt>
                <c:pt idx="7">
                  <c:v>385.55899999999991</c:v>
                </c:pt>
                <c:pt idx="8">
                  <c:v>383.62355700000001</c:v>
                </c:pt>
                <c:pt idx="9">
                  <c:v>372.70144800000014</c:v>
                </c:pt>
                <c:pt idx="10">
                  <c:v>566.78381100000001</c:v>
                </c:pt>
                <c:pt idx="11">
                  <c:v>649.98103699999967</c:v>
                </c:pt>
                <c:pt idx="12">
                  <c:v>1121.2792920000002</c:v>
                </c:pt>
                <c:pt idx="13">
                  <c:v>921.46599999999989</c:v>
                </c:pt>
                <c:pt idx="14">
                  <c:v>1305.3836868813955</c:v>
                </c:pt>
              </c:numCache>
            </c:numRef>
          </c:val>
          <c:extLst>
            <c:ext xmlns:c16="http://schemas.microsoft.com/office/drawing/2014/chart" uri="{C3380CC4-5D6E-409C-BE32-E72D297353CC}">
              <c16:uniqueId val="{00000001-9B41-4649-AB4C-22D7C27A2E96}"/>
            </c:ext>
          </c:extLst>
        </c:ser>
        <c:dLbls>
          <c:showLegendKey val="0"/>
          <c:showVal val="0"/>
          <c:showCatName val="0"/>
          <c:showSerName val="0"/>
          <c:showPercent val="0"/>
          <c:showBubbleSize val="0"/>
        </c:dLbls>
        <c:gapWidth val="219"/>
        <c:overlap val="-27"/>
        <c:axId val="1975865920"/>
        <c:axId val="2037143856"/>
      </c:barChart>
      <c:catAx>
        <c:axId val="19758659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143856"/>
        <c:crosses val="autoZero"/>
        <c:auto val="1"/>
        <c:lblAlgn val="ctr"/>
        <c:lblOffset val="100"/>
        <c:noMultiLvlLbl val="0"/>
      </c:catAx>
      <c:valAx>
        <c:axId val="20371438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865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TSMC: 5-Year Trailing ROIC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'LT Historical Financials'!$I$6:$AE$6</c:f>
              <c:strCache>
                <c:ptCount val="23"/>
                <c:pt idx="0">
                  <c:v>FY02</c:v>
                </c:pt>
                <c:pt idx="1">
                  <c:v>FY03</c:v>
                </c:pt>
                <c:pt idx="2">
                  <c:v>FY04</c:v>
                </c:pt>
                <c:pt idx="3">
                  <c:v>FY05</c:v>
                </c:pt>
                <c:pt idx="4">
                  <c:v>FY06</c:v>
                </c:pt>
                <c:pt idx="5">
                  <c:v>FY07</c:v>
                </c:pt>
                <c:pt idx="6">
                  <c:v>FY08</c:v>
                </c:pt>
                <c:pt idx="7">
                  <c:v>FY09</c:v>
                </c:pt>
                <c:pt idx="8">
                  <c:v>FY10</c:v>
                </c:pt>
                <c:pt idx="9">
                  <c:v>FY11</c:v>
                </c:pt>
                <c:pt idx="10">
                  <c:v>FY12</c:v>
                </c:pt>
                <c:pt idx="11">
                  <c:v>FY13</c:v>
                </c:pt>
                <c:pt idx="12">
                  <c:v>FY14</c:v>
                </c:pt>
                <c:pt idx="13">
                  <c:v>FY15</c:v>
                </c:pt>
                <c:pt idx="14">
                  <c:v>FY16</c:v>
                </c:pt>
                <c:pt idx="15">
                  <c:v>FY17</c:v>
                </c:pt>
                <c:pt idx="16">
                  <c:v>FY18</c:v>
                </c:pt>
                <c:pt idx="17">
                  <c:v>FY19</c:v>
                </c:pt>
                <c:pt idx="18">
                  <c:v>FY20</c:v>
                </c:pt>
                <c:pt idx="19">
                  <c:v>FY21</c:v>
                </c:pt>
                <c:pt idx="20">
                  <c:v>FY22</c:v>
                </c:pt>
                <c:pt idx="21">
                  <c:v>FY23</c:v>
                </c:pt>
                <c:pt idx="22">
                  <c:v>FY24e</c:v>
                </c:pt>
              </c:strCache>
            </c:strRef>
          </c:cat>
          <c:val>
            <c:numRef>
              <c:f>'LT Historical Financials'!$I$73:$AE$73</c:f>
              <c:numCache>
                <c:formatCode>#,##0%_);\(#,##0%\)</c:formatCode>
                <c:ptCount val="23"/>
                <c:pt idx="0">
                  <c:v>0.15304777727460966</c:v>
                </c:pt>
                <c:pt idx="1">
                  <c:v>0.15610133120183994</c:v>
                </c:pt>
                <c:pt idx="2">
                  <c:v>0.17138241949245012</c:v>
                </c:pt>
                <c:pt idx="3">
                  <c:v>0.16553910451215842</c:v>
                </c:pt>
                <c:pt idx="4">
                  <c:v>0.22327994309202892</c:v>
                </c:pt>
                <c:pt idx="5">
                  <c:v>0.26108797687144081</c:v>
                </c:pt>
                <c:pt idx="6">
                  <c:v>0.28596858730450042</c:v>
                </c:pt>
                <c:pt idx="7">
                  <c:v>0.28413103869386785</c:v>
                </c:pt>
                <c:pt idx="8">
                  <c:v>0.30745410138823515</c:v>
                </c:pt>
                <c:pt idx="9">
                  <c:v>0.29144738309855944</c:v>
                </c:pt>
                <c:pt idx="10">
                  <c:v>0.28459336513546746</c:v>
                </c:pt>
                <c:pt idx="11">
                  <c:v>0.27330158797214266</c:v>
                </c:pt>
                <c:pt idx="12">
                  <c:v>0.27995227843458032</c:v>
                </c:pt>
                <c:pt idx="13">
                  <c:v>0.26917418471754539</c:v>
                </c:pt>
                <c:pt idx="14">
                  <c:v>0.28688230392042302</c:v>
                </c:pt>
                <c:pt idx="15">
                  <c:v>0.29896196128455321</c:v>
                </c:pt>
                <c:pt idx="16">
                  <c:v>0.31003414053451728</c:v>
                </c:pt>
                <c:pt idx="17">
                  <c:v>0.30373100500826589</c:v>
                </c:pt>
                <c:pt idx="18">
                  <c:v>0.3151455587571812</c:v>
                </c:pt>
                <c:pt idx="19">
                  <c:v>0.3183752832468697</c:v>
                </c:pt>
                <c:pt idx="20">
                  <c:v>0.35194913107821107</c:v>
                </c:pt>
                <c:pt idx="21">
                  <c:v>0.35700483707369723</c:v>
                </c:pt>
                <c:pt idx="22">
                  <c:v>0.38075500477163154</c:v>
                </c:pt>
              </c:numCache>
            </c:numRef>
          </c:val>
          <c:smooth val="0"/>
          <c:extLst>
            <c:ext xmlns:c16="http://schemas.microsoft.com/office/drawing/2014/chart" uri="{C3380CC4-5D6E-409C-BE32-E72D297353CC}">
              <c16:uniqueId val="{00000000-5EE8-4546-8394-EF312A6D8238}"/>
            </c:ext>
          </c:extLst>
        </c:ser>
        <c:dLbls>
          <c:showLegendKey val="0"/>
          <c:showVal val="0"/>
          <c:showCatName val="0"/>
          <c:showSerName val="0"/>
          <c:showPercent val="0"/>
          <c:showBubbleSize val="0"/>
        </c:dLbls>
        <c:smooth val="0"/>
        <c:axId val="2028942095"/>
        <c:axId val="2028938735"/>
      </c:lineChart>
      <c:catAx>
        <c:axId val="202894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938735"/>
        <c:crosses val="autoZero"/>
        <c:auto val="1"/>
        <c:lblAlgn val="ctr"/>
        <c:lblOffset val="100"/>
        <c:noMultiLvlLbl val="0"/>
      </c:catAx>
      <c:valAx>
        <c:axId val="2028938735"/>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94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r>
              <a:rPr lang="en-US" b="1"/>
              <a:t>Gross &amp; Operating Margins</a:t>
            </a:r>
          </a:p>
        </c:rich>
      </c:tx>
      <c:overlay val="0"/>
      <c:spPr>
        <a:noFill/>
        <a:ln>
          <a:noFill/>
        </a:ln>
        <a:effectLst/>
      </c:spPr>
      <c:txPr>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endParaRPr lang="en-US"/>
        </a:p>
      </c:txPr>
    </c:title>
    <c:autoTitleDeleted val="0"/>
    <c:plotArea>
      <c:layout>
        <c:manualLayout>
          <c:layoutTarget val="inner"/>
          <c:xMode val="edge"/>
          <c:yMode val="edge"/>
          <c:x val="8.2943804712009628E-2"/>
          <c:y val="6.5480033817159597E-2"/>
          <c:w val="0.90093498408996864"/>
          <c:h val="0.8401202493920098"/>
        </c:manualLayout>
      </c:layout>
      <c:lineChart>
        <c:grouping val="standard"/>
        <c:varyColors val="0"/>
        <c:ser>
          <c:idx val="0"/>
          <c:order val="0"/>
          <c:tx>
            <c:strRef>
              <c:f>'LT Growth'!$B$31</c:f>
              <c:strCache>
                <c:ptCount val="1"/>
                <c:pt idx="0">
                  <c:v>Gross Profit</c:v>
                </c:pt>
              </c:strCache>
            </c:strRef>
          </c:tx>
          <c:spPr>
            <a:ln w="25400" cap="rnd">
              <a:solidFill>
                <a:srgbClr val="264D82"/>
              </a:solidFill>
              <a:prstDash val="solid"/>
              <a:round/>
            </a:ln>
            <a:effectLst/>
          </c:spPr>
          <c:marker>
            <c:symbol val="none"/>
          </c:marker>
          <c:dLbls>
            <c:dLbl>
              <c:idx val="4"/>
              <c:layout>
                <c:manualLayout>
                  <c:x val="-2.748672279202299E-2"/>
                  <c:y val="1.98489741937412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56-4A28-8D72-94FC4D0E7DE8}"/>
                </c:ext>
              </c:extLst>
            </c:dLbl>
            <c:spPr>
              <a:noFill/>
              <a:ln>
                <a:noFill/>
              </a:ln>
              <a:effectLst/>
            </c:spPr>
            <c:txPr>
              <a:bodyPr rot="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'LT Growth'!$G$7:$AH$7</c:f>
              <c:strCache>
                <c:ptCount val="28"/>
                <c:pt idx="0">
                  <c:v>FY97</c:v>
                </c:pt>
                <c:pt idx="1">
                  <c:v>FY98</c:v>
                </c:pt>
                <c:pt idx="2">
                  <c:v>FY99</c:v>
                </c:pt>
                <c:pt idx="3">
                  <c:v>FY00</c:v>
                </c:pt>
                <c:pt idx="4">
                  <c:v>FY01</c:v>
                </c:pt>
                <c:pt idx="5">
                  <c:v>FY02</c:v>
                </c:pt>
                <c:pt idx="6">
                  <c:v>FY03</c:v>
                </c:pt>
                <c:pt idx="7">
                  <c:v>FY04</c:v>
                </c:pt>
                <c:pt idx="8">
                  <c:v>FY05</c:v>
                </c:pt>
                <c:pt idx="9">
                  <c:v>FY06</c:v>
                </c:pt>
                <c:pt idx="10">
                  <c:v>FY07</c:v>
                </c:pt>
                <c:pt idx="11">
                  <c:v>FY08</c:v>
                </c:pt>
                <c:pt idx="12">
                  <c:v>FY09</c:v>
                </c:pt>
                <c:pt idx="13">
                  <c:v>FY10</c:v>
                </c:pt>
                <c:pt idx="14">
                  <c:v>FY11</c:v>
                </c:pt>
                <c:pt idx="15">
                  <c:v>FY12</c:v>
                </c:pt>
                <c:pt idx="16">
                  <c:v>FY13</c:v>
                </c:pt>
                <c:pt idx="17">
                  <c:v>FY14</c:v>
                </c:pt>
                <c:pt idx="18">
                  <c:v>FY15</c:v>
                </c:pt>
                <c:pt idx="19">
                  <c:v>FY16</c:v>
                </c:pt>
                <c:pt idx="20">
                  <c:v>FY17</c:v>
                </c:pt>
                <c:pt idx="21">
                  <c:v>FY18</c:v>
                </c:pt>
                <c:pt idx="22">
                  <c:v>FY19</c:v>
                </c:pt>
                <c:pt idx="23">
                  <c:v>FY20</c:v>
                </c:pt>
                <c:pt idx="24">
                  <c:v>FY21</c:v>
                </c:pt>
                <c:pt idx="25">
                  <c:v>FY22</c:v>
                </c:pt>
                <c:pt idx="26">
                  <c:v>FY23</c:v>
                </c:pt>
                <c:pt idx="27">
                  <c:v>FY24e</c:v>
                </c:pt>
              </c:strCache>
            </c:strRef>
          </c:cat>
          <c:val>
            <c:numRef>
              <c:f>'LT Growth'!$G$33:$AH$33</c:f>
              <c:numCache>
                <c:formatCode>_(* #,##0%_);_(* \(#,##0%\);_(* "-"??_);_(@_)</c:formatCode>
                <c:ptCount val="28"/>
                <c:pt idx="0">
                  <c:v>0.48000091060168004</c:v>
                </c:pt>
                <c:pt idx="1">
                  <c:v>0.38366189361786512</c:v>
                </c:pt>
                <c:pt idx="2">
                  <c:v>0.43120697442073708</c:v>
                </c:pt>
                <c:pt idx="3">
                  <c:v>0.4603906184189942</c:v>
                </c:pt>
                <c:pt idx="4">
                  <c:v>0.26736306946816552</c:v>
                </c:pt>
                <c:pt idx="5">
                  <c:v>0.32232087294594608</c:v>
                </c:pt>
                <c:pt idx="6">
                  <c:v>0.36889215111553381</c:v>
                </c:pt>
                <c:pt idx="7">
                  <c:v>0.45028439464568282</c:v>
                </c:pt>
                <c:pt idx="8">
                  <c:v>0.4434303078048506</c:v>
                </c:pt>
                <c:pt idx="9">
                  <c:v>0.49088394395838775</c:v>
                </c:pt>
                <c:pt idx="10">
                  <c:v>0.44121749372346036</c:v>
                </c:pt>
                <c:pt idx="11">
                  <c:v>0.4254737992183889</c:v>
                </c:pt>
                <c:pt idx="12">
                  <c:v>0.43730346044863427</c:v>
                </c:pt>
                <c:pt idx="13">
                  <c:v>0.49352859574102942</c:v>
                </c:pt>
                <c:pt idx="14">
                  <c:v>0.45440794603365636</c:v>
                </c:pt>
                <c:pt idx="15">
                  <c:v>0.4817748571766865</c:v>
                </c:pt>
                <c:pt idx="16">
                  <c:v>0.47057572224902183</c:v>
                </c:pt>
                <c:pt idx="17">
                  <c:v>0.49517439558682025</c:v>
                </c:pt>
                <c:pt idx="18">
                  <c:v>0.48653996398327437</c:v>
                </c:pt>
                <c:pt idx="19">
                  <c:v>0.50091039709348084</c:v>
                </c:pt>
                <c:pt idx="20">
                  <c:v>0.50624330526361017</c:v>
                </c:pt>
                <c:pt idx="21">
                  <c:v>0.48268184251668611</c:v>
                </c:pt>
                <c:pt idx="22">
                  <c:v>0.46047584004151809</c:v>
                </c:pt>
                <c:pt idx="23">
                  <c:v>0.5309891778316711</c:v>
                </c:pt>
                <c:pt idx="24">
                  <c:v>0.51627143368177619</c:v>
                </c:pt>
                <c:pt idx="25">
                  <c:v>0.59559188940066832</c:v>
                </c:pt>
                <c:pt idx="26">
                  <c:v>0.54359598026771072</c:v>
                </c:pt>
                <c:pt idx="27">
                  <c:v>0.5581725890368997</c:v>
                </c:pt>
              </c:numCache>
            </c:numRef>
          </c:val>
          <c:smooth val="0"/>
          <c:extLst>
            <c:ext xmlns:c16="http://schemas.microsoft.com/office/drawing/2014/chart" uri="{C3380CC4-5D6E-409C-BE32-E72D297353CC}">
              <c16:uniqueId val="{00000000-2E56-4A28-8D72-94FC4D0E7DE8}"/>
            </c:ext>
          </c:extLst>
        </c:ser>
        <c:ser>
          <c:idx val="1"/>
          <c:order val="1"/>
          <c:tx>
            <c:strRef>
              <c:f>'LT Growth'!$B$52</c:f>
              <c:strCache>
                <c:ptCount val="1"/>
                <c:pt idx="0">
                  <c:v>Operating Income</c:v>
                </c:pt>
              </c:strCache>
            </c:strRef>
          </c:tx>
          <c:spPr>
            <a:ln w="25400" cap="rnd">
              <a:solidFill>
                <a:srgbClr val="6A97D4"/>
              </a:solidFill>
              <a:prstDash val="solid"/>
              <a:round/>
            </a:ln>
            <a:effectLst/>
          </c:spPr>
          <c:marker>
            <c:symbol val="none"/>
          </c:marker>
          <c:dLbls>
            <c:dLbl>
              <c:idx val="4"/>
              <c:layout>
                <c:manualLayout>
                  <c:x val="-2.748672279202299E-2"/>
                  <c:y val="2.99476839126122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E56-4A28-8D72-94FC4D0E7DE8}"/>
                </c:ext>
              </c:extLst>
            </c:dLbl>
            <c:spPr>
              <a:noFill/>
              <a:ln>
                <a:noFill/>
              </a:ln>
              <a:effectLst/>
            </c:spPr>
            <c:txPr>
              <a:bodyPr rot="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'LT Growth'!$G$7:$AH$7</c:f>
              <c:strCache>
                <c:ptCount val="28"/>
                <c:pt idx="0">
                  <c:v>FY97</c:v>
                </c:pt>
                <c:pt idx="1">
                  <c:v>FY98</c:v>
                </c:pt>
                <c:pt idx="2">
                  <c:v>FY99</c:v>
                </c:pt>
                <c:pt idx="3">
                  <c:v>FY00</c:v>
                </c:pt>
                <c:pt idx="4">
                  <c:v>FY01</c:v>
                </c:pt>
                <c:pt idx="5">
                  <c:v>FY02</c:v>
                </c:pt>
                <c:pt idx="6">
                  <c:v>FY03</c:v>
                </c:pt>
                <c:pt idx="7">
                  <c:v>FY04</c:v>
                </c:pt>
                <c:pt idx="8">
                  <c:v>FY05</c:v>
                </c:pt>
                <c:pt idx="9">
                  <c:v>FY06</c:v>
                </c:pt>
                <c:pt idx="10">
                  <c:v>FY07</c:v>
                </c:pt>
                <c:pt idx="11">
                  <c:v>FY08</c:v>
                </c:pt>
                <c:pt idx="12">
                  <c:v>FY09</c:v>
                </c:pt>
                <c:pt idx="13">
                  <c:v>FY10</c:v>
                </c:pt>
                <c:pt idx="14">
                  <c:v>FY11</c:v>
                </c:pt>
                <c:pt idx="15">
                  <c:v>FY12</c:v>
                </c:pt>
                <c:pt idx="16">
                  <c:v>FY13</c:v>
                </c:pt>
                <c:pt idx="17">
                  <c:v>FY14</c:v>
                </c:pt>
                <c:pt idx="18">
                  <c:v>FY15</c:v>
                </c:pt>
                <c:pt idx="19">
                  <c:v>FY16</c:v>
                </c:pt>
                <c:pt idx="20">
                  <c:v>FY17</c:v>
                </c:pt>
                <c:pt idx="21">
                  <c:v>FY18</c:v>
                </c:pt>
                <c:pt idx="22">
                  <c:v>FY19</c:v>
                </c:pt>
                <c:pt idx="23">
                  <c:v>FY20</c:v>
                </c:pt>
                <c:pt idx="24">
                  <c:v>FY21</c:v>
                </c:pt>
                <c:pt idx="25">
                  <c:v>FY22</c:v>
                </c:pt>
                <c:pt idx="26">
                  <c:v>FY23</c:v>
                </c:pt>
                <c:pt idx="27">
                  <c:v>FY24e</c:v>
                </c:pt>
              </c:strCache>
            </c:strRef>
          </c:cat>
          <c:val>
            <c:numRef>
              <c:f>'LT Growth'!$G$54:$AH$54</c:f>
              <c:numCache>
                <c:formatCode>_(* #,##0%_);_(* \(#,##0%\);_(* "-"??_);_(@_)</c:formatCode>
                <c:ptCount val="28"/>
                <c:pt idx="0">
                  <c:v>0.33983654699842919</c:v>
                </c:pt>
                <c:pt idx="1">
                  <c:v>0.2738487168299551</c:v>
                </c:pt>
                <c:pt idx="2">
                  <c:v>0.33982509203881361</c:v>
                </c:pt>
                <c:pt idx="3">
                  <c:v>0.36880708552449487</c:v>
                </c:pt>
                <c:pt idx="4">
                  <c:v>0.10150534217738423</c:v>
                </c:pt>
                <c:pt idx="5">
                  <c:v>0.19463219573508472</c:v>
                </c:pt>
                <c:pt idx="6">
                  <c:v>0.25271802046335667</c:v>
                </c:pt>
                <c:pt idx="7">
                  <c:v>0.34400283033905754</c:v>
                </c:pt>
                <c:pt idx="8">
                  <c:v>0.34126010541518959</c:v>
                </c:pt>
                <c:pt idx="9">
                  <c:v>0.40095208990349918</c:v>
                </c:pt>
                <c:pt idx="10">
                  <c:v>0.34628521836159065</c:v>
                </c:pt>
                <c:pt idx="11">
                  <c:v>0.31346988515959401</c:v>
                </c:pt>
                <c:pt idx="12">
                  <c:v>0.31095346619688785</c:v>
                </c:pt>
                <c:pt idx="13">
                  <c:v>0.37940544122344105</c:v>
                </c:pt>
                <c:pt idx="14">
                  <c:v>0.33145234744697144</c:v>
                </c:pt>
                <c:pt idx="15">
                  <c:v>0.35753090805040011</c:v>
                </c:pt>
                <c:pt idx="16">
                  <c:v>0.35078824301870609</c:v>
                </c:pt>
                <c:pt idx="17">
                  <c:v>0.38787057259644003</c:v>
                </c:pt>
                <c:pt idx="18">
                  <c:v>0.37942992091258182</c:v>
                </c:pt>
                <c:pt idx="19">
                  <c:v>0.39871594977730607</c:v>
                </c:pt>
                <c:pt idx="20">
                  <c:v>0.39445514692868255</c:v>
                </c:pt>
                <c:pt idx="21">
                  <c:v>0.37191797540186483</c:v>
                </c:pt>
                <c:pt idx="22">
                  <c:v>0.34832384748469969</c:v>
                </c:pt>
                <c:pt idx="23">
                  <c:v>0.42320834418118808</c:v>
                </c:pt>
                <c:pt idx="24">
                  <c:v>0.40945878793511753</c:v>
                </c:pt>
                <c:pt idx="25">
                  <c:v>0.49528848666996861</c:v>
                </c:pt>
                <c:pt idx="26">
                  <c:v>0.42626204124833</c:v>
                </c:pt>
                <c:pt idx="27">
                  <c:v>0.45216076352949336</c:v>
                </c:pt>
              </c:numCache>
            </c:numRef>
          </c:val>
          <c:smooth val="0"/>
          <c:extLst>
            <c:ext xmlns:c16="http://schemas.microsoft.com/office/drawing/2014/chart" uri="{C3380CC4-5D6E-409C-BE32-E72D297353CC}">
              <c16:uniqueId val="{00000001-2E56-4A28-8D72-94FC4D0E7DE8}"/>
            </c:ext>
          </c:extLst>
        </c:ser>
        <c:dLbls>
          <c:dLblPos val="t"/>
          <c:showLegendKey val="0"/>
          <c:showVal val="1"/>
          <c:showCatName val="0"/>
          <c:showSerName val="0"/>
          <c:showPercent val="0"/>
          <c:showBubbleSize val="0"/>
        </c:dLbls>
        <c:smooth val="0"/>
        <c:axId val="1075001392"/>
        <c:axId val="1074999952"/>
      </c:lineChart>
      <c:catAx>
        <c:axId val="1075001392"/>
        <c:scaling>
          <c:orientation val="minMax"/>
        </c:scaling>
        <c:delete val="0"/>
        <c:axPos val="b"/>
        <c:numFmt formatCode="General" sourceLinked="1"/>
        <c:majorTickMark val="out"/>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4999952"/>
        <c:crosses val="autoZero"/>
        <c:auto val="1"/>
        <c:lblAlgn val="ctr"/>
        <c:lblOffset val="100"/>
        <c:tickLblSkip val="1"/>
        <c:tickMarkSkip val="1"/>
        <c:noMultiLvlLbl val="0"/>
      </c:catAx>
      <c:valAx>
        <c:axId val="1074999952"/>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r>
                  <a:rPr lang="en-US" b="1"/>
                  <a:t>Margin</a:t>
                </a:r>
              </a:p>
            </c:rich>
          </c:tx>
          <c:overlay val="0"/>
          <c:spPr>
            <a:noFill/>
            <a:ln>
              <a:noFill/>
            </a:ln>
            <a:effectLst/>
          </c:spPr>
          <c:txPr>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endParaRPr lang="en-US"/>
            </a:p>
          </c:txPr>
        </c:title>
        <c:numFmt formatCode="_(* #,##0%_);_(* \(#,##0%\);_(* &quot;-&quot;??_);_(@_)" sourceLinked="1"/>
        <c:majorTickMark val="out"/>
        <c:minorTickMark val="out"/>
        <c:tickLblPos val="nextTo"/>
        <c:spPr>
          <a:noFill/>
          <a:ln w="9525">
            <a:solidFill>
              <a:srgbClr val="000000"/>
            </a:solidFill>
            <a:prstDash val="soli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5001392"/>
        <c:crosses val="autoZero"/>
        <c:crossBetween val="between"/>
      </c:valAx>
      <c:spPr>
        <a:noFill/>
        <a:ln w="25400">
          <a:noFill/>
        </a:ln>
        <a:effectLst/>
      </c:spPr>
    </c:plotArea>
    <c:legend>
      <c:legendPos val="b"/>
      <c:layout>
        <c:manualLayout>
          <c:xMode val="edge"/>
          <c:yMode val="edge"/>
          <c:x val="0.80890975606772619"/>
          <c:y val="0.6752727836226855"/>
          <c:w val="0.14720523744339978"/>
          <c:h val="7.8318682672418038E-2"/>
        </c:manualLayout>
      </c:layout>
      <c:overlay val="0"/>
      <c:spPr>
        <a:noFill/>
        <a:ln w="25400">
          <a:noFill/>
        </a:ln>
        <a:effectLst/>
      </c:spPr>
      <c:txPr>
        <a:bodyPr rot="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round/>
    </a:ln>
    <a:effectLst/>
  </c:spPr>
  <c:txPr>
    <a:bodyPr/>
    <a:lstStyle/>
    <a:p>
      <a:pPr>
        <a:defRPr sz="900" b="0" i="0" kern="0">
          <a:solidFill>
            <a:schemeClr val="tx1">
              <a:lumMod val="65000"/>
              <a:lumOff val="35000"/>
            </a:schemeClr>
          </a:solidFill>
          <a:latin typeface="Arial"/>
          <a:ea typeface="Arial"/>
          <a:cs typeface="Arial"/>
        </a:defRPr>
      </a:pPr>
      <a:endParaRPr lang="en-US"/>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r>
              <a:rPr lang="en-US" b="1"/>
              <a:t>Revenue</a:t>
            </a:r>
            <a:r>
              <a:rPr lang="en-US" b="1" baseline="0"/>
              <a:t> </a:t>
            </a:r>
            <a:r>
              <a:rPr lang="en-US" b="1"/>
              <a:t>Growth</a:t>
            </a:r>
          </a:p>
        </c:rich>
      </c:tx>
      <c:overlay val="0"/>
      <c:spPr>
        <a:noFill/>
        <a:ln>
          <a:noFill/>
        </a:ln>
        <a:effectLst/>
      </c:spPr>
      <c:txPr>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endParaRPr lang="en-US"/>
        </a:p>
      </c:txPr>
    </c:title>
    <c:autoTitleDeleted val="0"/>
    <c:plotArea>
      <c:layout>
        <c:manualLayout>
          <c:layoutTarget val="inner"/>
          <c:xMode val="edge"/>
          <c:yMode val="edge"/>
          <c:x val="8.2943804712009628E-2"/>
          <c:y val="6.5480033817159597E-2"/>
          <c:w val="0.90093498408996864"/>
          <c:h val="0.8401202493920098"/>
        </c:manualLayout>
      </c:layout>
      <c:lineChart>
        <c:grouping val="standard"/>
        <c:varyColors val="0"/>
        <c:ser>
          <c:idx val="0"/>
          <c:order val="0"/>
          <c:tx>
            <c:v>Growth</c:v>
          </c:tx>
          <c:spPr>
            <a:ln w="28575" cap="rnd">
              <a:solidFill>
                <a:srgbClr val="264D82"/>
              </a:solidFill>
              <a:round/>
            </a:ln>
            <a:effectLst/>
          </c:spPr>
          <c:marker>
            <c:symbol val="none"/>
          </c:marker>
          <c:dPt>
            <c:idx val="27"/>
            <c:marker>
              <c:symbol val="none"/>
            </c:marker>
            <c:bubble3D val="0"/>
            <c:spPr>
              <a:ln w="28575" cap="rnd">
                <a:solidFill>
                  <a:srgbClr val="264D82"/>
                </a:solidFill>
                <a:round/>
              </a:ln>
              <a:effectLst/>
            </c:spPr>
            <c:extLst>
              <c:ext xmlns:c16="http://schemas.microsoft.com/office/drawing/2014/chart" uri="{C3380CC4-5D6E-409C-BE32-E72D297353CC}">
                <c16:uniqueId val="{00000009-E333-4D7A-ABA1-CB40B7DF78A1}"/>
              </c:ext>
            </c:extLst>
          </c:dPt>
          <c:dLbls>
            <c:dLbl>
              <c:idx val="1"/>
              <c:layout>
                <c:manualLayout>
                  <c:x val="-2.5381929362941719E-2"/>
                  <c:y val="1.619075306375655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33-4D7A-ABA1-CB40B7DF78A1}"/>
                </c:ext>
              </c:extLst>
            </c:dLbl>
            <c:dLbl>
              <c:idx val="2"/>
              <c:layout>
                <c:manualLayout>
                  <c:x val="-4.4328677704515124E-2"/>
                  <c:y val="-9.4870773935298094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33-4D7A-ABA1-CB40B7DF78A1}"/>
                </c:ext>
              </c:extLst>
            </c:dLbl>
            <c:dLbl>
              <c:idx val="3"/>
              <c:tx>
                <c:rich>
                  <a:bodyPr/>
                  <a:lstStyle/>
                  <a:p>
                    <a:r>
                      <a:rPr lang="en-US"/>
                      <a:t>127%</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E333-4D7A-ABA1-CB40B7DF78A1}"/>
                </c:ext>
              </c:extLst>
            </c:dLbl>
            <c:dLbl>
              <c:idx val="4"/>
              <c:layout>
                <c:manualLayout>
                  <c:x val="-2.9435126887801602E-2"/>
                  <c:y val="1.80248838107054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333-4D7A-ABA1-CB40B7DF78A1}"/>
                </c:ext>
              </c:extLst>
            </c:dLbl>
            <c:dLbl>
              <c:idx val="8"/>
              <c:layout>
                <c:manualLayout>
                  <c:x val="-2.1995171456350705E-2"/>
                  <c:y val="1.4356622316807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333-4D7A-ABA1-CB40B7DF78A1}"/>
                </c:ext>
              </c:extLst>
            </c:dLbl>
            <c:dLbl>
              <c:idx val="12"/>
              <c:layout>
                <c:manualLayout>
                  <c:x val="-3.0788466055056821E-2"/>
                  <c:y val="2.16931453046036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333-4D7A-ABA1-CB40B7DF78A1}"/>
                </c:ext>
              </c:extLst>
            </c:dLbl>
            <c:dLbl>
              <c:idx val="14"/>
              <c:layout>
                <c:manualLayout>
                  <c:x val="-5.7551014492877176E-3"/>
                  <c:y val="-7.6529466465808356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333-4D7A-ABA1-CB40B7DF78A1}"/>
                </c:ext>
              </c:extLst>
            </c:dLbl>
            <c:dLbl>
              <c:idx val="20"/>
              <c:layout>
                <c:manualLayout>
                  <c:x val="-3.6881902296158446E-2"/>
                  <c:y val="1.5177070881642197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333-4D7A-ABA1-CB40B7DF78A1}"/>
                </c:ext>
              </c:extLst>
            </c:dLbl>
            <c:dLbl>
              <c:idx val="22"/>
              <c:layout>
                <c:manualLayout>
                  <c:x val="-1.3875136452819285E-2"/>
                  <c:y val="1.43566223168075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333-4D7A-ABA1-CB40B7DF78A1}"/>
                </c:ext>
              </c:extLst>
            </c:dLbl>
            <c:dLbl>
              <c:idx val="24"/>
              <c:layout>
                <c:manualLayout>
                  <c:x val="-2.132191186117606E-2"/>
                  <c:y val="2.53614067985016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33-4D7A-ABA1-CB40B7DF78A1}"/>
                </c:ext>
              </c:extLst>
            </c:dLbl>
            <c:dLbl>
              <c:idx val="26"/>
              <c:layout>
                <c:manualLayout>
                  <c:x val="-3.416840398474201E-2"/>
                  <c:y val="3.269792978629777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33-4D7A-ABA1-CB40B7DF78A1}"/>
                </c:ext>
              </c:extLst>
            </c:dLbl>
            <c:spPr>
              <a:noFill/>
              <a:ln>
                <a:noFill/>
              </a:ln>
              <a:effectLst/>
            </c:spPr>
            <c:txPr>
              <a:bodyPr rot="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'LT Growth'!$G$7:$AH$7</c:f>
              <c:strCache>
                <c:ptCount val="28"/>
                <c:pt idx="0">
                  <c:v>FY97</c:v>
                </c:pt>
                <c:pt idx="1">
                  <c:v>FY98</c:v>
                </c:pt>
                <c:pt idx="2">
                  <c:v>FY99</c:v>
                </c:pt>
                <c:pt idx="3">
                  <c:v>FY00</c:v>
                </c:pt>
                <c:pt idx="4">
                  <c:v>FY01</c:v>
                </c:pt>
                <c:pt idx="5">
                  <c:v>FY02</c:v>
                </c:pt>
                <c:pt idx="6">
                  <c:v>FY03</c:v>
                </c:pt>
                <c:pt idx="7">
                  <c:v>FY04</c:v>
                </c:pt>
                <c:pt idx="8">
                  <c:v>FY05</c:v>
                </c:pt>
                <c:pt idx="9">
                  <c:v>FY06</c:v>
                </c:pt>
                <c:pt idx="10">
                  <c:v>FY07</c:v>
                </c:pt>
                <c:pt idx="11">
                  <c:v>FY08</c:v>
                </c:pt>
                <c:pt idx="12">
                  <c:v>FY09</c:v>
                </c:pt>
                <c:pt idx="13">
                  <c:v>FY10</c:v>
                </c:pt>
                <c:pt idx="14">
                  <c:v>FY11</c:v>
                </c:pt>
                <c:pt idx="15">
                  <c:v>FY12</c:v>
                </c:pt>
                <c:pt idx="16">
                  <c:v>FY13</c:v>
                </c:pt>
                <c:pt idx="17">
                  <c:v>FY14</c:v>
                </c:pt>
                <c:pt idx="18">
                  <c:v>FY15</c:v>
                </c:pt>
                <c:pt idx="19">
                  <c:v>FY16</c:v>
                </c:pt>
                <c:pt idx="20">
                  <c:v>FY17</c:v>
                </c:pt>
                <c:pt idx="21">
                  <c:v>FY18</c:v>
                </c:pt>
                <c:pt idx="22">
                  <c:v>FY19</c:v>
                </c:pt>
                <c:pt idx="23">
                  <c:v>FY20</c:v>
                </c:pt>
                <c:pt idx="24">
                  <c:v>FY21</c:v>
                </c:pt>
                <c:pt idx="25">
                  <c:v>FY22</c:v>
                </c:pt>
                <c:pt idx="26">
                  <c:v>FY23</c:v>
                </c:pt>
                <c:pt idx="27">
                  <c:v>FY24e</c:v>
                </c:pt>
              </c:strCache>
            </c:strRef>
          </c:cat>
          <c:val>
            <c:numRef>
              <c:f>'LT Growth'!$G$99:$AH$99</c:f>
              <c:numCache>
                <c:formatCode>_(* #,##0%_);_(* \(#,##0%\);_(* "-"??_);_(@_)</c:formatCode>
                <c:ptCount val="28"/>
                <c:pt idx="1">
                  <c:v>0.1478589477997585</c:v>
                </c:pt>
                <c:pt idx="2">
                  <c:v>0.44910951568759661</c:v>
                </c:pt>
                <c:pt idx="3">
                  <c:v>0.56999999999999995</c:v>
                </c:pt>
                <c:pt idx="4">
                  <c:v>-0.24256007894198495</c:v>
                </c:pt>
                <c:pt idx="5">
                  <c:v>0.2892798983198952</c:v>
                </c:pt>
                <c:pt idx="6">
                  <c:v>0.25074398802225506</c:v>
                </c:pt>
                <c:pt idx="7">
                  <c:v>0.26707783858874756</c:v>
                </c:pt>
                <c:pt idx="8">
                  <c:v>3.6358970969585513E-2</c:v>
                </c:pt>
                <c:pt idx="9">
                  <c:v>0.19073021589480987</c:v>
                </c:pt>
                <c:pt idx="10">
                  <c:v>1.6455213653133072E-2</c:v>
                </c:pt>
                <c:pt idx="11">
                  <c:v>3.2631807333478147E-2</c:v>
                </c:pt>
                <c:pt idx="12">
                  <c:v>-0.11230707352067193</c:v>
                </c:pt>
                <c:pt idx="13">
                  <c:v>0.4185945858214255</c:v>
                </c:pt>
                <c:pt idx="14">
                  <c:v>1.7979301040668583E-2</c:v>
                </c:pt>
                <c:pt idx="15">
                  <c:v>0.18653136056157948</c:v>
                </c:pt>
                <c:pt idx="16">
                  <c:v>0.178154693188882</c:v>
                </c:pt>
                <c:pt idx="17">
                  <c:v>0.2776806292544356</c:v>
                </c:pt>
                <c:pt idx="18">
                  <c:v>0.10578181084050176</c:v>
                </c:pt>
                <c:pt idx="19">
                  <c:v>0.12381905329835208</c:v>
                </c:pt>
                <c:pt idx="20">
                  <c:v>3.1129673037687988E-2</c:v>
                </c:pt>
                <c:pt idx="21">
                  <c:v>5.5273131944750142E-2</c:v>
                </c:pt>
                <c:pt idx="22">
                  <c:v>3.7336770039951839E-2</c:v>
                </c:pt>
                <c:pt idx="23">
                  <c:v>0.25165703281601992</c:v>
                </c:pt>
                <c:pt idx="24">
                  <c:v>0.18529724437928463</c:v>
                </c:pt>
                <c:pt idx="25">
                  <c:v>0.42614958232879618</c:v>
                </c:pt>
                <c:pt idx="26">
                  <c:v>-4.5123762064455342E-2</c:v>
                </c:pt>
                <c:pt idx="27">
                  <c:v>0.33549618740279041</c:v>
                </c:pt>
              </c:numCache>
            </c:numRef>
          </c:val>
          <c:smooth val="0"/>
          <c:extLst>
            <c:ext xmlns:c16="http://schemas.microsoft.com/office/drawing/2014/chart" uri="{C3380CC4-5D6E-409C-BE32-E72D297353CC}">
              <c16:uniqueId val="{00000001-E333-4D7A-ABA1-CB40B7DF78A1}"/>
            </c:ext>
          </c:extLst>
        </c:ser>
        <c:dLbls>
          <c:dLblPos val="t"/>
          <c:showLegendKey val="0"/>
          <c:showVal val="1"/>
          <c:showCatName val="0"/>
          <c:showSerName val="0"/>
          <c:showPercent val="0"/>
          <c:showBubbleSize val="0"/>
        </c:dLbls>
        <c:smooth val="0"/>
        <c:axId val="1075001392"/>
        <c:axId val="1074999952"/>
      </c:lineChart>
      <c:catAx>
        <c:axId val="1075001392"/>
        <c:scaling>
          <c:orientation val="minMax"/>
        </c:scaling>
        <c:delete val="0"/>
        <c:axPos val="b"/>
        <c:numFmt formatCode="General" sourceLinked="1"/>
        <c:majorTickMark val="out"/>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4999952"/>
        <c:crosses val="autoZero"/>
        <c:auto val="1"/>
        <c:lblAlgn val="ctr"/>
        <c:lblOffset val="100"/>
        <c:tickLblSkip val="1"/>
        <c:tickMarkSkip val="1"/>
        <c:noMultiLvlLbl val="0"/>
      </c:catAx>
      <c:valAx>
        <c:axId val="1074999952"/>
        <c:scaling>
          <c:orientation val="minMax"/>
          <c:max val="0.60000000000000009"/>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r>
                  <a:rPr lang="en-US" b="1"/>
                  <a:t>Y/Y % Growth</a:t>
                </a:r>
              </a:p>
            </c:rich>
          </c:tx>
          <c:overlay val="0"/>
          <c:spPr>
            <a:noFill/>
            <a:ln>
              <a:noFill/>
            </a:ln>
            <a:effectLst/>
          </c:spPr>
          <c:txPr>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endParaRPr lang="en-US"/>
            </a:p>
          </c:txPr>
        </c:title>
        <c:numFmt formatCode="_(* #,##0%_);_(* \(#,##0%\);_(* &quot;-&quot;??_);_(@_)" sourceLinked="1"/>
        <c:majorTickMark val="out"/>
        <c:minorTickMark val="out"/>
        <c:tickLblPos val="nextTo"/>
        <c:spPr>
          <a:noFill/>
          <a:ln w="9525">
            <a:solidFill>
              <a:srgbClr val="000000"/>
            </a:solidFill>
            <a:prstDash val="soli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5001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round/>
    </a:ln>
    <a:effectLst/>
  </c:spPr>
  <c:txPr>
    <a:bodyPr/>
    <a:lstStyle/>
    <a:p>
      <a:pPr>
        <a:defRPr sz="900" b="0" i="0" kern="0">
          <a:solidFill>
            <a:schemeClr val="tx1">
              <a:lumMod val="65000"/>
              <a:lumOff val="35000"/>
            </a:schemeClr>
          </a:solidFill>
          <a:latin typeface="Arial"/>
          <a:ea typeface="Arial"/>
          <a:cs typeface="Arial"/>
        </a:defRPr>
      </a:pPr>
      <a:endParaRPr lang="en-US"/>
    </a:p>
  </c:txPr>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r>
              <a:rPr lang="en-US" b="1"/>
              <a:t>ROIC</a:t>
            </a:r>
          </a:p>
        </c:rich>
      </c:tx>
      <c:overlay val="0"/>
      <c:spPr>
        <a:noFill/>
        <a:ln>
          <a:noFill/>
        </a:ln>
        <a:effectLst/>
      </c:spPr>
      <c:txPr>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endParaRPr lang="en-US"/>
        </a:p>
      </c:txPr>
    </c:title>
    <c:autoTitleDeleted val="0"/>
    <c:plotArea>
      <c:layout>
        <c:manualLayout>
          <c:layoutTarget val="inner"/>
          <c:xMode val="edge"/>
          <c:yMode val="edge"/>
          <c:x val="8.2943804712009628E-2"/>
          <c:y val="6.5480033817159597E-2"/>
          <c:w val="0.90093498408996864"/>
          <c:h val="0.8401202493920098"/>
        </c:manualLayout>
      </c:layout>
      <c:lineChart>
        <c:grouping val="standard"/>
        <c:varyColors val="0"/>
        <c:ser>
          <c:idx val="0"/>
          <c:order val="0"/>
          <c:tx>
            <c:strRef>
              <c:f>'Chart Backup'!$B$7</c:f>
              <c:strCache>
                <c:ptCount val="1"/>
                <c:pt idx="0">
                  <c:v>ROIC</c:v>
                </c:pt>
              </c:strCache>
            </c:strRef>
          </c:tx>
          <c:spPr>
            <a:ln w="28575" cap="rnd">
              <a:solidFill>
                <a:srgbClr val="264D82"/>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'Chart Backup'!$D$6:$AE$6</c:f>
              <c:strCache>
                <c:ptCount val="28"/>
                <c:pt idx="0">
                  <c:v>FY97</c:v>
                </c:pt>
                <c:pt idx="1">
                  <c:v>FY98</c:v>
                </c:pt>
                <c:pt idx="2">
                  <c:v>FY99</c:v>
                </c:pt>
                <c:pt idx="3">
                  <c:v>FY00</c:v>
                </c:pt>
                <c:pt idx="4">
                  <c:v>FY01</c:v>
                </c:pt>
                <c:pt idx="5">
                  <c:v>FY02</c:v>
                </c:pt>
                <c:pt idx="6">
                  <c:v>FY03</c:v>
                </c:pt>
                <c:pt idx="7">
                  <c:v>FY04</c:v>
                </c:pt>
                <c:pt idx="8">
                  <c:v>FY05</c:v>
                </c:pt>
                <c:pt idx="9">
                  <c:v>FY06</c:v>
                </c:pt>
                <c:pt idx="10">
                  <c:v>FY07</c:v>
                </c:pt>
                <c:pt idx="11">
                  <c:v>FY08</c:v>
                </c:pt>
                <c:pt idx="12">
                  <c:v>FY09</c:v>
                </c:pt>
                <c:pt idx="13">
                  <c:v>FY10</c:v>
                </c:pt>
                <c:pt idx="14">
                  <c:v>FY11</c:v>
                </c:pt>
                <c:pt idx="15">
                  <c:v>FY12</c:v>
                </c:pt>
                <c:pt idx="16">
                  <c:v>FY13</c:v>
                </c:pt>
                <c:pt idx="17">
                  <c:v>FY14</c:v>
                </c:pt>
                <c:pt idx="18">
                  <c:v>FY15</c:v>
                </c:pt>
                <c:pt idx="19">
                  <c:v>FY16</c:v>
                </c:pt>
                <c:pt idx="20">
                  <c:v>FY17</c:v>
                </c:pt>
                <c:pt idx="21">
                  <c:v>FY18</c:v>
                </c:pt>
                <c:pt idx="22">
                  <c:v>FY19</c:v>
                </c:pt>
                <c:pt idx="23">
                  <c:v>FY20</c:v>
                </c:pt>
                <c:pt idx="24">
                  <c:v>FY21</c:v>
                </c:pt>
                <c:pt idx="25">
                  <c:v>FY22</c:v>
                </c:pt>
                <c:pt idx="26">
                  <c:v>FY23</c:v>
                </c:pt>
                <c:pt idx="27">
                  <c:v>FY24e</c:v>
                </c:pt>
              </c:strCache>
            </c:strRef>
          </c:cat>
          <c:val>
            <c:numRef>
              <c:f>'Chart Backup'!$D$7:$AE$7</c:f>
              <c:numCache>
                <c:formatCode>_(* #,##0%_);_(* \(#,##0%\);_(* "-"?_);_(@_)</c:formatCode>
                <c:ptCount val="28"/>
                <c:pt idx="1">
                  <c:v>0.13262194389884308</c:v>
                </c:pt>
                <c:pt idx="2">
                  <c:v>0.19474357063866157</c:v>
                </c:pt>
                <c:pt idx="3">
                  <c:v>0.27656641632281048</c:v>
                </c:pt>
                <c:pt idx="4">
                  <c:v>4.1987178434007746E-2</c:v>
                </c:pt>
                <c:pt idx="5">
                  <c:v>0.10437003470851287</c:v>
                </c:pt>
                <c:pt idx="6">
                  <c:v>0.18318547256824244</c:v>
                </c:pt>
                <c:pt idx="7">
                  <c:v>0.30782879150010961</c:v>
                </c:pt>
                <c:pt idx="8">
                  <c:v>0.29306228958940744</c:v>
                </c:pt>
                <c:pt idx="9">
                  <c:v>0.41259590305706445</c:v>
                </c:pt>
                <c:pt idx="10">
                  <c:v>0.35646950903362185</c:v>
                </c:pt>
                <c:pt idx="11">
                  <c:v>0.35746986570278</c:v>
                </c:pt>
                <c:pt idx="12">
                  <c:v>0.3178265505198784</c:v>
                </c:pt>
                <c:pt idx="13">
                  <c:v>0.41838777127521859</c:v>
                </c:pt>
                <c:pt idx="14">
                  <c:v>0.28675260378948475</c:v>
                </c:pt>
                <c:pt idx="15">
                  <c:v>0.29844769377883235</c:v>
                </c:pt>
                <c:pt idx="16">
                  <c:v>0.27554145147083103</c:v>
                </c:pt>
                <c:pt idx="17">
                  <c:v>0.34117850553505541</c:v>
                </c:pt>
                <c:pt idx="18">
                  <c:v>0.35495222726844228</c:v>
                </c:pt>
                <c:pt idx="19">
                  <c:v>0.38521722601565195</c:v>
                </c:pt>
                <c:pt idx="20">
                  <c:v>0.35546956751828007</c:v>
                </c:pt>
                <c:pt idx="21">
                  <c:v>0.33185342685096841</c:v>
                </c:pt>
                <c:pt idx="22">
                  <c:v>0.27885116161969481</c:v>
                </c:pt>
                <c:pt idx="23">
                  <c:v>0.35599706111886642</c:v>
                </c:pt>
                <c:pt idx="24">
                  <c:v>0.33512995919802591</c:v>
                </c:pt>
                <c:pt idx="25">
                  <c:v>0.45381435602440279</c:v>
                </c:pt>
                <c:pt idx="26">
                  <c:v>0.31148465860326002</c:v>
                </c:pt>
                <c:pt idx="27">
                  <c:v>0.38906200338139924</c:v>
                </c:pt>
              </c:numCache>
            </c:numRef>
          </c:val>
          <c:smooth val="0"/>
          <c:extLst>
            <c:ext xmlns:c16="http://schemas.microsoft.com/office/drawing/2014/chart" uri="{C3380CC4-5D6E-409C-BE32-E72D297353CC}">
              <c16:uniqueId val="{0000000D-16F7-4455-9A5D-7F7F6D865697}"/>
            </c:ext>
          </c:extLst>
        </c:ser>
        <c:dLbls>
          <c:dLblPos val="t"/>
          <c:showLegendKey val="0"/>
          <c:showVal val="1"/>
          <c:showCatName val="0"/>
          <c:showSerName val="0"/>
          <c:showPercent val="0"/>
          <c:showBubbleSize val="0"/>
        </c:dLbls>
        <c:smooth val="0"/>
        <c:axId val="1075001392"/>
        <c:axId val="1074999952"/>
      </c:lineChart>
      <c:catAx>
        <c:axId val="1075001392"/>
        <c:scaling>
          <c:orientation val="minMax"/>
        </c:scaling>
        <c:delete val="0"/>
        <c:axPos val="b"/>
        <c:numFmt formatCode="General" sourceLinked="1"/>
        <c:majorTickMark val="out"/>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4999952"/>
        <c:crosses val="autoZero"/>
        <c:auto val="1"/>
        <c:lblAlgn val="ctr"/>
        <c:lblOffset val="100"/>
        <c:tickLblSkip val="1"/>
        <c:tickMarkSkip val="1"/>
        <c:noMultiLvlLbl val="0"/>
      </c:catAx>
      <c:valAx>
        <c:axId val="1074999952"/>
        <c:scaling>
          <c:orientation val="minMax"/>
          <c:max val="0.5"/>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r>
                  <a:rPr lang="en-US" b="1"/>
                  <a:t>ROIC</a:t>
                </a:r>
              </a:p>
            </c:rich>
          </c:tx>
          <c:overlay val="0"/>
          <c:spPr>
            <a:noFill/>
            <a:ln>
              <a:noFill/>
            </a:ln>
            <a:effectLst/>
          </c:spPr>
          <c:txPr>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endParaRPr lang="en-US"/>
            </a:p>
          </c:txPr>
        </c:title>
        <c:numFmt formatCode="_(* #,##0%_);_(* \(#,##0%\);_(* &quot;-&quot;?_);_(@_)" sourceLinked="1"/>
        <c:majorTickMark val="out"/>
        <c:minorTickMark val="out"/>
        <c:tickLblPos val="nextTo"/>
        <c:spPr>
          <a:noFill/>
          <a:ln w="9525">
            <a:solidFill>
              <a:srgbClr val="000000"/>
            </a:solidFill>
            <a:prstDash val="soli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5001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round/>
    </a:ln>
    <a:effectLst/>
  </c:spPr>
  <c:txPr>
    <a:bodyPr/>
    <a:lstStyle/>
    <a:p>
      <a:pPr>
        <a:defRPr sz="900" b="0" i="0" kern="0">
          <a:solidFill>
            <a:schemeClr val="tx1">
              <a:lumMod val="65000"/>
              <a:lumOff val="35000"/>
            </a:schemeClr>
          </a:solidFill>
          <a:latin typeface="Arial"/>
          <a:ea typeface="Arial"/>
          <a:cs typeface="Arial"/>
        </a:defRPr>
      </a:pPr>
      <a:endParaRPr lang="en-US"/>
    </a:p>
  </c:txPr>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r>
              <a:rPr lang="en-US" b="1"/>
              <a:t>CapEx</a:t>
            </a:r>
          </a:p>
        </c:rich>
      </c:tx>
      <c:overlay val="0"/>
      <c:spPr>
        <a:noFill/>
        <a:ln>
          <a:noFill/>
        </a:ln>
        <a:effectLst/>
      </c:spPr>
      <c:txPr>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endParaRPr lang="en-US"/>
        </a:p>
      </c:txPr>
    </c:title>
    <c:autoTitleDeleted val="0"/>
    <c:plotArea>
      <c:layout>
        <c:manualLayout>
          <c:layoutTarget val="inner"/>
          <c:xMode val="edge"/>
          <c:yMode val="edge"/>
          <c:x val="8.2943804712009628E-2"/>
          <c:y val="6.5480033817159597E-2"/>
          <c:w val="0.90093498408996864"/>
          <c:h val="0.8401202493920098"/>
        </c:manualLayout>
      </c:layout>
      <c:lineChart>
        <c:grouping val="standard"/>
        <c:varyColors val="0"/>
        <c:ser>
          <c:idx val="0"/>
          <c:order val="0"/>
          <c:tx>
            <c:strRef>
              <c:f>'Chart Backup'!$B$8</c:f>
              <c:strCache>
                <c:ptCount val="1"/>
                <c:pt idx="0">
                  <c:v>Capex</c:v>
                </c:pt>
              </c:strCache>
            </c:strRef>
          </c:tx>
          <c:spPr>
            <a:ln w="28575" cap="rnd">
              <a:solidFill>
                <a:srgbClr val="264D82"/>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'Chart Backup'!$D$6:$AE$6</c:f>
              <c:strCache>
                <c:ptCount val="28"/>
                <c:pt idx="0">
                  <c:v>FY97</c:v>
                </c:pt>
                <c:pt idx="1">
                  <c:v>FY98</c:v>
                </c:pt>
                <c:pt idx="2">
                  <c:v>FY99</c:v>
                </c:pt>
                <c:pt idx="3">
                  <c:v>FY00</c:v>
                </c:pt>
                <c:pt idx="4">
                  <c:v>FY01</c:v>
                </c:pt>
                <c:pt idx="5">
                  <c:v>FY02</c:v>
                </c:pt>
                <c:pt idx="6">
                  <c:v>FY03</c:v>
                </c:pt>
                <c:pt idx="7">
                  <c:v>FY04</c:v>
                </c:pt>
                <c:pt idx="8">
                  <c:v>FY05</c:v>
                </c:pt>
                <c:pt idx="9">
                  <c:v>FY06</c:v>
                </c:pt>
                <c:pt idx="10">
                  <c:v>FY07</c:v>
                </c:pt>
                <c:pt idx="11">
                  <c:v>FY08</c:v>
                </c:pt>
                <c:pt idx="12">
                  <c:v>FY09</c:v>
                </c:pt>
                <c:pt idx="13">
                  <c:v>FY10</c:v>
                </c:pt>
                <c:pt idx="14">
                  <c:v>FY11</c:v>
                </c:pt>
                <c:pt idx="15">
                  <c:v>FY12</c:v>
                </c:pt>
                <c:pt idx="16">
                  <c:v>FY13</c:v>
                </c:pt>
                <c:pt idx="17">
                  <c:v>FY14</c:v>
                </c:pt>
                <c:pt idx="18">
                  <c:v>FY15</c:v>
                </c:pt>
                <c:pt idx="19">
                  <c:v>FY16</c:v>
                </c:pt>
                <c:pt idx="20">
                  <c:v>FY17</c:v>
                </c:pt>
                <c:pt idx="21">
                  <c:v>FY18</c:v>
                </c:pt>
                <c:pt idx="22">
                  <c:v>FY19</c:v>
                </c:pt>
                <c:pt idx="23">
                  <c:v>FY20</c:v>
                </c:pt>
                <c:pt idx="24">
                  <c:v>FY21</c:v>
                </c:pt>
                <c:pt idx="25">
                  <c:v>FY22</c:v>
                </c:pt>
                <c:pt idx="26">
                  <c:v>FY23</c:v>
                </c:pt>
                <c:pt idx="27">
                  <c:v>FY24e</c:v>
                </c:pt>
              </c:strCache>
            </c:strRef>
          </c:cat>
          <c:val>
            <c:numRef>
              <c:f>'Chart Backup'!$D$8:$AE$8</c:f>
              <c:numCache>
                <c:formatCode>_(* #,##0%_);_(* \(#,##0%\);_(* "-"?_);_(@_)</c:formatCode>
                <c:ptCount val="28"/>
                <c:pt idx="1">
                  <c:v>0.81539804053786047</c:v>
                </c:pt>
                <c:pt idx="2">
                  <c:v>0.52670836355673567</c:v>
                </c:pt>
                <c:pt idx="3">
                  <c:v>0.6243276092371749</c:v>
                </c:pt>
                <c:pt idx="4">
                  <c:v>0.55765976883663648</c:v>
                </c:pt>
                <c:pt idx="5">
                  <c:v>0.34032445887579255</c:v>
                </c:pt>
                <c:pt idx="6">
                  <c:v>0.186559407281881</c:v>
                </c:pt>
                <c:pt idx="7">
                  <c:v>0.31528344212773068</c:v>
                </c:pt>
                <c:pt idx="8">
                  <c:v>0.29966049556393376</c:v>
                </c:pt>
                <c:pt idx="9">
                  <c:v>0.24806321221649175</c:v>
                </c:pt>
                <c:pt idx="10">
                  <c:v>0.26036326442054369</c:v>
                </c:pt>
                <c:pt idx="11">
                  <c:v>0.17776250307661828</c:v>
                </c:pt>
                <c:pt idx="12">
                  <c:v>0.2968296691034753</c:v>
                </c:pt>
                <c:pt idx="13">
                  <c:v>0.44559491631270587</c:v>
                </c:pt>
                <c:pt idx="14">
                  <c:v>0.50098927369749524</c:v>
                </c:pt>
                <c:pt idx="15">
                  <c:v>0.48572161540814413</c:v>
                </c:pt>
                <c:pt idx="16">
                  <c:v>0.48171430294259532</c:v>
                </c:pt>
                <c:pt idx="17">
                  <c:v>0.37826131414802716</c:v>
                </c:pt>
                <c:pt idx="18">
                  <c:v>0.30529687716731657</c:v>
                </c:pt>
                <c:pt idx="19">
                  <c:v>0.34606166226061202</c:v>
                </c:pt>
                <c:pt idx="20">
                  <c:v>0.33821578049756157</c:v>
                </c:pt>
                <c:pt idx="21">
                  <c:v>0.30595258391098046</c:v>
                </c:pt>
                <c:pt idx="22">
                  <c:v>0.43030678675173906</c:v>
                </c:pt>
                <c:pt idx="23">
                  <c:v>0.37874719271775681</c:v>
                </c:pt>
                <c:pt idx="24">
                  <c:v>0.5286556952276118</c:v>
                </c:pt>
                <c:pt idx="25">
                  <c:v>0.47823497701761553</c:v>
                </c:pt>
                <c:pt idx="26">
                  <c:v>0.43937696369954521</c:v>
                </c:pt>
                <c:pt idx="27">
                  <c:v>0.34298147479052493</c:v>
                </c:pt>
              </c:numCache>
            </c:numRef>
          </c:val>
          <c:smooth val="0"/>
          <c:extLst>
            <c:ext xmlns:c16="http://schemas.microsoft.com/office/drawing/2014/chart" uri="{C3380CC4-5D6E-409C-BE32-E72D297353CC}">
              <c16:uniqueId val="{0000000E-B552-44C2-9EC9-063286B8BAD2}"/>
            </c:ext>
          </c:extLst>
        </c:ser>
        <c:dLbls>
          <c:dLblPos val="t"/>
          <c:showLegendKey val="0"/>
          <c:showVal val="1"/>
          <c:showCatName val="0"/>
          <c:showSerName val="0"/>
          <c:showPercent val="0"/>
          <c:showBubbleSize val="0"/>
        </c:dLbls>
        <c:smooth val="0"/>
        <c:axId val="1075001392"/>
        <c:axId val="1074999952"/>
      </c:lineChart>
      <c:catAx>
        <c:axId val="1075001392"/>
        <c:scaling>
          <c:orientation val="minMax"/>
        </c:scaling>
        <c:delete val="0"/>
        <c:axPos val="b"/>
        <c:numFmt formatCode="General" sourceLinked="1"/>
        <c:majorTickMark val="out"/>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4999952"/>
        <c:crosses val="autoZero"/>
        <c:auto val="1"/>
        <c:lblAlgn val="ctr"/>
        <c:lblOffset val="100"/>
        <c:tickLblSkip val="1"/>
        <c:tickMarkSkip val="1"/>
        <c:noMultiLvlLbl val="0"/>
      </c:catAx>
      <c:valAx>
        <c:axId val="1074999952"/>
        <c:scaling>
          <c:orientation val="minMax"/>
          <c:max val="0.9"/>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r>
                  <a:rPr lang="en-US" b="1"/>
                  <a:t>CapEx as % of Net Revenue</a:t>
                </a:r>
              </a:p>
            </c:rich>
          </c:tx>
          <c:overlay val="0"/>
          <c:spPr>
            <a:noFill/>
            <a:ln>
              <a:noFill/>
            </a:ln>
            <a:effectLst/>
          </c:spPr>
          <c:txPr>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endParaRPr lang="en-US"/>
            </a:p>
          </c:txPr>
        </c:title>
        <c:numFmt formatCode="General" sourceLinked="1"/>
        <c:majorTickMark val="out"/>
        <c:minorTickMark val="out"/>
        <c:tickLblPos val="nextTo"/>
        <c:spPr>
          <a:noFill/>
          <a:ln w="9525">
            <a:solidFill>
              <a:srgbClr val="000000"/>
            </a:solidFill>
            <a:prstDash val="soli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5001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round/>
    </a:ln>
    <a:effectLst/>
  </c:spPr>
  <c:txPr>
    <a:bodyPr/>
    <a:lstStyle/>
    <a:p>
      <a:pPr>
        <a:defRPr sz="900" b="0" i="0" kern="0">
          <a:solidFill>
            <a:schemeClr val="tx1">
              <a:lumMod val="65000"/>
              <a:lumOff val="35000"/>
            </a:schemeClr>
          </a:solidFill>
          <a:latin typeface="Arial"/>
          <a:ea typeface="Arial"/>
          <a:cs typeface="Arial"/>
        </a:defRPr>
      </a:pPr>
      <a:endParaRPr lang="en-US"/>
    </a:p>
  </c:txPr>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r>
              <a:rPr lang="en-US" b="1"/>
              <a:t>Price</a:t>
            </a:r>
            <a:r>
              <a:rPr lang="en-US" b="1" baseline="0"/>
              <a:t> vs. Volume Growth</a:t>
            </a:r>
            <a:endParaRPr lang="en-US" b="1"/>
          </a:p>
        </c:rich>
      </c:tx>
      <c:overlay val="0"/>
      <c:spPr>
        <a:noFill/>
        <a:ln>
          <a:noFill/>
        </a:ln>
        <a:effectLst/>
      </c:spPr>
      <c:txPr>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endParaRPr lang="en-US"/>
        </a:p>
      </c:txPr>
    </c:title>
    <c:autoTitleDeleted val="0"/>
    <c:plotArea>
      <c:layout/>
      <c:lineChart>
        <c:grouping val="standard"/>
        <c:varyColors val="0"/>
        <c:ser>
          <c:idx val="0"/>
          <c:order val="0"/>
          <c:tx>
            <c:strRef>
              <c:f>'LT Growth'!$B$75:$C$75</c:f>
              <c:strCache>
                <c:ptCount val="2"/>
                <c:pt idx="0">
                  <c:v>Total Wafers Shipped</c:v>
                </c:pt>
              </c:strCache>
            </c:strRef>
          </c:tx>
          <c:spPr>
            <a:ln w="28575" cap="rnd">
              <a:solidFill>
                <a:srgbClr val="264D82"/>
              </a:solidFill>
              <a:round/>
            </a:ln>
            <a:effectLst/>
          </c:spPr>
          <c:marker>
            <c:symbol val="none"/>
          </c:marker>
          <c:dLbls>
            <c:dLbl>
              <c:idx val="1"/>
              <c:layout>
                <c:manualLayout>
                  <c:x val="-2.7120331628431599E-2"/>
                  <c:y val="1.58094903061928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031-4EA7-8067-264A0ACD77A1}"/>
                </c:ext>
              </c:extLst>
            </c:dLbl>
            <c:dLbl>
              <c:idx val="6"/>
              <c:layout>
                <c:manualLayout>
                  <c:x val="-1.1728209996258772E-2"/>
                  <c:y val="5.7107805873217992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031-4EA7-8067-264A0ACD77A1}"/>
                </c:ext>
              </c:extLst>
            </c:dLbl>
            <c:dLbl>
              <c:idx val="12"/>
              <c:layout>
                <c:manualLayout>
                  <c:x val="-4.4003867244306856E-3"/>
                  <c:y val="-3.4844524400080433E-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31-4EA7-8067-264A0ACD77A1}"/>
                </c:ext>
              </c:extLst>
            </c:dLbl>
            <c:dLbl>
              <c:idx val="16"/>
              <c:layout>
                <c:manualLayout>
                  <c:x val="-2.7120331628431586E-2"/>
                  <c:y val="1.3789748362418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031-4EA7-8067-264A0ACD77A1}"/>
                </c:ext>
              </c:extLst>
            </c:dLbl>
            <c:dLbl>
              <c:idx val="26"/>
              <c:layout>
                <c:manualLayout>
                  <c:x val="-3.5169858943440865E-2"/>
                  <c:y val="1.98489741937411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031-4EA7-8067-264A0ACD77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0" baseline="0">
                    <a:solidFill>
                      <a:schemeClr val="tx1">
                        <a:lumMod val="65000"/>
                        <a:lumOff val="35000"/>
                      </a:schemeClr>
                    </a:solidFill>
                    <a:latin typeface="Arial"/>
                    <a:ea typeface="Arial"/>
                    <a:cs typeface="Aria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'LT Growth'!$G$7:$AH$7</c:f>
              <c:strCache>
                <c:ptCount val="28"/>
                <c:pt idx="0">
                  <c:v>FY97</c:v>
                </c:pt>
                <c:pt idx="1">
                  <c:v>FY98</c:v>
                </c:pt>
                <c:pt idx="2">
                  <c:v>FY99</c:v>
                </c:pt>
                <c:pt idx="3">
                  <c:v>FY00</c:v>
                </c:pt>
                <c:pt idx="4">
                  <c:v>FY01</c:v>
                </c:pt>
                <c:pt idx="5">
                  <c:v>FY02</c:v>
                </c:pt>
                <c:pt idx="6">
                  <c:v>FY03</c:v>
                </c:pt>
                <c:pt idx="7">
                  <c:v>FY04</c:v>
                </c:pt>
                <c:pt idx="8">
                  <c:v>FY05</c:v>
                </c:pt>
                <c:pt idx="9">
                  <c:v>FY06</c:v>
                </c:pt>
                <c:pt idx="10">
                  <c:v>FY07</c:v>
                </c:pt>
                <c:pt idx="11">
                  <c:v>FY08</c:v>
                </c:pt>
                <c:pt idx="12">
                  <c:v>FY09</c:v>
                </c:pt>
                <c:pt idx="13">
                  <c:v>FY10</c:v>
                </c:pt>
                <c:pt idx="14">
                  <c:v>FY11</c:v>
                </c:pt>
                <c:pt idx="15">
                  <c:v>FY12</c:v>
                </c:pt>
                <c:pt idx="16">
                  <c:v>FY13</c:v>
                </c:pt>
                <c:pt idx="17">
                  <c:v>FY14</c:v>
                </c:pt>
                <c:pt idx="18">
                  <c:v>FY15</c:v>
                </c:pt>
                <c:pt idx="19">
                  <c:v>FY16</c:v>
                </c:pt>
                <c:pt idx="20">
                  <c:v>FY17</c:v>
                </c:pt>
                <c:pt idx="21">
                  <c:v>FY18</c:v>
                </c:pt>
                <c:pt idx="22">
                  <c:v>FY19</c:v>
                </c:pt>
                <c:pt idx="23">
                  <c:v>FY20</c:v>
                </c:pt>
                <c:pt idx="24">
                  <c:v>FY21</c:v>
                </c:pt>
                <c:pt idx="25">
                  <c:v>FY22</c:v>
                </c:pt>
                <c:pt idx="26">
                  <c:v>FY23</c:v>
                </c:pt>
                <c:pt idx="27">
                  <c:v>FY24e</c:v>
                </c:pt>
              </c:strCache>
            </c:strRef>
          </c:cat>
          <c:val>
            <c:numRef>
              <c:f>'LT Growth'!$G$78:$AH$78</c:f>
              <c:numCache>
                <c:formatCode>0%_);\(0%\);"–"_)</c:formatCode>
                <c:ptCount val="28"/>
                <c:pt idx="0">
                  <c:v>0.29359574566445445</c:v>
                </c:pt>
                <c:pt idx="1">
                  <c:v>0.15077017126279246</c:v>
                </c:pt>
                <c:pt idx="2">
                  <c:v>0.27712836846586097</c:v>
                </c:pt>
                <c:pt idx="3">
                  <c:v>0.43394723857539264</c:v>
                </c:pt>
                <c:pt idx="4">
                  <c:v>0.27595092584028058</c:v>
                </c:pt>
                <c:pt idx="5">
                  <c:v>0.1505021412935863</c:v>
                </c:pt>
                <c:pt idx="6">
                  <c:v>3.0732574572482019E-2</c:v>
                </c:pt>
                <c:pt idx="7">
                  <c:v>0.32388529148878398</c:v>
                </c:pt>
                <c:pt idx="8">
                  <c:v>0.2805696293156148</c:v>
                </c:pt>
                <c:pt idx="9">
                  <c:v>0.24965286678527088</c:v>
                </c:pt>
                <c:pt idx="10">
                  <c:v>0.16830822186872529</c:v>
                </c:pt>
                <c:pt idx="11">
                  <c:v>0.1458299832720662</c:v>
                </c:pt>
                <c:pt idx="12">
                  <c:v>2.3664720330389688E-2</c:v>
                </c:pt>
                <c:pt idx="13">
                  <c:v>0.14094567321826568</c:v>
                </c:pt>
                <c:pt idx="14">
                  <c:v>0.14064357355647283</c:v>
                </c:pt>
                <c:pt idx="15">
                  <c:v>0.21979599634288505</c:v>
                </c:pt>
                <c:pt idx="16">
                  <c:v>9.7239619866482219E-2</c:v>
                </c:pt>
                <c:pt idx="17">
                  <c:v>0.14001932609264256</c:v>
                </c:pt>
                <c:pt idx="18">
                  <c:v>0.1199349089307622</c:v>
                </c:pt>
                <c:pt idx="19">
                  <c:v>0.11319932451331405</c:v>
                </c:pt>
                <c:pt idx="20">
                  <c:v>8.1356891173175017E-2</c:v>
                </c:pt>
                <c:pt idx="21">
                  <c:v>7.0357149487309201E-2</c:v>
                </c:pt>
                <c:pt idx="22">
                  <c:v>1.7371721670156992E-2</c:v>
                </c:pt>
                <c:pt idx="23">
                  <c:v>5.749882739098422E-2</c:v>
                </c:pt>
                <c:pt idx="24">
                  <c:v>9.6476854712937765E-2</c:v>
                </c:pt>
                <c:pt idx="25">
                  <c:v>0.14844812507411276</c:v>
                </c:pt>
                <c:pt idx="26">
                  <c:v>-8.9173400612017062E-3</c:v>
                </c:pt>
                <c:pt idx="27">
                  <c:v>-2.7169258565434062E-2</c:v>
                </c:pt>
              </c:numCache>
            </c:numRef>
          </c:val>
          <c:smooth val="0"/>
          <c:extLst>
            <c:ext xmlns:c16="http://schemas.microsoft.com/office/drawing/2014/chart" uri="{C3380CC4-5D6E-409C-BE32-E72D297353CC}">
              <c16:uniqueId val="{00000000-D031-4EA7-8067-264A0ACD77A1}"/>
            </c:ext>
          </c:extLst>
        </c:ser>
        <c:ser>
          <c:idx val="1"/>
          <c:order val="1"/>
          <c:tx>
            <c:strRef>
              <c:f>'LT Growth'!$B$80:$C$80</c:f>
              <c:strCache>
                <c:ptCount val="2"/>
                <c:pt idx="0">
                  <c:v>Blended ASP (USD, 12" Equiv.)</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0" baseline="0">
                    <a:solidFill>
                      <a:schemeClr val="tx1">
                        <a:lumMod val="65000"/>
                        <a:lumOff val="35000"/>
                      </a:schemeClr>
                    </a:solidFill>
                    <a:latin typeface="Arial"/>
                    <a:ea typeface="Arial"/>
                    <a:cs typeface="Arial"/>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'LT Growth'!$G$7:$AH$7</c:f>
              <c:strCache>
                <c:ptCount val="28"/>
                <c:pt idx="0">
                  <c:v>FY97</c:v>
                </c:pt>
                <c:pt idx="1">
                  <c:v>FY98</c:v>
                </c:pt>
                <c:pt idx="2">
                  <c:v>FY99</c:v>
                </c:pt>
                <c:pt idx="3">
                  <c:v>FY00</c:v>
                </c:pt>
                <c:pt idx="4">
                  <c:v>FY01</c:v>
                </c:pt>
                <c:pt idx="5">
                  <c:v>FY02</c:v>
                </c:pt>
                <c:pt idx="6">
                  <c:v>FY03</c:v>
                </c:pt>
                <c:pt idx="7">
                  <c:v>FY04</c:v>
                </c:pt>
                <c:pt idx="8">
                  <c:v>FY05</c:v>
                </c:pt>
                <c:pt idx="9">
                  <c:v>FY06</c:v>
                </c:pt>
                <c:pt idx="10">
                  <c:v>FY07</c:v>
                </c:pt>
                <c:pt idx="11">
                  <c:v>FY08</c:v>
                </c:pt>
                <c:pt idx="12">
                  <c:v>FY09</c:v>
                </c:pt>
                <c:pt idx="13">
                  <c:v>FY10</c:v>
                </c:pt>
                <c:pt idx="14">
                  <c:v>FY11</c:v>
                </c:pt>
                <c:pt idx="15">
                  <c:v>FY12</c:v>
                </c:pt>
                <c:pt idx="16">
                  <c:v>FY13</c:v>
                </c:pt>
                <c:pt idx="17">
                  <c:v>FY14</c:v>
                </c:pt>
                <c:pt idx="18">
                  <c:v>FY15</c:v>
                </c:pt>
                <c:pt idx="19">
                  <c:v>FY16</c:v>
                </c:pt>
                <c:pt idx="20">
                  <c:v>FY17</c:v>
                </c:pt>
                <c:pt idx="21">
                  <c:v>FY18</c:v>
                </c:pt>
                <c:pt idx="22">
                  <c:v>FY19</c:v>
                </c:pt>
                <c:pt idx="23">
                  <c:v>FY20</c:v>
                </c:pt>
                <c:pt idx="24">
                  <c:v>FY21</c:v>
                </c:pt>
                <c:pt idx="25">
                  <c:v>FY22</c:v>
                </c:pt>
                <c:pt idx="26">
                  <c:v>FY23</c:v>
                </c:pt>
                <c:pt idx="27">
                  <c:v>FY24e</c:v>
                </c:pt>
              </c:strCache>
            </c:strRef>
          </c:cat>
          <c:val>
            <c:numRef>
              <c:f>'LT Growth'!$G$83:$AH$83</c:f>
              <c:numCache>
                <c:formatCode>0%_);\(0%\);"–"_)</c:formatCode>
                <c:ptCount val="28"/>
                <c:pt idx="0">
                  <c:v>-3.9160744870967323E-2</c:v>
                </c:pt>
                <c:pt idx="1">
                  <c:v>-6.4568180650970586E-2</c:v>
                </c:pt>
                <c:pt idx="2">
                  <c:v>-9.3269071973832052E-2</c:v>
                </c:pt>
                <c:pt idx="3">
                  <c:v>5.823420281588465E-2</c:v>
                </c:pt>
                <c:pt idx="4">
                  <c:v>0.10445411063178622</c:v>
                </c:pt>
                <c:pt idx="5">
                  <c:v>0.10159943832863116</c:v>
                </c:pt>
                <c:pt idx="6">
                  <c:v>-2.8004289660843451E-4</c:v>
                </c:pt>
                <c:pt idx="7">
                  <c:v>-4.1429316975277852E-2</c:v>
                </c:pt>
                <c:pt idx="8">
                  <c:v>-4.6449386085888444E-2</c:v>
                </c:pt>
                <c:pt idx="9">
                  <c:v>-4.6684170571339667E-2</c:v>
                </c:pt>
                <c:pt idx="10">
                  <c:v>-7.2535528382309922E-2</c:v>
                </c:pt>
                <c:pt idx="11">
                  <c:v>-5.8224270932387578E-2</c:v>
                </c:pt>
                <c:pt idx="12">
                  <c:v>-6.2167459602831654E-2</c:v>
                </c:pt>
                <c:pt idx="13">
                  <c:v>-2.6263182006555086E-2</c:v>
                </c:pt>
                <c:pt idx="14">
                  <c:v>-2.5185426954810408E-2</c:v>
                </c:pt>
                <c:pt idx="15">
                  <c:v>2.177168959496667E-2</c:v>
                </c:pt>
                <c:pt idx="16">
                  <c:v>3.7359114742783417E-2</c:v>
                </c:pt>
                <c:pt idx="17">
                  <c:v>6.2534709800368349E-2</c:v>
                </c:pt>
                <c:pt idx="18">
                  <c:v>4.3232128572469053E-2</c:v>
                </c:pt>
                <c:pt idx="19">
                  <c:v>3.634905382150655E-2</c:v>
                </c:pt>
                <c:pt idx="20">
                  <c:v>9.1359391800776013E-3</c:v>
                </c:pt>
                <c:pt idx="21">
                  <c:v>1.838686392312483E-2</c:v>
                </c:pt>
                <c:pt idx="22">
                  <c:v>3.0633038424055625E-2</c:v>
                </c:pt>
                <c:pt idx="23">
                  <c:v>5.2027451204026187E-2</c:v>
                </c:pt>
                <c:pt idx="24">
                  <c:v>7.493377326698214E-2</c:v>
                </c:pt>
                <c:pt idx="25">
                  <c:v>0.12168646920956006</c:v>
                </c:pt>
                <c:pt idx="26">
                  <c:v>0.15002601718185238</c:v>
                </c:pt>
                <c:pt idx="27">
                  <c:v>0.1714585680650702</c:v>
                </c:pt>
              </c:numCache>
            </c:numRef>
          </c:val>
          <c:smooth val="0"/>
          <c:extLst>
            <c:ext xmlns:c16="http://schemas.microsoft.com/office/drawing/2014/chart" uri="{C3380CC4-5D6E-409C-BE32-E72D297353CC}">
              <c16:uniqueId val="{00000001-D031-4EA7-8067-264A0ACD77A1}"/>
            </c:ext>
          </c:extLst>
        </c:ser>
        <c:dLbls>
          <c:showLegendKey val="0"/>
          <c:showVal val="0"/>
          <c:showCatName val="0"/>
          <c:showSerName val="0"/>
          <c:showPercent val="0"/>
          <c:showBubbleSize val="0"/>
        </c:dLbls>
        <c:smooth val="0"/>
        <c:axId val="1526391400"/>
        <c:axId val="1526383480"/>
      </c:lineChart>
      <c:catAx>
        <c:axId val="1526391400"/>
        <c:scaling>
          <c:orientation val="minMax"/>
        </c:scaling>
        <c:delete val="0"/>
        <c:axPos val="b"/>
        <c:numFmt formatCode="General" sourceLinked="1"/>
        <c:majorTickMark val="out"/>
        <c:minorTickMark val="none"/>
        <c:tickLblPos val="low"/>
        <c:spPr>
          <a:noFill/>
          <a:ln w="9525" cap="flat" cmpd="sng" algn="ctr">
            <a:solidFill>
              <a:srgbClr val="000000"/>
            </a:solidFill>
            <a:prstDash val="solid"/>
            <a:roun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526383480"/>
        <c:crosses val="autoZero"/>
        <c:auto val="1"/>
        <c:lblAlgn val="ctr"/>
        <c:lblOffset val="100"/>
        <c:tickLblSkip val="1"/>
        <c:tickMarkSkip val="1"/>
        <c:noMultiLvlLbl val="0"/>
      </c:catAx>
      <c:valAx>
        <c:axId val="1526383480"/>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r>
                  <a:rPr lang="en-US"/>
                  <a:t>L3Y CAGR</a:t>
                </a:r>
              </a:p>
            </c:rich>
          </c:tx>
          <c:overlay val="0"/>
          <c:spPr>
            <a:noFill/>
            <a:ln>
              <a:noFill/>
            </a:ln>
            <a:effectLst/>
          </c:spPr>
          <c:txPr>
            <a:bodyPr rot="-54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title>
        <c:numFmt formatCode="0%_);\(0%\);&quot;–&quot;_)" sourceLinked="1"/>
        <c:majorTickMark val="out"/>
        <c:minorTickMark val="none"/>
        <c:tickLblPos val="nextTo"/>
        <c:spPr>
          <a:noFill/>
          <a:ln w="9525">
            <a:solidFill>
              <a:srgbClr val="000000"/>
            </a:solidFill>
            <a:prstDash val="soli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526391400"/>
        <c:crosses val="autoZero"/>
        <c:crossBetween val="between"/>
      </c:valAx>
      <c:spPr>
        <a:noFill/>
        <a:ln w="25400">
          <a:noFill/>
        </a:ln>
        <a:effectLst/>
      </c:spPr>
    </c:plotArea>
    <c:legend>
      <c:legendPos val="b"/>
      <c:layout>
        <c:manualLayout>
          <c:xMode val="edge"/>
          <c:yMode val="edge"/>
          <c:x val="0.61354294831449674"/>
          <c:y val="8.7983934940772265E-2"/>
          <c:w val="0.34924476428576989"/>
          <c:h val="9.0325245247563107E-2"/>
        </c:manualLayout>
      </c:layout>
      <c:overlay val="0"/>
      <c:spPr>
        <a:noFill/>
        <a:ln w="25400">
          <a:noFill/>
        </a:ln>
        <a:effectLst/>
      </c:spPr>
      <c:txPr>
        <a:bodyPr rot="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round/>
    </a:ln>
    <a:effectLst/>
  </c:spPr>
  <c:txPr>
    <a:bodyPr/>
    <a:lstStyle/>
    <a:p>
      <a:pPr>
        <a:defRPr sz="900" b="0" i="0" kern="0">
          <a:solidFill>
            <a:schemeClr val="tx1">
              <a:lumMod val="65000"/>
              <a:lumOff val="35000"/>
            </a:schemeClr>
          </a:solidFill>
          <a:latin typeface="Arial"/>
          <a:ea typeface="Arial"/>
          <a:cs typeface="Arial"/>
        </a:defRPr>
      </a:pPr>
      <a:endParaRPr lang="en-US"/>
    </a:p>
  </c:txPr>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'ROIC Benchmarking'!$E$55</c:f>
              <c:strCache>
                <c:ptCount val="1"/>
                <c:pt idx="0">
                  <c:v>ROIC</c:v>
                </c:pt>
              </c:strCache>
            </c:strRef>
          </c:tx>
          <c:spPr>
            <a:solidFill>
              <a:schemeClr val="tx2"/>
            </a:solidFill>
            <a:ln w="9525">
              <a:solidFill>
                <a:srgbClr val="FFFFFF"/>
              </a:solidFill>
              <a:prstDash val="solid"/>
            </a:ln>
            <a:effectLst/>
          </c:spPr>
          <c:invertIfNegative val="0"/>
          <c:dPt>
            <c:idx val="0"/>
            <c:invertIfNegative val="0"/>
            <c:bubble3D val="0"/>
            <c:spPr>
              <a:solidFill>
                <a:schemeClr val="tx2"/>
              </a:solidFill>
              <a:ln w="9525">
                <a:solidFill>
                  <a:srgbClr val="FFFFFF"/>
                </a:solidFill>
                <a:prstDash val="solid"/>
              </a:ln>
              <a:effectLst/>
            </c:spPr>
            <c:extLst>
              <c:ext xmlns:c16="http://schemas.microsoft.com/office/drawing/2014/chart" uri="{C3380CC4-5D6E-409C-BE32-E72D297353CC}">
                <c16:uniqueId val="{00000007-08A1-45BC-B983-ADE98A85E1EE}"/>
              </c:ext>
            </c:extLst>
          </c:dPt>
          <c:dLbls>
            <c:spPr>
              <a:noFill/>
              <a:ln>
                <a:noFill/>
              </a:ln>
              <a:effectLst/>
            </c:spPr>
            <c:txPr>
              <a:bodyPr rot="0" spcFirstLastPara="1" vertOverflow="ellipsis" vert="horz" wrap="square" anchor="ctr" anchorCtr="1"/>
              <a:lstStyle/>
              <a:p>
                <a:pPr>
                  <a:defRPr sz="800" b="0" i="0" u="none" strike="noStrike" kern="0" baseline="0">
                    <a:solidFill>
                      <a:srgbClr val="000000"/>
                    </a:solidFill>
                    <a:latin typeface="Arial"/>
                    <a:ea typeface="Arial"/>
                    <a:cs typeface="Aria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'ROIC Benchmarking'!$G$9:$U$9</c:f>
              <c:strCache>
                <c:ptCount val="15"/>
                <c:pt idx="0">
                  <c:v>TSMC</c:v>
                </c:pt>
                <c:pt idx="1">
                  <c:v>Alphabet</c:v>
                </c:pt>
                <c:pt idx="2">
                  <c:v>Facebook</c:v>
                </c:pt>
                <c:pt idx="3">
                  <c:v>Microsoft</c:v>
                </c:pt>
                <c:pt idx="4">
                  <c:v>Amazon</c:v>
                </c:pt>
                <c:pt idx="5">
                  <c:v>Costco</c:v>
                </c:pt>
                <c:pt idx="6">
                  <c:v>Home Dpt</c:v>
                </c:pt>
                <c:pt idx="7">
                  <c:v>Chipotle</c:v>
                </c:pt>
                <c:pt idx="8">
                  <c:v>Walmart</c:v>
                </c:pt>
                <c:pt idx="9">
                  <c:v>Casey's</c:v>
                </c:pt>
                <c:pt idx="10">
                  <c:v>Boyd Grp</c:v>
                </c:pt>
                <c:pt idx="11">
                  <c:v>Megaport</c:v>
                </c:pt>
                <c:pt idx="12">
                  <c:v>Equinix</c:v>
                </c:pt>
                <c:pt idx="13">
                  <c:v>Const Soft</c:v>
                </c:pt>
                <c:pt idx="14">
                  <c:v>Transdigm</c:v>
                </c:pt>
              </c:strCache>
            </c:strRef>
          </c:cat>
          <c:val>
            <c:numRef>
              <c:f>'ROIC Benchmarking'!$G$55:$U$55</c:f>
              <c:numCache>
                <c:formatCode>0%_);\(0%\);"–"_)</c:formatCode>
                <c:ptCount val="15"/>
                <c:pt idx="0">
                  <c:v>0.42660462538875871</c:v>
                </c:pt>
                <c:pt idx="1">
                  <c:v>0.55649633590810066</c:v>
                </c:pt>
                <c:pt idx="2">
                  <c:v>0.49490330910413799</c:v>
                </c:pt>
                <c:pt idx="3">
                  <c:v>0.38508420680720762</c:v>
                </c:pt>
                <c:pt idx="4">
                  <c:v>0.22302750086163731</c:v>
                </c:pt>
                <c:pt idx="5">
                  <c:v>0.42918474331164136</c:v>
                </c:pt>
                <c:pt idx="6">
                  <c:v>0.30395469273588305</c:v>
                </c:pt>
                <c:pt idx="7">
                  <c:v>0.34028619937152677</c:v>
                </c:pt>
                <c:pt idx="8">
                  <c:v>0.18652836568406869</c:v>
                </c:pt>
                <c:pt idx="9">
                  <c:v>0.14570622930826999</c:v>
                </c:pt>
                <c:pt idx="10">
                  <c:v>0</c:v>
                </c:pt>
                <c:pt idx="11">
                  <c:v>-3.7312696187787502E-3</c:v>
                </c:pt>
                <c:pt idx="12">
                  <c:v>4.5679691799669783E-2</c:v>
                </c:pt>
                <c:pt idx="13">
                  <c:v>0.22703289882060831</c:v>
                </c:pt>
                <c:pt idx="14">
                  <c:v>0.2168562263050452</c:v>
                </c:pt>
              </c:numCache>
            </c:numRef>
          </c:val>
          <c:extLst>
            <c:ext xmlns:c16="http://schemas.microsoft.com/office/drawing/2014/chart" uri="{C3380CC4-5D6E-409C-BE32-E72D297353CC}">
              <c16:uniqueId val="{00000000-08A1-45BC-B983-ADE98A85E1EE}"/>
            </c:ext>
          </c:extLst>
        </c:ser>
        <c:ser>
          <c:idx val="1"/>
          <c:order val="1"/>
          <c:tx>
            <c:strRef>
              <c:f>'ROIC Benchmarking'!$E$59</c:f>
              <c:strCache>
                <c:ptCount val="1"/>
                <c:pt idx="0">
                  <c:v>Cash ROIC</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0" baseline="0">
                    <a:solidFill>
                      <a:srgbClr val="000000"/>
                    </a:solidFill>
                    <a:latin typeface="Arial"/>
                    <a:ea typeface="Arial"/>
                    <a:cs typeface="Aria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'ROIC Benchmarking'!$G$59:$U$59</c:f>
              <c:numCache>
                <c:formatCode>0%_);\(0%\);"–"_)</c:formatCode>
                <c:ptCount val="15"/>
                <c:pt idx="0">
                  <c:v>0.2467290736109134</c:v>
                </c:pt>
                <c:pt idx="1">
                  <c:v>0.44691640593830712</c:v>
                </c:pt>
                <c:pt idx="2">
                  <c:v>0.45455421789983291</c:v>
                </c:pt>
                <c:pt idx="3">
                  <c:v>0.36748058561425845</c:v>
                </c:pt>
                <c:pt idx="4">
                  <c:v>0.27038561602337929</c:v>
                </c:pt>
                <c:pt idx="5">
                  <c:v>0.29418668531189135</c:v>
                </c:pt>
                <c:pt idx="6">
                  <c:v>0.25382284129162186</c:v>
                </c:pt>
                <c:pt idx="7">
                  <c:v>0.28599941976519405</c:v>
                </c:pt>
                <c:pt idx="8">
                  <c:v>0.14980513757181238</c:v>
                </c:pt>
                <c:pt idx="9">
                  <c:v>0.13877535243450714</c:v>
                </c:pt>
                <c:pt idx="10">
                  <c:v>0</c:v>
                </c:pt>
                <c:pt idx="11">
                  <c:v>0.19474163807890224</c:v>
                </c:pt>
                <c:pt idx="12">
                  <c:v>8.2350910077442899E-2</c:v>
                </c:pt>
                <c:pt idx="13">
                  <c:v>0.38310300612622883</c:v>
                </c:pt>
                <c:pt idx="14">
                  <c:v>0.22503028300847924</c:v>
                </c:pt>
              </c:numCache>
            </c:numRef>
          </c:val>
          <c:extLst>
            <c:ext xmlns:c16="http://schemas.microsoft.com/office/drawing/2014/chart" uri="{C3380CC4-5D6E-409C-BE32-E72D297353CC}">
              <c16:uniqueId val="{00000002-35C1-4A37-9828-0AB939C314B0}"/>
            </c:ext>
          </c:extLst>
        </c:ser>
        <c:dLbls>
          <c:showLegendKey val="0"/>
          <c:showVal val="0"/>
          <c:showCatName val="0"/>
          <c:showSerName val="0"/>
          <c:showPercent val="0"/>
          <c:showBubbleSize val="0"/>
        </c:dLbls>
        <c:gapWidth val="219"/>
        <c:axId val="1635147504"/>
        <c:axId val="1635152544"/>
      </c:barChart>
      <c:catAx>
        <c:axId val="1635147504"/>
        <c:scaling>
          <c:orientation val="minMax"/>
        </c:scaling>
        <c:delete val="0"/>
        <c:axPos val="b"/>
        <c:numFmt formatCode="General" sourceLinked="1"/>
        <c:majorTickMark val="out"/>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800" b="0" i="0" u="none" strike="noStrike" kern="0" baseline="0">
                <a:solidFill>
                  <a:srgbClr val="000000"/>
                </a:solidFill>
                <a:latin typeface="Arial"/>
                <a:ea typeface="Arial"/>
                <a:cs typeface="Arial"/>
              </a:defRPr>
            </a:pPr>
            <a:endParaRPr lang="en-US"/>
          </a:p>
        </c:txPr>
        <c:crossAx val="1635152544"/>
        <c:crosses val="autoZero"/>
        <c:auto val="1"/>
        <c:lblAlgn val="ctr"/>
        <c:lblOffset val="100"/>
        <c:tickLblSkip val="1"/>
        <c:tickMarkSkip val="1"/>
        <c:noMultiLvlLbl val="0"/>
      </c:catAx>
      <c:valAx>
        <c:axId val="1635152544"/>
        <c:scaling>
          <c:orientation val="minMax"/>
        </c:scaling>
        <c:delete val="0"/>
        <c:axPos val="l"/>
        <c:numFmt formatCode="0%_);\(0%\);&quot;–&quot;_)" sourceLinked="1"/>
        <c:majorTickMark val="out"/>
        <c:minorTickMark val="none"/>
        <c:tickLblPos val="nextTo"/>
        <c:spPr>
          <a:noFill/>
          <a:ln w="9525">
            <a:solidFill>
              <a:srgbClr val="000000"/>
            </a:solidFill>
            <a:prstDash val="solid"/>
          </a:ln>
          <a:effectLst/>
        </c:spPr>
        <c:txPr>
          <a:bodyPr rot="-60000000" spcFirstLastPara="1" vertOverflow="ellipsis" vert="horz" wrap="square" anchor="ctr" anchorCtr="1"/>
          <a:lstStyle/>
          <a:p>
            <a:pPr>
              <a:defRPr sz="800" b="0" i="0" u="none" strike="noStrike" kern="0" baseline="0">
                <a:solidFill>
                  <a:srgbClr val="000000"/>
                </a:solidFill>
                <a:latin typeface="Arial"/>
                <a:ea typeface="Arial"/>
                <a:cs typeface="Arial"/>
              </a:defRPr>
            </a:pPr>
            <a:endParaRPr lang="en-US"/>
          </a:p>
        </c:txPr>
        <c:crossAx val="1635147504"/>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0" baseline="0">
              <a:solidFill>
                <a:srgbClr val="000000"/>
              </a:solidFill>
              <a:latin typeface="Arial"/>
              <a:ea typeface="Arial"/>
              <a:cs typeface="Arial"/>
            </a:defRPr>
          </a:pPr>
          <a:endParaRPr lang="en-US"/>
        </a:p>
      </c:txPr>
    </c:legend>
    <c:plotVisOnly val="1"/>
    <c:dispBlanksAs val="gap"/>
    <c:showDLblsOverMax val="0"/>
  </c:chart>
  <c:spPr>
    <a:noFill/>
    <a:ln w="25400" cap="flat" cmpd="sng" algn="ctr">
      <a:noFill/>
      <a:round/>
    </a:ln>
    <a:effectLst/>
  </c:spPr>
  <c:txPr>
    <a:bodyPr/>
    <a:lstStyle/>
    <a:p>
      <a:pPr>
        <a:defRPr sz="800" b="0" i="0" kern="0">
          <a:solidFill>
            <a:srgbClr val="000000"/>
          </a:solidFill>
          <a:latin typeface="Arial"/>
          <a:ea typeface="Arial"/>
          <a:cs typeface="Arial"/>
        </a:defRPr>
      </a:pPr>
      <a:endParaRPr lang="en-US"/>
    </a:p>
  </c:txPr>
  <c:printSettings>
    <c:headerFooter/>
    <c:pageMargins b="0.75" l="0.7" r="0.7" t="0.75" header="0.3" footer="0.3"/>
    <c:pageSetup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95D8427-BC1E-40EC-8D95-B197263A5958}">
  <sheetPr>
    <tabColor theme="5" tint="0.59999389629810485"/>
  </sheetPr>
  <sheetViews>
    <sheetView workbookViewId="0"/>
  </sheetViews>
  <pageMargins left="0.3" right="0.3" top="0.3" bottom="0.5" header="0.3" footer="0.3"/>
  <pageSetup orientation="landscape" r:id="rId1"/>
  <headerFooter>
    <oddFooter>Page &amp;P of &amp;N</oddFooter>
  </headerFooter>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A275141-5F96-4E5D-8C61-54C9AF703087}">
  <sheetPr>
    <tabColor theme="5" tint="0.59999389629810485"/>
  </sheetPr>
  <sheetViews>
    <sheetView workbookViewId="0"/>
  </sheetViews>
  <pageMargins left="0.3" right="0.3" top="0.3" bottom="0.5" header="0.3" footer="0.3"/>
  <pageSetup orientation="landscape" r:id="rId1"/>
  <headerFooter>
    <oddFooter>Page &amp;P of &amp;N</oddFooter>
  </headerFooter>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F277832-DDE3-46AD-B31B-1BE15BF2D291}">
  <sheetPr>
    <tabColor theme="5" tint="0.59999389629810485"/>
  </sheetPr>
  <sheetViews>
    <sheetView workbookViewId="0"/>
  </sheetViews>
  <pageMargins left="0.3" right="0.3" top="0.3" bottom="0.5" header="0.3" footer="0.3"/>
  <pageSetup orientation="landscape" r:id="rId1"/>
  <headerFooter>
    <oddFooter>Page &amp;P of &amp;N</oddFooter>
  </headerFooter>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9D9E1A9-E0C8-4CD0-AB1A-7D6B17C630E9}">
  <sheetPr>
    <tabColor theme="5" tint="0.59999389629810485"/>
  </sheetPr>
  <sheetViews>
    <sheetView workbookViewId="0"/>
  </sheetViews>
  <pageMargins left="0.3" right="0.3" top="0.3" bottom="0.5" header="0.3" footer="0.3"/>
  <pageSetup orientation="landscape" r:id="rId1"/>
  <headerFooter>
    <oddFooter>Page &amp;P of &amp;N</oddFooter>
  </headerFooter>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E9D3AA9-B143-4D5C-8AF3-80464FCE1591}">
  <sheetPr>
    <tabColor theme="5" tint="0.59999389629810485"/>
  </sheetPr>
  <sheetViews>
    <sheetView zoomScale="115" workbookViewId="0"/>
  </sheetViews>
  <pageMargins left="0.3" right="0.3" top="0.3" bottom="0.5" header="0.3" footer="0.3"/>
  <pageSetup orientation="landscape" r:id="rId1"/>
  <headerFooter>
    <oddFooter>Page &amp;P of &amp;N</oddFooter>
  </headerFooter>
  <drawing r:id="rId2"/>
</chartsheet>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2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10</xdr:col>
      <xdr:colOff>0</xdr:colOff>
      <xdr:row>6</xdr:row>
      <xdr:rowOff>0</xdr:rowOff>
    </xdr:from>
    <xdr:to>
      <xdr:col>10</xdr:col>
      <xdr:colOff>0</xdr:colOff>
      <xdr:row>114</xdr:row>
      <xdr:rowOff>0</xdr:rowOff>
    </xdr:to>
    <xdr:cxnSp macro="">
      <xdr:nvCxnSpPr>
        <xdr:cNvPr id="2" name="Straight Connector 1">
          <a:extLst>
            <a:ext uri="{FF2B5EF4-FFF2-40B4-BE49-F238E27FC236}">
              <a16:creationId xmlns:a16="http://schemas.microsoft.com/office/drawing/2014/main" id="{F47769C9-0228-444D-AC9A-84D39AC0498F}"/>
            </a:ext>
          </a:extLst>
        </xdr:cNvPr>
        <xdr:cNvCxnSpPr/>
      </xdr:nvCxnSpPr>
      <xdr:spPr>
        <a:xfrm>
          <a:off x="5553075" y="885825"/>
          <a:ext cx="0" cy="13058775"/>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132</xdr:row>
      <xdr:rowOff>9525</xdr:rowOff>
    </xdr:from>
    <xdr:to>
      <xdr:col>10</xdr:col>
      <xdr:colOff>0</xdr:colOff>
      <xdr:row>267</xdr:row>
      <xdr:rowOff>9525</xdr:rowOff>
    </xdr:to>
    <xdr:cxnSp macro="">
      <xdr:nvCxnSpPr>
        <xdr:cNvPr id="3" name="Straight Connector 2">
          <a:extLst>
            <a:ext uri="{FF2B5EF4-FFF2-40B4-BE49-F238E27FC236}">
              <a16:creationId xmlns:a16="http://schemas.microsoft.com/office/drawing/2014/main" id="{EBFB5A34-229B-4CE5-8F04-4B0C09BEDD81}"/>
            </a:ext>
          </a:extLst>
        </xdr:cNvPr>
        <xdr:cNvCxnSpPr/>
      </xdr:nvCxnSpPr>
      <xdr:spPr>
        <a:xfrm>
          <a:off x="5553075" y="17325975"/>
          <a:ext cx="0" cy="13487400"/>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xdr:row>
      <xdr:rowOff>0</xdr:rowOff>
    </xdr:from>
    <xdr:to>
      <xdr:col>9</xdr:col>
      <xdr:colOff>0</xdr:colOff>
      <xdr:row>114</xdr:row>
      <xdr:rowOff>0</xdr:rowOff>
    </xdr:to>
    <xdr:cxnSp macro="">
      <xdr:nvCxnSpPr>
        <xdr:cNvPr id="4" name="Straight Connector 3">
          <a:extLst>
            <a:ext uri="{FF2B5EF4-FFF2-40B4-BE49-F238E27FC236}">
              <a16:creationId xmlns:a16="http://schemas.microsoft.com/office/drawing/2014/main" id="{032F802E-8FEE-4943-97BC-87832525B23E}"/>
            </a:ext>
          </a:extLst>
        </xdr:cNvPr>
        <xdr:cNvCxnSpPr/>
      </xdr:nvCxnSpPr>
      <xdr:spPr>
        <a:xfrm>
          <a:off x="5158740" y="853440"/>
          <a:ext cx="0" cy="1363980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132</xdr:row>
      <xdr:rowOff>0</xdr:rowOff>
    </xdr:from>
    <xdr:to>
      <xdr:col>9</xdr:col>
      <xdr:colOff>0</xdr:colOff>
      <xdr:row>267</xdr:row>
      <xdr:rowOff>0</xdr:rowOff>
    </xdr:to>
    <xdr:cxnSp macro="">
      <xdr:nvCxnSpPr>
        <xdr:cNvPr id="5" name="Straight Connector 4">
          <a:extLst>
            <a:ext uri="{FF2B5EF4-FFF2-40B4-BE49-F238E27FC236}">
              <a16:creationId xmlns:a16="http://schemas.microsoft.com/office/drawing/2014/main" id="{AE57112A-4025-4895-8408-6FF027583381}"/>
            </a:ext>
          </a:extLst>
        </xdr:cNvPr>
        <xdr:cNvCxnSpPr/>
      </xdr:nvCxnSpPr>
      <xdr:spPr>
        <a:xfrm>
          <a:off x="5158740" y="17084040"/>
          <a:ext cx="0" cy="1872996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6</xdr:row>
      <xdr:rowOff>0</xdr:rowOff>
    </xdr:from>
    <xdr:to>
      <xdr:col>17</xdr:col>
      <xdr:colOff>0</xdr:colOff>
      <xdr:row>188</xdr:row>
      <xdr:rowOff>0</xdr:rowOff>
    </xdr:to>
    <xdr:cxnSp macro="">
      <xdr:nvCxnSpPr>
        <xdr:cNvPr id="2" name="Straight Connector 1">
          <a:extLst>
            <a:ext uri="{FF2B5EF4-FFF2-40B4-BE49-F238E27FC236}">
              <a16:creationId xmlns:a16="http://schemas.microsoft.com/office/drawing/2014/main" id="{9481F3BE-F2BF-4881-BC39-C6877F56A008}"/>
            </a:ext>
          </a:extLst>
        </xdr:cNvPr>
        <xdr:cNvCxnSpPr/>
      </xdr:nvCxnSpPr>
      <xdr:spPr>
        <a:xfrm>
          <a:off x="8982075" y="714375"/>
          <a:ext cx="0" cy="16007043"/>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0</xdr:colOff>
      <xdr:row>6</xdr:row>
      <xdr:rowOff>0</xdr:rowOff>
    </xdr:from>
    <xdr:to>
      <xdr:col>10</xdr:col>
      <xdr:colOff>0</xdr:colOff>
      <xdr:row>113</xdr:row>
      <xdr:rowOff>0</xdr:rowOff>
    </xdr:to>
    <xdr:cxnSp macro="">
      <xdr:nvCxnSpPr>
        <xdr:cNvPr id="2" name="Straight Connector 1">
          <a:extLst>
            <a:ext uri="{FF2B5EF4-FFF2-40B4-BE49-F238E27FC236}">
              <a16:creationId xmlns:a16="http://schemas.microsoft.com/office/drawing/2014/main" id="{5BCDCE51-C4EF-4F2D-8B0E-C27A58650895}"/>
            </a:ext>
          </a:extLst>
        </xdr:cNvPr>
        <xdr:cNvCxnSpPr/>
      </xdr:nvCxnSpPr>
      <xdr:spPr>
        <a:xfrm>
          <a:off x="5553075" y="885825"/>
          <a:ext cx="0" cy="13058775"/>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131</xdr:row>
      <xdr:rowOff>9525</xdr:rowOff>
    </xdr:from>
    <xdr:to>
      <xdr:col>10</xdr:col>
      <xdr:colOff>0</xdr:colOff>
      <xdr:row>266</xdr:row>
      <xdr:rowOff>9525</xdr:rowOff>
    </xdr:to>
    <xdr:cxnSp macro="">
      <xdr:nvCxnSpPr>
        <xdr:cNvPr id="3" name="Straight Connector 2">
          <a:extLst>
            <a:ext uri="{FF2B5EF4-FFF2-40B4-BE49-F238E27FC236}">
              <a16:creationId xmlns:a16="http://schemas.microsoft.com/office/drawing/2014/main" id="{E0C25278-61A8-4BEC-BEB0-E40F49A9114A}"/>
            </a:ext>
          </a:extLst>
        </xdr:cNvPr>
        <xdr:cNvCxnSpPr/>
      </xdr:nvCxnSpPr>
      <xdr:spPr>
        <a:xfrm>
          <a:off x="5553075" y="16468725"/>
          <a:ext cx="0" cy="19488150"/>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xdr:row>
      <xdr:rowOff>0</xdr:rowOff>
    </xdr:from>
    <xdr:to>
      <xdr:col>9</xdr:col>
      <xdr:colOff>0</xdr:colOff>
      <xdr:row>113</xdr:row>
      <xdr:rowOff>0</xdr:rowOff>
    </xdr:to>
    <xdr:cxnSp macro="">
      <xdr:nvCxnSpPr>
        <xdr:cNvPr id="4" name="Straight Connector 3">
          <a:extLst>
            <a:ext uri="{FF2B5EF4-FFF2-40B4-BE49-F238E27FC236}">
              <a16:creationId xmlns:a16="http://schemas.microsoft.com/office/drawing/2014/main" id="{E8AA4233-D287-4B0A-AB68-BDB31DA5F80F}"/>
            </a:ext>
          </a:extLst>
        </xdr:cNvPr>
        <xdr:cNvCxnSpPr/>
      </xdr:nvCxnSpPr>
      <xdr:spPr>
        <a:xfrm>
          <a:off x="5158740" y="853440"/>
          <a:ext cx="0" cy="1363980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131</xdr:row>
      <xdr:rowOff>0</xdr:rowOff>
    </xdr:from>
    <xdr:to>
      <xdr:col>9</xdr:col>
      <xdr:colOff>0</xdr:colOff>
      <xdr:row>266</xdr:row>
      <xdr:rowOff>0</xdr:rowOff>
    </xdr:to>
    <xdr:cxnSp macro="">
      <xdr:nvCxnSpPr>
        <xdr:cNvPr id="5" name="Straight Connector 4">
          <a:extLst>
            <a:ext uri="{FF2B5EF4-FFF2-40B4-BE49-F238E27FC236}">
              <a16:creationId xmlns:a16="http://schemas.microsoft.com/office/drawing/2014/main" id="{A7483E17-B8D0-4417-AC50-DCA5BCB893D7}"/>
            </a:ext>
          </a:extLst>
        </xdr:cNvPr>
        <xdr:cNvCxnSpPr/>
      </xdr:nvCxnSpPr>
      <xdr:spPr>
        <a:xfrm>
          <a:off x="5158740" y="17084040"/>
          <a:ext cx="0" cy="1872996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17</xdr:col>
      <xdr:colOff>0</xdr:colOff>
      <xdr:row>6</xdr:row>
      <xdr:rowOff>0</xdr:rowOff>
    </xdr:from>
    <xdr:to>
      <xdr:col>17</xdr:col>
      <xdr:colOff>0</xdr:colOff>
      <xdr:row>188</xdr:row>
      <xdr:rowOff>0</xdr:rowOff>
    </xdr:to>
    <xdr:cxnSp macro="">
      <xdr:nvCxnSpPr>
        <xdr:cNvPr id="2" name="Straight Connector 1">
          <a:extLst>
            <a:ext uri="{FF2B5EF4-FFF2-40B4-BE49-F238E27FC236}">
              <a16:creationId xmlns:a16="http://schemas.microsoft.com/office/drawing/2014/main" id="{9EDACB56-C8B8-480B-B699-B7A15E35535F}"/>
            </a:ext>
          </a:extLst>
        </xdr:cNvPr>
        <xdr:cNvCxnSpPr/>
      </xdr:nvCxnSpPr>
      <xdr:spPr>
        <a:xfrm>
          <a:off x="11249025" y="857250"/>
          <a:ext cx="0" cy="1468755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0</xdr:colOff>
      <xdr:row>6</xdr:row>
      <xdr:rowOff>0</xdr:rowOff>
    </xdr:from>
    <xdr:to>
      <xdr:col>10</xdr:col>
      <xdr:colOff>0</xdr:colOff>
      <xdr:row>114</xdr:row>
      <xdr:rowOff>0</xdr:rowOff>
    </xdr:to>
    <xdr:cxnSp macro="">
      <xdr:nvCxnSpPr>
        <xdr:cNvPr id="2" name="Straight Connector 1">
          <a:extLst>
            <a:ext uri="{FF2B5EF4-FFF2-40B4-BE49-F238E27FC236}">
              <a16:creationId xmlns:a16="http://schemas.microsoft.com/office/drawing/2014/main" id="{2EF3AE37-EAAA-4029-9BC2-A900F513DCC8}"/>
            </a:ext>
          </a:extLst>
        </xdr:cNvPr>
        <xdr:cNvCxnSpPr/>
      </xdr:nvCxnSpPr>
      <xdr:spPr>
        <a:xfrm>
          <a:off x="5553075" y="885825"/>
          <a:ext cx="0" cy="13058775"/>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132</xdr:row>
      <xdr:rowOff>9525</xdr:rowOff>
    </xdr:from>
    <xdr:to>
      <xdr:col>10</xdr:col>
      <xdr:colOff>0</xdr:colOff>
      <xdr:row>267</xdr:row>
      <xdr:rowOff>9525</xdr:rowOff>
    </xdr:to>
    <xdr:cxnSp macro="">
      <xdr:nvCxnSpPr>
        <xdr:cNvPr id="3" name="Straight Connector 2">
          <a:extLst>
            <a:ext uri="{FF2B5EF4-FFF2-40B4-BE49-F238E27FC236}">
              <a16:creationId xmlns:a16="http://schemas.microsoft.com/office/drawing/2014/main" id="{DFD0DB22-AB03-40EA-AE39-EB8812AFB120}"/>
            </a:ext>
          </a:extLst>
        </xdr:cNvPr>
        <xdr:cNvCxnSpPr/>
      </xdr:nvCxnSpPr>
      <xdr:spPr>
        <a:xfrm>
          <a:off x="5553075" y="16468725"/>
          <a:ext cx="0" cy="19488150"/>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xdr:row>
      <xdr:rowOff>0</xdr:rowOff>
    </xdr:from>
    <xdr:to>
      <xdr:col>9</xdr:col>
      <xdr:colOff>0</xdr:colOff>
      <xdr:row>114</xdr:row>
      <xdr:rowOff>0</xdr:rowOff>
    </xdr:to>
    <xdr:cxnSp macro="">
      <xdr:nvCxnSpPr>
        <xdr:cNvPr id="4" name="Straight Connector 3">
          <a:extLst>
            <a:ext uri="{FF2B5EF4-FFF2-40B4-BE49-F238E27FC236}">
              <a16:creationId xmlns:a16="http://schemas.microsoft.com/office/drawing/2014/main" id="{808E4023-2F76-4772-99BA-A26BCFA04634}"/>
            </a:ext>
          </a:extLst>
        </xdr:cNvPr>
        <xdr:cNvCxnSpPr/>
      </xdr:nvCxnSpPr>
      <xdr:spPr>
        <a:xfrm>
          <a:off x="5158740" y="853440"/>
          <a:ext cx="0" cy="1363980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132</xdr:row>
      <xdr:rowOff>0</xdr:rowOff>
    </xdr:from>
    <xdr:to>
      <xdr:col>9</xdr:col>
      <xdr:colOff>0</xdr:colOff>
      <xdr:row>267</xdr:row>
      <xdr:rowOff>0</xdr:rowOff>
    </xdr:to>
    <xdr:cxnSp macro="">
      <xdr:nvCxnSpPr>
        <xdr:cNvPr id="5" name="Straight Connector 4">
          <a:extLst>
            <a:ext uri="{FF2B5EF4-FFF2-40B4-BE49-F238E27FC236}">
              <a16:creationId xmlns:a16="http://schemas.microsoft.com/office/drawing/2014/main" id="{26D9A20D-68B5-46F5-9FBE-4763ADA0DB84}"/>
            </a:ext>
          </a:extLst>
        </xdr:cNvPr>
        <xdr:cNvCxnSpPr/>
      </xdr:nvCxnSpPr>
      <xdr:spPr>
        <a:xfrm>
          <a:off x="5158740" y="17084040"/>
          <a:ext cx="0" cy="1872996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17</xdr:col>
      <xdr:colOff>0</xdr:colOff>
      <xdr:row>6</xdr:row>
      <xdr:rowOff>0</xdr:rowOff>
    </xdr:from>
    <xdr:to>
      <xdr:col>17</xdr:col>
      <xdr:colOff>0</xdr:colOff>
      <xdr:row>188</xdr:row>
      <xdr:rowOff>0</xdr:rowOff>
    </xdr:to>
    <xdr:cxnSp macro="">
      <xdr:nvCxnSpPr>
        <xdr:cNvPr id="2" name="Straight Connector 1">
          <a:extLst>
            <a:ext uri="{FF2B5EF4-FFF2-40B4-BE49-F238E27FC236}">
              <a16:creationId xmlns:a16="http://schemas.microsoft.com/office/drawing/2014/main" id="{8919D0DF-B00C-4B0D-B3BB-1590F2FBD67D}"/>
            </a:ext>
          </a:extLst>
        </xdr:cNvPr>
        <xdr:cNvCxnSpPr/>
      </xdr:nvCxnSpPr>
      <xdr:spPr>
        <a:xfrm>
          <a:off x="11249025" y="857250"/>
          <a:ext cx="0" cy="2626042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15</xdr:col>
      <xdr:colOff>0</xdr:colOff>
      <xdr:row>6</xdr:row>
      <xdr:rowOff>0</xdr:rowOff>
    </xdr:from>
    <xdr:to>
      <xdr:col>15</xdr:col>
      <xdr:colOff>0</xdr:colOff>
      <xdr:row>542</xdr:row>
      <xdr:rowOff>0</xdr:rowOff>
    </xdr:to>
    <xdr:cxnSp macro="">
      <xdr:nvCxnSpPr>
        <xdr:cNvPr id="2" name="Straight Connector 1">
          <a:extLst>
            <a:ext uri="{FF2B5EF4-FFF2-40B4-BE49-F238E27FC236}">
              <a16:creationId xmlns:a16="http://schemas.microsoft.com/office/drawing/2014/main" id="{E932A657-05D5-4173-83EB-068FE552D963}"/>
            </a:ext>
          </a:extLst>
        </xdr:cNvPr>
        <xdr:cNvCxnSpPr/>
      </xdr:nvCxnSpPr>
      <xdr:spPr>
        <a:xfrm>
          <a:off x="8220075" y="885825"/>
          <a:ext cx="0" cy="915257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556260</xdr:colOff>
      <xdr:row>6</xdr:row>
      <xdr:rowOff>0</xdr:rowOff>
    </xdr:from>
    <xdr:to>
      <xdr:col>10</xdr:col>
      <xdr:colOff>556260</xdr:colOff>
      <xdr:row>542</xdr:row>
      <xdr:rowOff>0</xdr:rowOff>
    </xdr:to>
    <xdr:cxnSp macro="">
      <xdr:nvCxnSpPr>
        <xdr:cNvPr id="3" name="Straight Connector 2">
          <a:extLst>
            <a:ext uri="{FF2B5EF4-FFF2-40B4-BE49-F238E27FC236}">
              <a16:creationId xmlns:a16="http://schemas.microsoft.com/office/drawing/2014/main" id="{9BF100E4-F087-4795-B8B6-0960165B9223}"/>
            </a:ext>
          </a:extLst>
        </xdr:cNvPr>
        <xdr:cNvCxnSpPr/>
      </xdr:nvCxnSpPr>
      <xdr:spPr>
        <a:xfrm>
          <a:off x="4137660" y="853440"/>
          <a:ext cx="0" cy="7188708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0</xdr:colOff>
      <xdr:row>542</xdr:row>
      <xdr:rowOff>0</xdr:rowOff>
    </xdr:to>
    <xdr:cxnSp macro="">
      <xdr:nvCxnSpPr>
        <xdr:cNvPr id="4" name="Straight Connector 3">
          <a:extLst>
            <a:ext uri="{FF2B5EF4-FFF2-40B4-BE49-F238E27FC236}">
              <a16:creationId xmlns:a16="http://schemas.microsoft.com/office/drawing/2014/main" id="{99D37D25-0D89-480C-B4EB-2108C0505CE0}"/>
            </a:ext>
          </a:extLst>
        </xdr:cNvPr>
        <xdr:cNvCxnSpPr/>
      </xdr:nvCxnSpPr>
      <xdr:spPr>
        <a:xfrm>
          <a:off x="3952875" y="885825"/>
          <a:ext cx="0" cy="915257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6</xdr:row>
      <xdr:rowOff>0</xdr:rowOff>
    </xdr:from>
    <xdr:to>
      <xdr:col>55</xdr:col>
      <xdr:colOff>0</xdr:colOff>
      <xdr:row>542</xdr:row>
      <xdr:rowOff>0</xdr:rowOff>
    </xdr:to>
    <xdr:cxnSp macro="">
      <xdr:nvCxnSpPr>
        <xdr:cNvPr id="6" name="Straight Connector 5">
          <a:extLst>
            <a:ext uri="{FF2B5EF4-FFF2-40B4-BE49-F238E27FC236}">
              <a16:creationId xmlns:a16="http://schemas.microsoft.com/office/drawing/2014/main" id="{DC345077-8A69-489B-BAD5-5604303DE1A2}"/>
            </a:ext>
          </a:extLst>
        </xdr:cNvPr>
        <xdr:cNvCxnSpPr/>
      </xdr:nvCxnSpPr>
      <xdr:spPr>
        <a:xfrm>
          <a:off x="30203775" y="885825"/>
          <a:ext cx="0" cy="5209222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6</xdr:row>
      <xdr:rowOff>0</xdr:rowOff>
    </xdr:from>
    <xdr:to>
      <xdr:col>19</xdr:col>
      <xdr:colOff>0</xdr:colOff>
      <xdr:row>542</xdr:row>
      <xdr:rowOff>0</xdr:rowOff>
    </xdr:to>
    <xdr:cxnSp macro="">
      <xdr:nvCxnSpPr>
        <xdr:cNvPr id="9" name="Straight Connector 8">
          <a:extLst>
            <a:ext uri="{FF2B5EF4-FFF2-40B4-BE49-F238E27FC236}">
              <a16:creationId xmlns:a16="http://schemas.microsoft.com/office/drawing/2014/main" id="{CD97D11D-32A5-4930-893F-38AEB3F1D963}"/>
            </a:ext>
          </a:extLst>
        </xdr:cNvPr>
        <xdr:cNvCxnSpPr/>
      </xdr:nvCxnSpPr>
      <xdr:spPr>
        <a:xfrm>
          <a:off x="10353675" y="885825"/>
          <a:ext cx="0" cy="1093565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0</xdr:colOff>
      <xdr:row>6</xdr:row>
      <xdr:rowOff>0</xdr:rowOff>
    </xdr:from>
    <xdr:to>
      <xdr:col>23</xdr:col>
      <xdr:colOff>0</xdr:colOff>
      <xdr:row>542</xdr:row>
      <xdr:rowOff>0</xdr:rowOff>
    </xdr:to>
    <xdr:cxnSp macro="">
      <xdr:nvCxnSpPr>
        <xdr:cNvPr id="7" name="Straight Connector 6">
          <a:extLst>
            <a:ext uri="{FF2B5EF4-FFF2-40B4-BE49-F238E27FC236}">
              <a16:creationId xmlns:a16="http://schemas.microsoft.com/office/drawing/2014/main" id="{7F1141E3-5244-40BC-BAC4-71289B1495E4}"/>
            </a:ext>
          </a:extLst>
        </xdr:cNvPr>
        <xdr:cNvCxnSpPr/>
      </xdr:nvCxnSpPr>
      <xdr:spPr>
        <a:xfrm>
          <a:off x="12048565" y="842682"/>
          <a:ext cx="0" cy="70758424"/>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380999</xdr:colOff>
      <xdr:row>44</xdr:row>
      <xdr:rowOff>141194</xdr:rowOff>
    </xdr:from>
    <xdr:to>
      <xdr:col>66</xdr:col>
      <xdr:colOff>67234</xdr:colOff>
      <xdr:row>64</xdr:row>
      <xdr:rowOff>78441</xdr:rowOff>
    </xdr:to>
    <xdr:graphicFrame macro="">
      <xdr:nvGraphicFramePr>
        <xdr:cNvPr id="8" name="Chart 7">
          <a:extLst>
            <a:ext uri="{FF2B5EF4-FFF2-40B4-BE49-F238E27FC236}">
              <a16:creationId xmlns:a16="http://schemas.microsoft.com/office/drawing/2014/main" id="{EF2EB103-EE1E-84FA-6AAC-695B9C5B71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0</xdr:colOff>
      <xdr:row>6</xdr:row>
      <xdr:rowOff>0</xdr:rowOff>
    </xdr:from>
    <xdr:to>
      <xdr:col>22</xdr:col>
      <xdr:colOff>0</xdr:colOff>
      <xdr:row>542</xdr:row>
      <xdr:rowOff>0</xdr:rowOff>
    </xdr:to>
    <xdr:cxnSp macro="">
      <xdr:nvCxnSpPr>
        <xdr:cNvPr id="10" name="Straight Connector 9">
          <a:extLst>
            <a:ext uri="{FF2B5EF4-FFF2-40B4-BE49-F238E27FC236}">
              <a16:creationId xmlns:a16="http://schemas.microsoft.com/office/drawing/2014/main" id="{4A5F9F54-A09D-4FB2-B23F-368F6DF406AD}"/>
            </a:ext>
          </a:extLst>
        </xdr:cNvPr>
        <xdr:cNvCxnSpPr/>
      </xdr:nvCxnSpPr>
      <xdr:spPr>
        <a:xfrm>
          <a:off x="10470776" y="842682"/>
          <a:ext cx="0" cy="7139491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30</xdr:col>
      <xdr:colOff>0</xdr:colOff>
      <xdr:row>5</xdr:row>
      <xdr:rowOff>0</xdr:rowOff>
    </xdr:from>
    <xdr:to>
      <xdr:col>30</xdr:col>
      <xdr:colOff>0</xdr:colOff>
      <xdr:row>114</xdr:row>
      <xdr:rowOff>0</xdr:rowOff>
    </xdr:to>
    <xdr:cxnSp macro="">
      <xdr:nvCxnSpPr>
        <xdr:cNvPr id="2" name="Straight Connector 1">
          <a:extLst>
            <a:ext uri="{FF2B5EF4-FFF2-40B4-BE49-F238E27FC236}">
              <a16:creationId xmlns:a16="http://schemas.microsoft.com/office/drawing/2014/main" id="{13F320CB-911E-40C1-8443-F52D9F9A3E04}"/>
            </a:ext>
          </a:extLst>
        </xdr:cNvPr>
        <xdr:cNvCxnSpPr/>
      </xdr:nvCxnSpPr>
      <xdr:spPr>
        <a:xfrm>
          <a:off x="15706725" y="885825"/>
          <a:ext cx="0" cy="4572000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5</xdr:row>
      <xdr:rowOff>0</xdr:rowOff>
    </xdr:from>
    <xdr:to>
      <xdr:col>26</xdr:col>
      <xdr:colOff>0</xdr:colOff>
      <xdr:row>114</xdr:row>
      <xdr:rowOff>0</xdr:rowOff>
    </xdr:to>
    <xdr:cxnSp macro="">
      <xdr:nvCxnSpPr>
        <xdr:cNvPr id="3" name="Straight Connector 2">
          <a:extLst>
            <a:ext uri="{FF2B5EF4-FFF2-40B4-BE49-F238E27FC236}">
              <a16:creationId xmlns:a16="http://schemas.microsoft.com/office/drawing/2014/main" id="{60133A68-89A0-4B0F-8246-0906AD9851E0}"/>
            </a:ext>
          </a:extLst>
        </xdr:cNvPr>
        <xdr:cNvCxnSpPr/>
      </xdr:nvCxnSpPr>
      <xdr:spPr>
        <a:xfrm>
          <a:off x="13649325" y="885825"/>
          <a:ext cx="0" cy="45720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5</xdr:row>
      <xdr:rowOff>0</xdr:rowOff>
    </xdr:from>
    <xdr:to>
      <xdr:col>16</xdr:col>
      <xdr:colOff>0</xdr:colOff>
      <xdr:row>114</xdr:row>
      <xdr:rowOff>0</xdr:rowOff>
    </xdr:to>
    <xdr:cxnSp macro="">
      <xdr:nvCxnSpPr>
        <xdr:cNvPr id="4" name="Straight Connector 3">
          <a:extLst>
            <a:ext uri="{FF2B5EF4-FFF2-40B4-BE49-F238E27FC236}">
              <a16:creationId xmlns:a16="http://schemas.microsoft.com/office/drawing/2014/main" id="{6098FC8A-914B-4988-8665-602E7A5947C8}"/>
            </a:ext>
          </a:extLst>
        </xdr:cNvPr>
        <xdr:cNvCxnSpPr/>
      </xdr:nvCxnSpPr>
      <xdr:spPr>
        <a:xfrm>
          <a:off x="8505825" y="885825"/>
          <a:ext cx="0" cy="45720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5</xdr:row>
      <xdr:rowOff>0</xdr:rowOff>
    </xdr:from>
    <xdr:to>
      <xdr:col>6</xdr:col>
      <xdr:colOff>0</xdr:colOff>
      <xdr:row>114</xdr:row>
      <xdr:rowOff>0</xdr:rowOff>
    </xdr:to>
    <xdr:cxnSp macro="">
      <xdr:nvCxnSpPr>
        <xdr:cNvPr id="5" name="Straight Connector 4">
          <a:extLst>
            <a:ext uri="{FF2B5EF4-FFF2-40B4-BE49-F238E27FC236}">
              <a16:creationId xmlns:a16="http://schemas.microsoft.com/office/drawing/2014/main" id="{91B11007-51D0-4A3E-8679-9235E8DAFC1A}"/>
            </a:ext>
          </a:extLst>
        </xdr:cNvPr>
        <xdr:cNvCxnSpPr/>
      </xdr:nvCxnSpPr>
      <xdr:spPr>
        <a:xfrm>
          <a:off x="3362325" y="885825"/>
          <a:ext cx="0" cy="45720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386601</xdr:colOff>
      <xdr:row>41</xdr:row>
      <xdr:rowOff>78448</xdr:rowOff>
    </xdr:from>
    <xdr:to>
      <xdr:col>52</xdr:col>
      <xdr:colOff>0</xdr:colOff>
      <xdr:row>65</xdr:row>
      <xdr:rowOff>33617</xdr:rowOff>
    </xdr:to>
    <xdr:graphicFrame macro="">
      <xdr:nvGraphicFramePr>
        <xdr:cNvPr id="6" name="Chart 5">
          <a:extLst>
            <a:ext uri="{FF2B5EF4-FFF2-40B4-BE49-F238E27FC236}">
              <a16:creationId xmlns:a16="http://schemas.microsoft.com/office/drawing/2014/main" id="{F66DE3C8-3723-343E-83BB-764B0648C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0</xdr:colOff>
      <xdr:row>6</xdr:row>
      <xdr:rowOff>9525</xdr:rowOff>
    </xdr:from>
    <xdr:to>
      <xdr:col>13</xdr:col>
      <xdr:colOff>0</xdr:colOff>
      <xdr:row>38</xdr:row>
      <xdr:rowOff>0</xdr:rowOff>
    </xdr:to>
    <xdr:cxnSp macro="">
      <xdr:nvCxnSpPr>
        <xdr:cNvPr id="2" name="Straight Connector 1">
          <a:extLst>
            <a:ext uri="{FF2B5EF4-FFF2-40B4-BE49-F238E27FC236}">
              <a16:creationId xmlns:a16="http://schemas.microsoft.com/office/drawing/2014/main" id="{2AC890F3-ABFE-4D1E-8648-FA3DAC76368C}"/>
            </a:ext>
          </a:extLst>
        </xdr:cNvPr>
        <xdr:cNvCxnSpPr/>
      </xdr:nvCxnSpPr>
      <xdr:spPr>
        <a:xfrm>
          <a:off x="5019675" y="895350"/>
          <a:ext cx="0" cy="344805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0</xdr:colOff>
      <xdr:row>6</xdr:row>
      <xdr:rowOff>9525</xdr:rowOff>
    </xdr:from>
    <xdr:to>
      <xdr:col>18</xdr:col>
      <xdr:colOff>0</xdr:colOff>
      <xdr:row>38</xdr:row>
      <xdr:rowOff>0</xdr:rowOff>
    </xdr:to>
    <xdr:cxnSp macro="">
      <xdr:nvCxnSpPr>
        <xdr:cNvPr id="3" name="Straight Connector 2">
          <a:extLst>
            <a:ext uri="{FF2B5EF4-FFF2-40B4-BE49-F238E27FC236}">
              <a16:creationId xmlns:a16="http://schemas.microsoft.com/office/drawing/2014/main" id="{3D59C063-FA50-4324-A644-5C563FBB4ABD}"/>
            </a:ext>
          </a:extLst>
        </xdr:cNvPr>
        <xdr:cNvCxnSpPr/>
      </xdr:nvCxnSpPr>
      <xdr:spPr>
        <a:xfrm>
          <a:off x="8934450" y="895350"/>
          <a:ext cx="0" cy="344805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6</xdr:row>
      <xdr:rowOff>9525</xdr:rowOff>
    </xdr:from>
    <xdr:to>
      <xdr:col>11</xdr:col>
      <xdr:colOff>0</xdr:colOff>
      <xdr:row>38</xdr:row>
      <xdr:rowOff>0</xdr:rowOff>
    </xdr:to>
    <xdr:cxnSp macro="">
      <xdr:nvCxnSpPr>
        <xdr:cNvPr id="5" name="Straight Connector 4">
          <a:extLst>
            <a:ext uri="{FF2B5EF4-FFF2-40B4-BE49-F238E27FC236}">
              <a16:creationId xmlns:a16="http://schemas.microsoft.com/office/drawing/2014/main" id="{D1CC55AA-5B3A-4BCB-BF54-7B6723E0CDD3}"/>
            </a:ext>
          </a:extLst>
        </xdr:cNvPr>
        <xdr:cNvCxnSpPr/>
      </xdr:nvCxnSpPr>
      <xdr:spPr>
        <a:xfrm>
          <a:off x="3952875" y="895350"/>
          <a:ext cx="0" cy="3448050"/>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absoluteAnchor>
    <xdr:pos x="0" y="0"/>
    <xdr:ext cx="9401175" cy="6924675"/>
    <xdr:graphicFrame macro="">
      <xdr:nvGraphicFramePr>
        <xdr:cNvPr id="2" name="Chart 1">
          <a:extLst>
            <a:ext uri="{FF2B5EF4-FFF2-40B4-BE49-F238E27FC236}">
              <a16:creationId xmlns:a16="http://schemas.microsoft.com/office/drawing/2014/main" id="{5E79C940-CCD5-FFAD-745C-C7A3CBC5B7C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xml><?xml version="1.0" encoding="utf-8"?>
<xdr:wsDr xmlns:xdr="http://schemas.openxmlformats.org/drawingml/2006/spreadsheetDrawing" xmlns:a="http://schemas.openxmlformats.org/drawingml/2006/main">
  <xdr:absoluteAnchor>
    <xdr:pos x="0" y="0"/>
    <xdr:ext cx="9401175" cy="6924675"/>
    <xdr:graphicFrame macro="">
      <xdr:nvGraphicFramePr>
        <xdr:cNvPr id="2" name="Chart 1">
          <a:extLst>
            <a:ext uri="{FF2B5EF4-FFF2-40B4-BE49-F238E27FC236}">
              <a16:creationId xmlns:a16="http://schemas.microsoft.com/office/drawing/2014/main" id="{1A1EBC46-6D11-D318-38B7-DFCB0DD99B6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0.03177</cdr:x>
      <cdr:y>0.04904</cdr:y>
    </cdr:from>
    <cdr:to>
      <cdr:x>0.07237</cdr:x>
      <cdr:y>0.08732</cdr:y>
    </cdr:to>
    <cdr:sp macro="" textlink="">
      <cdr:nvSpPr>
        <cdr:cNvPr id="2" name="TextBox 1">
          <a:extLst xmlns:a="http://schemas.openxmlformats.org/drawingml/2006/main">
            <a:ext uri="{FF2B5EF4-FFF2-40B4-BE49-F238E27FC236}">
              <a16:creationId xmlns:a16="http://schemas.microsoft.com/office/drawing/2014/main" id="{9F520994-F54B-BBCB-0716-4F2C4EAFDCDC}"/>
            </a:ext>
          </a:extLst>
        </cdr:cNvPr>
        <cdr:cNvSpPr txBox="1"/>
      </cdr:nvSpPr>
      <cdr:spPr>
        <a:xfrm xmlns:a="http://schemas.openxmlformats.org/drawingml/2006/main">
          <a:off x="298175" y="339587"/>
          <a:ext cx="381000" cy="265044"/>
        </a:xfrm>
        <a:prstGeom xmlns:a="http://schemas.openxmlformats.org/drawingml/2006/main" prst="rect">
          <a:avLst/>
        </a:prstGeom>
        <a:solidFill xmlns:a="http://schemas.openxmlformats.org/drawingml/2006/main">
          <a:schemeClr val="bg1"/>
        </a:solidFill>
      </cdr:spPr>
      <cdr:txBody>
        <a:bodyPr xmlns:a="http://schemas.openxmlformats.org/drawingml/2006/main" vertOverflow="overflow" horzOverflow="overflow" wrap="none" rtlCol="0"/>
        <a:lstStyle xmlns:a="http://schemas.openxmlformats.org/drawingml/2006/main"/>
        <a:p xmlns:a="http://schemas.openxmlformats.org/drawingml/2006/main">
          <a:r>
            <a:rPr lang="en-US" sz="900">
              <a:solidFill>
                <a:schemeClr val="tx1">
                  <a:lumMod val="65000"/>
                  <a:lumOff val="35000"/>
                </a:schemeClr>
              </a:solidFill>
              <a:latin typeface="Arial" panose="020B0604020202020204" pitchFamily="34" charset="0"/>
              <a:cs typeface="Arial" panose="020B0604020202020204" pitchFamily="34" charset="0"/>
            </a:rPr>
            <a:t>130%</a:t>
          </a:r>
        </a:p>
      </cdr:txBody>
    </cdr:sp>
  </cdr:relSizeAnchor>
  <cdr:relSizeAnchor xmlns:cdr="http://schemas.openxmlformats.org/drawingml/2006/chartDrawing">
    <cdr:from>
      <cdr:x>0.07602</cdr:x>
      <cdr:y>0.09944</cdr:y>
    </cdr:from>
    <cdr:to>
      <cdr:x>0.09026</cdr:x>
      <cdr:y>0.12679</cdr:y>
    </cdr:to>
    <cdr:grpSp>
      <cdr:nvGrpSpPr>
        <cdr:cNvPr id="8" name="Group 7">
          <a:extLst xmlns:a="http://schemas.openxmlformats.org/drawingml/2006/main">
            <a:ext uri="{FF2B5EF4-FFF2-40B4-BE49-F238E27FC236}">
              <a16:creationId xmlns:a16="http://schemas.microsoft.com/office/drawing/2014/main" id="{B4CBFADF-506D-A715-6694-2A927D311E07}"/>
            </a:ext>
          </a:extLst>
        </cdr:cNvPr>
        <cdr:cNvGrpSpPr/>
      </cdr:nvGrpSpPr>
      <cdr:grpSpPr>
        <a:xfrm xmlns:a="http://schemas.openxmlformats.org/drawingml/2006/main" rot="19825038">
          <a:off x="714677" y="688590"/>
          <a:ext cx="133873" cy="189390"/>
          <a:chOff x="696844" y="705126"/>
          <a:chExt cx="133627" cy="189396"/>
        </a:xfrm>
      </cdr:grpSpPr>
      <cdr:cxnSp macro="">
        <cdr:nvCxnSpPr>
          <cdr:cNvPr id="6" name="Straight Connector 5">
            <a:extLst xmlns:a="http://schemas.openxmlformats.org/drawingml/2006/main">
              <a:ext uri="{FF2B5EF4-FFF2-40B4-BE49-F238E27FC236}">
                <a16:creationId xmlns:a16="http://schemas.microsoft.com/office/drawing/2014/main" id="{A7F3BA92-1CB9-5BA3-B12C-538731666F29}"/>
              </a:ext>
            </a:extLst>
          </cdr:cNvPr>
          <cdr:cNvCxnSpPr/>
        </cdr:nvCxnSpPr>
        <cdr:spPr>
          <a:xfrm xmlns:a="http://schemas.openxmlformats.org/drawingml/2006/main">
            <a:off x="696844" y="745435"/>
            <a:ext cx="99392" cy="149087"/>
          </a:xfrm>
          <a:prstGeom xmlns:a="http://schemas.openxmlformats.org/drawingml/2006/main" prst="lin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7" name="Straight Connector 6">
            <a:extLst xmlns:a="http://schemas.openxmlformats.org/drawingml/2006/main">
              <a:ext uri="{FF2B5EF4-FFF2-40B4-BE49-F238E27FC236}">
                <a16:creationId xmlns:a16="http://schemas.microsoft.com/office/drawing/2014/main" id="{E20D4141-02D6-114D-6412-546A9FBA21A2}"/>
              </a:ext>
            </a:extLst>
          </cdr:cNvPr>
          <cdr:cNvCxnSpPr/>
        </cdr:nvCxnSpPr>
        <cdr:spPr>
          <a:xfrm xmlns:a="http://schemas.openxmlformats.org/drawingml/2006/main">
            <a:off x="731079" y="705126"/>
            <a:ext cx="99392" cy="149087"/>
          </a:xfrm>
          <a:prstGeom xmlns:a="http://schemas.openxmlformats.org/drawingml/2006/main" prst="lin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relSizeAnchor>
  <cdr:relSizeAnchor xmlns:cdr="http://schemas.openxmlformats.org/drawingml/2006/chartDrawing">
    <cdr:from>
      <cdr:x>0.19328</cdr:x>
      <cdr:y>0.1372</cdr:y>
    </cdr:from>
    <cdr:to>
      <cdr:x>0.20943</cdr:x>
      <cdr:y>0.16</cdr:y>
    </cdr:to>
    <cdr:grpSp>
      <cdr:nvGrpSpPr>
        <cdr:cNvPr id="12" name="Group 11">
          <a:extLst xmlns:a="http://schemas.openxmlformats.org/drawingml/2006/main">
            <a:ext uri="{FF2B5EF4-FFF2-40B4-BE49-F238E27FC236}">
              <a16:creationId xmlns:a16="http://schemas.microsoft.com/office/drawing/2014/main" id="{38017D37-715C-1FAB-7567-F1211C5A5E2E}"/>
            </a:ext>
          </a:extLst>
        </cdr:cNvPr>
        <cdr:cNvGrpSpPr/>
      </cdr:nvGrpSpPr>
      <cdr:grpSpPr>
        <a:xfrm xmlns:a="http://schemas.openxmlformats.org/drawingml/2006/main" rot="19825038">
          <a:off x="1817059" y="950065"/>
          <a:ext cx="151829" cy="157883"/>
          <a:chOff x="-1243" y="4709"/>
          <a:chExt cx="151549" cy="157822"/>
        </a:xfrm>
      </cdr:grpSpPr>
      <cdr:cxnSp macro="">
        <cdr:nvCxnSpPr>
          <cdr:cNvPr id="13" name="Straight Connector 12">
            <a:extLst xmlns:a="http://schemas.openxmlformats.org/drawingml/2006/main">
              <a:ext uri="{FF2B5EF4-FFF2-40B4-BE49-F238E27FC236}">
                <a16:creationId xmlns:a16="http://schemas.microsoft.com/office/drawing/2014/main" id="{AC069693-7B1F-BB4F-9BE4-375DC8F3CAB1}"/>
              </a:ext>
            </a:extLst>
          </cdr:cNvPr>
          <cdr:cNvCxnSpPr/>
        </cdr:nvCxnSpPr>
        <cdr:spPr>
          <a:xfrm xmlns:a="http://schemas.openxmlformats.org/drawingml/2006/main">
            <a:off x="-1243" y="4709"/>
            <a:ext cx="99392" cy="149087"/>
          </a:xfrm>
          <a:prstGeom xmlns:a="http://schemas.openxmlformats.org/drawingml/2006/main" prst="lin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14" name="Straight Connector 13">
            <a:extLst xmlns:a="http://schemas.openxmlformats.org/drawingml/2006/main">
              <a:ext uri="{FF2B5EF4-FFF2-40B4-BE49-F238E27FC236}">
                <a16:creationId xmlns:a16="http://schemas.microsoft.com/office/drawing/2014/main" id="{1CA4203C-0BBF-85C8-B36C-23BA5DE847D8}"/>
              </a:ext>
            </a:extLst>
          </cdr:cNvPr>
          <cdr:cNvCxnSpPr/>
        </cdr:nvCxnSpPr>
        <cdr:spPr>
          <a:xfrm xmlns:a="http://schemas.openxmlformats.org/drawingml/2006/main">
            <a:off x="50914" y="13444"/>
            <a:ext cx="99392" cy="149087"/>
          </a:xfrm>
          <a:prstGeom xmlns:a="http://schemas.openxmlformats.org/drawingml/2006/main" prst="lin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relSizeAnchor>
  <cdr:relSizeAnchor xmlns:cdr="http://schemas.openxmlformats.org/drawingml/2006/chartDrawing">
    <cdr:from>
      <cdr:x>0.16876</cdr:x>
      <cdr:y>0.13095</cdr:y>
    </cdr:from>
    <cdr:to>
      <cdr:x>0.18464</cdr:x>
      <cdr:y>0.1551</cdr:y>
    </cdr:to>
    <cdr:grpSp>
      <cdr:nvGrpSpPr>
        <cdr:cNvPr id="18" name="Group 17">
          <a:extLst xmlns:a="http://schemas.openxmlformats.org/drawingml/2006/main">
            <a:ext uri="{FF2B5EF4-FFF2-40B4-BE49-F238E27FC236}">
              <a16:creationId xmlns:a16="http://schemas.microsoft.com/office/drawing/2014/main" id="{8A867E48-6E45-3E54-A1F8-EA4074957E4C}"/>
            </a:ext>
          </a:extLst>
        </cdr:cNvPr>
        <cdr:cNvGrpSpPr/>
      </cdr:nvGrpSpPr>
      <cdr:grpSpPr>
        <a:xfrm xmlns:a="http://schemas.openxmlformats.org/drawingml/2006/main" rot="19825038">
          <a:off x="1586542" y="906786"/>
          <a:ext cx="149291" cy="167231"/>
          <a:chOff x="-7718" y="11078"/>
          <a:chExt cx="149063" cy="167240"/>
        </a:xfrm>
      </cdr:grpSpPr>
      <cdr:cxnSp macro="">
        <cdr:nvCxnSpPr>
          <cdr:cNvPr id="19" name="Straight Connector 18">
            <a:extLst xmlns:a="http://schemas.openxmlformats.org/drawingml/2006/main">
              <a:ext uri="{FF2B5EF4-FFF2-40B4-BE49-F238E27FC236}">
                <a16:creationId xmlns:a16="http://schemas.microsoft.com/office/drawing/2014/main" id="{F5FDED7A-2DA3-4891-E625-64AC774CFDE8}"/>
              </a:ext>
            </a:extLst>
          </cdr:cNvPr>
          <cdr:cNvCxnSpPr/>
        </cdr:nvCxnSpPr>
        <cdr:spPr>
          <a:xfrm xmlns:a="http://schemas.openxmlformats.org/drawingml/2006/main">
            <a:off x="-7718" y="29231"/>
            <a:ext cx="99392" cy="149087"/>
          </a:xfrm>
          <a:prstGeom xmlns:a="http://schemas.openxmlformats.org/drawingml/2006/main" prst="lin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20" name="Straight Connector 19">
            <a:extLst xmlns:a="http://schemas.openxmlformats.org/drawingml/2006/main">
              <a:ext uri="{FF2B5EF4-FFF2-40B4-BE49-F238E27FC236}">
                <a16:creationId xmlns:a16="http://schemas.microsoft.com/office/drawing/2014/main" id="{01406752-1455-6C8E-0F4D-8698E60DD6BB}"/>
              </a:ext>
            </a:extLst>
          </cdr:cNvPr>
          <cdr:cNvCxnSpPr/>
        </cdr:nvCxnSpPr>
        <cdr:spPr>
          <a:xfrm xmlns:a="http://schemas.openxmlformats.org/drawingml/2006/main">
            <a:off x="41953" y="11078"/>
            <a:ext cx="99392" cy="149087"/>
          </a:xfrm>
          <a:prstGeom xmlns:a="http://schemas.openxmlformats.org/drawingml/2006/main" prst="lin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relSizeAnchor>
  <cdr:relSizeAnchor xmlns:cdr="http://schemas.openxmlformats.org/drawingml/2006/chartDrawing">
    <cdr:from>
      <cdr:x>0.51116</cdr:x>
      <cdr:y>0.47227</cdr:y>
    </cdr:from>
    <cdr:to>
      <cdr:x>0.93955</cdr:x>
      <cdr:y>0.47227</cdr:y>
    </cdr:to>
    <cdr:cxnSp macro="">
      <cdr:nvCxnSpPr>
        <cdr:cNvPr id="3" name="Straight Connector 2">
          <a:extLst xmlns:a="http://schemas.openxmlformats.org/drawingml/2006/main">
            <a:ext uri="{FF2B5EF4-FFF2-40B4-BE49-F238E27FC236}">
              <a16:creationId xmlns:a16="http://schemas.microsoft.com/office/drawing/2014/main" id="{6E317735-B75B-A0CA-20A9-E7B670937E81}"/>
            </a:ext>
          </a:extLst>
        </cdr:cNvPr>
        <cdr:cNvCxnSpPr/>
      </cdr:nvCxnSpPr>
      <cdr:spPr>
        <a:xfrm xmlns:a="http://schemas.openxmlformats.org/drawingml/2006/main">
          <a:off x="4800600" y="3270298"/>
          <a:ext cx="4023360" cy="0"/>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0.72955</cdr:x>
      <cdr:y>0.42274</cdr:y>
    </cdr:from>
    <cdr:to>
      <cdr:x>0.81278</cdr:x>
      <cdr:y>0.47501</cdr:y>
    </cdr:to>
    <cdr:sp macro="" textlink="">
      <cdr:nvSpPr>
        <cdr:cNvPr id="4" name="TextBox 2">
          <a:extLst xmlns:a="http://schemas.openxmlformats.org/drawingml/2006/main">
            <a:ext uri="{FF2B5EF4-FFF2-40B4-BE49-F238E27FC236}">
              <a16:creationId xmlns:a16="http://schemas.microsoft.com/office/drawing/2014/main" id="{E6103F52-22D0-B7D1-C11D-534E9A80D5AE}"/>
            </a:ext>
          </a:extLst>
        </cdr:cNvPr>
        <cdr:cNvSpPr txBox="1"/>
      </cdr:nvSpPr>
      <cdr:spPr>
        <a:xfrm xmlns:a="http://schemas.openxmlformats.org/drawingml/2006/main">
          <a:off x="6851650" y="2927350"/>
          <a:ext cx="781667" cy="361953"/>
        </a:xfrm>
        <a:prstGeom xmlns:a="http://schemas.openxmlformats.org/drawingml/2006/main" prst="rect">
          <a:avLst/>
        </a:prstGeom>
        <a:ln xmlns:a="http://schemas.openxmlformats.org/drawingml/2006/main">
          <a:noFill/>
        </a:ln>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800">
              <a:solidFill>
                <a:srgbClr val="FF0000"/>
              </a:solidFill>
              <a:latin typeface="Arial" panose="020B0604020202020204" pitchFamily="34" charset="0"/>
              <a:cs typeface="Arial" panose="020B0604020202020204" pitchFamily="34" charset="0"/>
            </a:rPr>
            <a:t>16% Avg</a:t>
          </a:r>
        </a:p>
        <a:p xmlns:a="http://schemas.openxmlformats.org/drawingml/2006/main">
          <a:pPr algn="ctr"/>
          <a:r>
            <a:rPr lang="en-US" sz="800">
              <a:solidFill>
                <a:srgbClr val="FF0000"/>
              </a:solidFill>
              <a:latin typeface="Arial" panose="020B0604020202020204" pitchFamily="34" charset="0"/>
              <a:cs typeface="Arial" panose="020B0604020202020204" pitchFamily="34" charset="0"/>
            </a:rPr>
            <a:t>(FY10-23)</a:t>
          </a:r>
        </a:p>
        <a:p xmlns:a="http://schemas.openxmlformats.org/drawingml/2006/main">
          <a:pPr algn="ctr"/>
          <a:endParaRPr lang="en-US" sz="800">
            <a:solidFill>
              <a:srgbClr val="FF0000"/>
            </a:solidFill>
            <a:latin typeface="Arial" panose="020B0604020202020204" pitchFamily="34" charset="0"/>
            <a:cs typeface="Arial" panose="020B0604020202020204" pitchFamily="34" charset="0"/>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9401175" cy="6924675"/>
    <xdr:graphicFrame macro="">
      <xdr:nvGraphicFramePr>
        <xdr:cNvPr id="2" name="Chart 1">
          <a:extLst>
            <a:ext uri="{FF2B5EF4-FFF2-40B4-BE49-F238E27FC236}">
              <a16:creationId xmlns:a16="http://schemas.microsoft.com/office/drawing/2014/main" id="{7D2A2572-BAAC-C939-E1F7-828963058AF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0.38977</cdr:x>
      <cdr:y>0.32877</cdr:y>
    </cdr:from>
    <cdr:to>
      <cdr:x>0.93787</cdr:x>
      <cdr:y>0.32877</cdr:y>
    </cdr:to>
    <cdr:cxnSp macro="">
      <cdr:nvCxnSpPr>
        <cdr:cNvPr id="4" name="Straight Connector 3">
          <a:extLst xmlns:a="http://schemas.openxmlformats.org/drawingml/2006/main">
            <a:ext uri="{FF2B5EF4-FFF2-40B4-BE49-F238E27FC236}">
              <a16:creationId xmlns:a16="http://schemas.microsoft.com/office/drawing/2014/main" id="{B5B899A1-4E7E-1A72-58E4-4FF813E8E8E7}"/>
            </a:ext>
          </a:extLst>
        </cdr:cNvPr>
        <cdr:cNvCxnSpPr/>
      </cdr:nvCxnSpPr>
      <cdr:spPr>
        <a:xfrm xmlns:a="http://schemas.openxmlformats.org/drawingml/2006/main">
          <a:off x="3660559" y="2276625"/>
          <a:ext cx="5147563" cy="0"/>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0.66677</cdr:x>
      <cdr:y>0.33151</cdr:y>
    </cdr:from>
    <cdr:to>
      <cdr:x>0.75</cdr:x>
      <cdr:y>0.38378</cdr:y>
    </cdr:to>
    <cdr:sp macro="" textlink="">
      <cdr:nvSpPr>
        <cdr:cNvPr id="11" name="TextBox 10">
          <a:extLst xmlns:a="http://schemas.openxmlformats.org/drawingml/2006/main">
            <a:ext uri="{FF2B5EF4-FFF2-40B4-BE49-F238E27FC236}">
              <a16:creationId xmlns:a16="http://schemas.microsoft.com/office/drawing/2014/main" id="{FBDB08B0-FA4C-03D3-6FB1-CBEF6C53C02E}"/>
            </a:ext>
          </a:extLst>
        </cdr:cNvPr>
        <cdr:cNvSpPr txBox="1"/>
      </cdr:nvSpPr>
      <cdr:spPr>
        <a:xfrm xmlns:a="http://schemas.openxmlformats.org/drawingml/2006/main">
          <a:off x="6262082" y="2295627"/>
          <a:ext cx="781667" cy="361953"/>
        </a:xfrm>
        <a:prstGeom xmlns:a="http://schemas.openxmlformats.org/drawingml/2006/main" prst="rect">
          <a:avLst/>
        </a:prstGeom>
        <a:ln xmlns:a="http://schemas.openxmlformats.org/drawingml/2006/main">
          <a:noFill/>
        </a:ln>
      </cdr:spPr>
      <cdr:txBody>
        <a:bodyPr xmlns:a="http://schemas.openxmlformats.org/drawingml/2006/main" vertOverflow="clip" wrap="none" rtlCol="0"/>
        <a:lstStyle xmlns:a="http://schemas.openxmlformats.org/drawingml/2006/main"/>
        <a:p xmlns:a="http://schemas.openxmlformats.org/drawingml/2006/main">
          <a:pPr algn="ctr"/>
          <a:r>
            <a:rPr lang="en-US" sz="800">
              <a:solidFill>
                <a:srgbClr val="FF0000"/>
              </a:solidFill>
              <a:latin typeface="Arial" panose="020B0604020202020204" pitchFamily="34" charset="0"/>
              <a:cs typeface="Arial" panose="020B0604020202020204" pitchFamily="34" charset="0"/>
            </a:rPr>
            <a:t>34% Avg</a:t>
          </a:r>
        </a:p>
        <a:p xmlns:a="http://schemas.openxmlformats.org/drawingml/2006/main">
          <a:pPr algn="ctr"/>
          <a:r>
            <a:rPr lang="en-US" sz="800">
              <a:solidFill>
                <a:srgbClr val="FF0000"/>
              </a:solidFill>
              <a:latin typeface="Arial" panose="020B0604020202020204" pitchFamily="34" charset="0"/>
              <a:cs typeface="Arial" panose="020B0604020202020204" pitchFamily="34" charset="0"/>
            </a:rPr>
            <a:t>(FY10-23)</a:t>
          </a:r>
        </a:p>
        <a:p xmlns:a="http://schemas.openxmlformats.org/drawingml/2006/main">
          <a:pPr algn="ctr"/>
          <a:endParaRPr lang="en-US" sz="800">
            <a:solidFill>
              <a:srgbClr val="FF0000"/>
            </a:solidFill>
            <a:latin typeface="Arial" panose="020B0604020202020204" pitchFamily="34" charset="0"/>
            <a:cs typeface="Arial" panose="020B0604020202020204" pitchFamily="34" charset="0"/>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9401175" cy="6924675"/>
    <xdr:graphicFrame macro="">
      <xdr:nvGraphicFramePr>
        <xdr:cNvPr id="2" name="Chart 1">
          <a:extLst>
            <a:ext uri="{FF2B5EF4-FFF2-40B4-BE49-F238E27FC236}">
              <a16:creationId xmlns:a16="http://schemas.microsoft.com/office/drawing/2014/main" id="{FB9FDE53-9ECF-D79D-9D1E-9E48A08096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0.50253</cdr:x>
      <cdr:y>0.52407</cdr:y>
    </cdr:from>
    <cdr:to>
      <cdr:x>0.93718</cdr:x>
      <cdr:y>0.52407</cdr:y>
    </cdr:to>
    <cdr:cxnSp macro="">
      <cdr:nvCxnSpPr>
        <cdr:cNvPr id="4" name="Straight Connector 3">
          <a:extLst xmlns:a="http://schemas.openxmlformats.org/drawingml/2006/main">
            <a:ext uri="{FF2B5EF4-FFF2-40B4-BE49-F238E27FC236}">
              <a16:creationId xmlns:a16="http://schemas.microsoft.com/office/drawing/2014/main" id="{B5B899A1-4E7E-1A72-58E4-4FF813E8E8E7}"/>
            </a:ext>
          </a:extLst>
        </cdr:cNvPr>
        <cdr:cNvCxnSpPr/>
      </cdr:nvCxnSpPr>
      <cdr:spPr>
        <a:xfrm xmlns:a="http://schemas.openxmlformats.org/drawingml/2006/main">
          <a:off x="4724400" y="3629025"/>
          <a:ext cx="4086225" cy="0"/>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0.63119</cdr:x>
      <cdr:y>0.47732</cdr:y>
    </cdr:from>
    <cdr:to>
      <cdr:x>0.71442</cdr:x>
      <cdr:y>0.52959</cdr:y>
    </cdr:to>
    <cdr:sp macro="" textlink="">
      <cdr:nvSpPr>
        <cdr:cNvPr id="11" name="TextBox 10">
          <a:extLst xmlns:a="http://schemas.openxmlformats.org/drawingml/2006/main">
            <a:ext uri="{FF2B5EF4-FFF2-40B4-BE49-F238E27FC236}">
              <a16:creationId xmlns:a16="http://schemas.microsoft.com/office/drawing/2014/main" id="{FBDB08B0-FA4C-03D3-6FB1-CBEF6C53C02E}"/>
            </a:ext>
          </a:extLst>
        </cdr:cNvPr>
        <cdr:cNvSpPr txBox="1"/>
      </cdr:nvSpPr>
      <cdr:spPr>
        <a:xfrm xmlns:a="http://schemas.openxmlformats.org/drawingml/2006/main">
          <a:off x="5933967" y="3305296"/>
          <a:ext cx="782460" cy="36195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800">
              <a:solidFill>
                <a:srgbClr val="FF0000"/>
              </a:solidFill>
              <a:latin typeface="Arial" panose="020B0604020202020204" pitchFamily="34" charset="0"/>
              <a:cs typeface="Arial" panose="020B0604020202020204" pitchFamily="34" charset="0"/>
            </a:rPr>
            <a:t>42% Avg</a:t>
          </a:r>
        </a:p>
        <a:p xmlns:a="http://schemas.openxmlformats.org/drawingml/2006/main">
          <a:pPr algn="ctr"/>
          <a:r>
            <a:rPr lang="en-US" sz="800">
              <a:solidFill>
                <a:srgbClr val="FF0000"/>
              </a:solidFill>
              <a:latin typeface="Arial" panose="020B0604020202020204" pitchFamily="34" charset="0"/>
              <a:cs typeface="Arial" panose="020B0604020202020204" pitchFamily="34" charset="0"/>
            </a:rPr>
            <a:t>(FY10-23)</a:t>
          </a: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9400761" cy="6924261"/>
    <xdr:graphicFrame macro="">
      <xdr:nvGraphicFramePr>
        <xdr:cNvPr id="2" name="Chart 1">
          <a:extLst>
            <a:ext uri="{FF2B5EF4-FFF2-40B4-BE49-F238E27FC236}">
              <a16:creationId xmlns:a16="http://schemas.microsoft.com/office/drawing/2014/main" id="{3973D473-D5B4-91D8-8366-59BF4AC1FC9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0.02645</cdr:x>
      <cdr:y>0.95216</cdr:y>
    </cdr:from>
    <cdr:to>
      <cdr:x>0.13197</cdr:x>
      <cdr:y>1</cdr:y>
    </cdr:to>
    <cdr:sp macro="" textlink="">
      <cdr:nvSpPr>
        <cdr:cNvPr id="2" name="TextBox 1">
          <a:extLst xmlns:a="http://schemas.openxmlformats.org/drawingml/2006/main">
            <a:ext uri="{FF2B5EF4-FFF2-40B4-BE49-F238E27FC236}">
              <a16:creationId xmlns:a16="http://schemas.microsoft.com/office/drawing/2014/main" id="{3939DA8B-2122-6F64-56C9-F9EE6989DBBF}"/>
            </a:ext>
          </a:extLst>
        </cdr:cNvPr>
        <cdr:cNvSpPr txBox="1"/>
      </cdr:nvSpPr>
      <cdr:spPr>
        <a:xfrm xmlns:a="http://schemas.openxmlformats.org/drawingml/2006/main">
          <a:off x="229173" y="5987142"/>
          <a:ext cx="914400" cy="30078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i="1">
              <a:solidFill>
                <a:schemeClr val="tx1">
                  <a:lumMod val="65000"/>
                  <a:lumOff val="35000"/>
                </a:schemeClr>
              </a:solidFill>
            </a:rPr>
            <a:t>Source: Data</a:t>
          </a:r>
          <a:r>
            <a:rPr lang="en-US" sz="1100" i="1" baseline="0">
              <a:solidFill>
                <a:schemeClr val="tx1">
                  <a:lumMod val="65000"/>
                  <a:lumOff val="35000"/>
                </a:schemeClr>
              </a:solidFill>
            </a:rPr>
            <a:t> from </a:t>
          </a:r>
          <a:r>
            <a:rPr lang="en-US" sz="1100" i="1">
              <a:solidFill>
                <a:schemeClr val="tx1">
                  <a:lumMod val="65000"/>
                  <a:lumOff val="35000"/>
                </a:schemeClr>
              </a:solidFill>
            </a:rPr>
            <a:t>Morgan Stanley</a:t>
          </a:r>
        </a:p>
      </cdr:txBody>
    </cdr:sp>
  </cdr:relSizeAnchor>
</c:userShapes>
</file>

<file path=xl/drawings/drawing19.xml><?xml version="1.0" encoding="utf-8"?>
<xdr:wsDr xmlns:xdr="http://schemas.openxmlformats.org/drawingml/2006/spreadsheetDrawing" xmlns:a="http://schemas.openxmlformats.org/drawingml/2006/main">
  <xdr:twoCellAnchor>
    <xdr:from>
      <xdr:col>7</xdr:col>
      <xdr:colOff>0</xdr:colOff>
      <xdr:row>8</xdr:row>
      <xdr:rowOff>9525</xdr:rowOff>
    </xdr:from>
    <xdr:to>
      <xdr:col>7</xdr:col>
      <xdr:colOff>0</xdr:colOff>
      <xdr:row>359</xdr:row>
      <xdr:rowOff>66675</xdr:rowOff>
    </xdr:to>
    <xdr:cxnSp macro="">
      <xdr:nvCxnSpPr>
        <xdr:cNvPr id="3" name="Straight Connector 2">
          <a:extLst>
            <a:ext uri="{FF2B5EF4-FFF2-40B4-BE49-F238E27FC236}">
              <a16:creationId xmlns:a16="http://schemas.microsoft.com/office/drawing/2014/main" id="{76F034AB-6D0B-E351-EB6D-E0BB1351E08E}"/>
            </a:ext>
          </a:extLst>
        </xdr:cNvPr>
        <xdr:cNvCxnSpPr/>
      </xdr:nvCxnSpPr>
      <xdr:spPr>
        <a:xfrm>
          <a:off x="4343400" y="1181100"/>
          <a:ext cx="0" cy="46320075"/>
        </a:xfrm>
        <a:prstGeom prst="line">
          <a:avLst/>
        </a:prstGeom>
        <a:ln>
          <a:solidFill>
            <a:schemeClr val="tx1">
              <a:lumMod val="50000"/>
              <a:lumOff val="50000"/>
            </a:schemeClr>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9525</xdr:rowOff>
    </xdr:from>
    <xdr:to>
      <xdr:col>11</xdr:col>
      <xdr:colOff>0</xdr:colOff>
      <xdr:row>359</xdr:row>
      <xdr:rowOff>66675</xdr:rowOff>
    </xdr:to>
    <xdr:cxnSp macro="">
      <xdr:nvCxnSpPr>
        <xdr:cNvPr id="5" name="Straight Connector 4">
          <a:extLst>
            <a:ext uri="{FF2B5EF4-FFF2-40B4-BE49-F238E27FC236}">
              <a16:creationId xmlns:a16="http://schemas.microsoft.com/office/drawing/2014/main" id="{5F63D892-274B-46E9-9AD1-2233A16E15CC}"/>
            </a:ext>
          </a:extLst>
        </xdr:cNvPr>
        <xdr:cNvCxnSpPr/>
      </xdr:nvCxnSpPr>
      <xdr:spPr>
        <a:xfrm>
          <a:off x="7010400" y="1181100"/>
          <a:ext cx="0" cy="46320075"/>
        </a:xfrm>
        <a:prstGeom prst="line">
          <a:avLst/>
        </a:prstGeom>
        <a:ln>
          <a:solidFill>
            <a:schemeClr val="tx1">
              <a:lumMod val="50000"/>
              <a:lumOff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8</xdr:row>
      <xdr:rowOff>9525</xdr:rowOff>
    </xdr:from>
    <xdr:to>
      <xdr:col>17</xdr:col>
      <xdr:colOff>0</xdr:colOff>
      <xdr:row>359</xdr:row>
      <xdr:rowOff>66675</xdr:rowOff>
    </xdr:to>
    <xdr:cxnSp macro="">
      <xdr:nvCxnSpPr>
        <xdr:cNvPr id="6" name="Straight Connector 5">
          <a:extLst>
            <a:ext uri="{FF2B5EF4-FFF2-40B4-BE49-F238E27FC236}">
              <a16:creationId xmlns:a16="http://schemas.microsoft.com/office/drawing/2014/main" id="{E8510264-5A86-4517-9463-33179541D121}"/>
            </a:ext>
          </a:extLst>
        </xdr:cNvPr>
        <xdr:cNvCxnSpPr/>
      </xdr:nvCxnSpPr>
      <xdr:spPr>
        <a:xfrm>
          <a:off x="11010900" y="1181100"/>
          <a:ext cx="0" cy="46320075"/>
        </a:xfrm>
        <a:prstGeom prst="line">
          <a:avLst/>
        </a:prstGeom>
        <a:ln>
          <a:solidFill>
            <a:schemeClr val="tx1">
              <a:lumMod val="50000"/>
              <a:lumOff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8</xdr:row>
      <xdr:rowOff>9525</xdr:rowOff>
    </xdr:from>
    <xdr:to>
      <xdr:col>19</xdr:col>
      <xdr:colOff>0</xdr:colOff>
      <xdr:row>359</xdr:row>
      <xdr:rowOff>66675</xdr:rowOff>
    </xdr:to>
    <xdr:cxnSp macro="">
      <xdr:nvCxnSpPr>
        <xdr:cNvPr id="7" name="Straight Connector 6">
          <a:extLst>
            <a:ext uri="{FF2B5EF4-FFF2-40B4-BE49-F238E27FC236}">
              <a16:creationId xmlns:a16="http://schemas.microsoft.com/office/drawing/2014/main" id="{D1361B09-39C0-4AB3-9561-7FE6F51DE253}"/>
            </a:ext>
          </a:extLst>
        </xdr:cNvPr>
        <xdr:cNvCxnSpPr/>
      </xdr:nvCxnSpPr>
      <xdr:spPr>
        <a:xfrm>
          <a:off x="12344400" y="1181100"/>
          <a:ext cx="0" cy="46320075"/>
        </a:xfrm>
        <a:prstGeom prst="line">
          <a:avLst/>
        </a:prstGeom>
        <a:ln>
          <a:solidFill>
            <a:schemeClr val="tx1">
              <a:lumMod val="50000"/>
              <a:lumOff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1247775</xdr:colOff>
      <xdr:row>67</xdr:row>
      <xdr:rowOff>449</xdr:rowOff>
    </xdr:from>
    <xdr:to>
      <xdr:col>21</xdr:col>
      <xdr:colOff>152399</xdr:colOff>
      <xdr:row>82</xdr:row>
      <xdr:rowOff>49026</xdr:rowOff>
    </xdr:to>
    <xdr:graphicFrame macro="">
      <xdr:nvGraphicFramePr>
        <xdr:cNvPr id="2" name="Chart 1">
          <a:extLst>
            <a:ext uri="{FF2B5EF4-FFF2-40B4-BE49-F238E27FC236}">
              <a16:creationId xmlns:a16="http://schemas.microsoft.com/office/drawing/2014/main" id="{D7FB230A-CA1D-8637-C790-C5F0450C3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33</xdr:col>
      <xdr:colOff>0</xdr:colOff>
      <xdr:row>6</xdr:row>
      <xdr:rowOff>0</xdr:rowOff>
    </xdr:from>
    <xdr:to>
      <xdr:col>33</xdr:col>
      <xdr:colOff>0</xdr:colOff>
      <xdr:row>83</xdr:row>
      <xdr:rowOff>0</xdr:rowOff>
    </xdr:to>
    <xdr:cxnSp macro="">
      <xdr:nvCxnSpPr>
        <xdr:cNvPr id="6" name="Straight Connector 5">
          <a:extLst>
            <a:ext uri="{FF2B5EF4-FFF2-40B4-BE49-F238E27FC236}">
              <a16:creationId xmlns:a16="http://schemas.microsoft.com/office/drawing/2014/main" id="{ACD0D79B-23A9-4F9F-AD0D-CDCFFD7BDFA3}"/>
            </a:ext>
          </a:extLst>
        </xdr:cNvPr>
        <xdr:cNvCxnSpPr/>
      </xdr:nvCxnSpPr>
      <xdr:spPr>
        <a:xfrm>
          <a:off x="30432375" y="885825"/>
          <a:ext cx="0" cy="5617845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6</xdr:row>
      <xdr:rowOff>0</xdr:rowOff>
    </xdr:from>
    <xdr:to>
      <xdr:col>29</xdr:col>
      <xdr:colOff>0</xdr:colOff>
      <xdr:row>83</xdr:row>
      <xdr:rowOff>0</xdr:rowOff>
    </xdr:to>
    <xdr:cxnSp macro="">
      <xdr:nvCxnSpPr>
        <xdr:cNvPr id="7" name="Straight Connector 6">
          <a:extLst>
            <a:ext uri="{FF2B5EF4-FFF2-40B4-BE49-F238E27FC236}">
              <a16:creationId xmlns:a16="http://schemas.microsoft.com/office/drawing/2014/main" id="{67EEEEEA-547F-4DC0-B906-9F02AD5BAE10}"/>
            </a:ext>
          </a:extLst>
        </xdr:cNvPr>
        <xdr:cNvCxnSpPr/>
      </xdr:nvCxnSpPr>
      <xdr:spPr>
        <a:xfrm>
          <a:off x="13649325" y="885825"/>
          <a:ext cx="0" cy="88868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6</xdr:row>
      <xdr:rowOff>0</xdr:rowOff>
    </xdr:from>
    <xdr:to>
      <xdr:col>19</xdr:col>
      <xdr:colOff>0</xdr:colOff>
      <xdr:row>83</xdr:row>
      <xdr:rowOff>0</xdr:rowOff>
    </xdr:to>
    <xdr:cxnSp macro="">
      <xdr:nvCxnSpPr>
        <xdr:cNvPr id="11" name="Straight Connector 10">
          <a:extLst>
            <a:ext uri="{FF2B5EF4-FFF2-40B4-BE49-F238E27FC236}">
              <a16:creationId xmlns:a16="http://schemas.microsoft.com/office/drawing/2014/main" id="{C784F35F-E87B-4154-8254-975500CF6A13}"/>
            </a:ext>
          </a:extLst>
        </xdr:cNvPr>
        <xdr:cNvCxnSpPr/>
      </xdr:nvCxnSpPr>
      <xdr:spPr>
        <a:xfrm>
          <a:off x="8505825" y="885825"/>
          <a:ext cx="0" cy="88868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xdr:row>
      <xdr:rowOff>0</xdr:rowOff>
    </xdr:from>
    <xdr:to>
      <xdr:col>9</xdr:col>
      <xdr:colOff>0</xdr:colOff>
      <xdr:row>83</xdr:row>
      <xdr:rowOff>0</xdr:rowOff>
    </xdr:to>
    <xdr:cxnSp macro="">
      <xdr:nvCxnSpPr>
        <xdr:cNvPr id="13" name="Straight Connector 12">
          <a:extLst>
            <a:ext uri="{FF2B5EF4-FFF2-40B4-BE49-F238E27FC236}">
              <a16:creationId xmlns:a16="http://schemas.microsoft.com/office/drawing/2014/main" id="{B21A44F0-E46C-4F23-B5C3-1AAB0F0A33E4}"/>
            </a:ext>
          </a:extLst>
        </xdr:cNvPr>
        <xdr:cNvCxnSpPr/>
      </xdr:nvCxnSpPr>
      <xdr:spPr>
        <a:xfrm>
          <a:off x="3362325" y="885825"/>
          <a:ext cx="0" cy="88868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9</xdr:col>
      <xdr:colOff>219075</xdr:colOff>
      <xdr:row>3</xdr:row>
      <xdr:rowOff>57150</xdr:rowOff>
    </xdr:from>
    <xdr:to>
      <xdr:col>17</xdr:col>
      <xdr:colOff>29593</xdr:colOff>
      <xdr:row>31</xdr:row>
      <xdr:rowOff>56333</xdr:rowOff>
    </xdr:to>
    <xdr:pic>
      <xdr:nvPicPr>
        <xdr:cNvPr id="2" name="Picture 1">
          <a:extLst>
            <a:ext uri="{FF2B5EF4-FFF2-40B4-BE49-F238E27FC236}">
              <a16:creationId xmlns:a16="http://schemas.microsoft.com/office/drawing/2014/main" id="{A1D7F983-597A-5275-7508-23688D0D4F03}"/>
            </a:ext>
          </a:extLst>
        </xdr:cNvPr>
        <xdr:cNvPicPr>
          <a:picLocks noChangeAspect="1"/>
        </xdr:cNvPicPr>
      </xdr:nvPicPr>
      <xdr:blipFill>
        <a:blip xmlns:r="http://schemas.openxmlformats.org/officeDocument/2006/relationships" r:embed="rId1"/>
        <a:stretch>
          <a:fillRect/>
        </a:stretch>
      </xdr:blipFill>
      <xdr:spPr>
        <a:xfrm>
          <a:off x="6515100" y="485775"/>
          <a:ext cx="4687318" cy="4133033"/>
        </a:xfrm>
        <a:prstGeom prst="rect">
          <a:avLst/>
        </a:prstGeom>
      </xdr:spPr>
    </xdr:pic>
    <xdr:clientData/>
  </xdr:twoCellAnchor>
  <xdr:twoCellAnchor editAs="oneCell">
    <xdr:from>
      <xdr:col>9</xdr:col>
      <xdr:colOff>209550</xdr:colOff>
      <xdr:row>34</xdr:row>
      <xdr:rowOff>24451</xdr:rowOff>
    </xdr:from>
    <xdr:to>
      <xdr:col>21</xdr:col>
      <xdr:colOff>417724</xdr:colOff>
      <xdr:row>52</xdr:row>
      <xdr:rowOff>123336</xdr:rowOff>
    </xdr:to>
    <xdr:pic>
      <xdr:nvPicPr>
        <xdr:cNvPr id="3" name="Picture 2">
          <a:extLst>
            <a:ext uri="{FF2B5EF4-FFF2-40B4-BE49-F238E27FC236}">
              <a16:creationId xmlns:a16="http://schemas.microsoft.com/office/drawing/2014/main" id="{85919F40-4ECD-61B2-F221-F39092860F85}"/>
            </a:ext>
          </a:extLst>
        </xdr:cNvPr>
        <xdr:cNvPicPr>
          <a:picLocks noChangeAspect="1"/>
        </xdr:cNvPicPr>
      </xdr:nvPicPr>
      <xdr:blipFill>
        <a:blip xmlns:r="http://schemas.openxmlformats.org/officeDocument/2006/relationships" r:embed="rId2"/>
        <a:stretch>
          <a:fillRect/>
        </a:stretch>
      </xdr:blipFill>
      <xdr:spPr>
        <a:xfrm>
          <a:off x="6505575" y="4729801"/>
          <a:ext cx="7523374" cy="2670635"/>
        </a:xfrm>
        <a:prstGeom prst="rect">
          <a:avLst/>
        </a:prstGeom>
      </xdr:spPr>
    </xdr:pic>
    <xdr:clientData/>
  </xdr:twoCellAnchor>
  <xdr:twoCellAnchor editAs="oneCell">
    <xdr:from>
      <xdr:col>17</xdr:col>
      <xdr:colOff>209550</xdr:colOff>
      <xdr:row>3</xdr:row>
      <xdr:rowOff>33567</xdr:rowOff>
    </xdr:from>
    <xdr:to>
      <xdr:col>26</xdr:col>
      <xdr:colOff>341909</xdr:colOff>
      <xdr:row>25</xdr:row>
      <xdr:rowOff>66092</xdr:rowOff>
    </xdr:to>
    <xdr:pic>
      <xdr:nvPicPr>
        <xdr:cNvPr id="4" name="Picture 3">
          <a:extLst>
            <a:ext uri="{FF2B5EF4-FFF2-40B4-BE49-F238E27FC236}">
              <a16:creationId xmlns:a16="http://schemas.microsoft.com/office/drawing/2014/main" id="{FB79D9C7-DA5A-5D76-3502-5CC06BF2C4F4}"/>
            </a:ext>
          </a:extLst>
        </xdr:cNvPr>
        <xdr:cNvPicPr>
          <a:picLocks noChangeAspect="1"/>
        </xdr:cNvPicPr>
      </xdr:nvPicPr>
      <xdr:blipFill>
        <a:blip xmlns:r="http://schemas.openxmlformats.org/officeDocument/2006/relationships" r:embed="rId3"/>
        <a:stretch>
          <a:fillRect/>
        </a:stretch>
      </xdr:blipFill>
      <xdr:spPr>
        <a:xfrm>
          <a:off x="11382375" y="462192"/>
          <a:ext cx="5618759" cy="330912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3</xdr:col>
      <xdr:colOff>0</xdr:colOff>
      <xdr:row>5</xdr:row>
      <xdr:rowOff>171449</xdr:rowOff>
    </xdr:from>
    <xdr:to>
      <xdr:col>3</xdr:col>
      <xdr:colOff>0</xdr:colOff>
      <xdr:row>53</xdr:row>
      <xdr:rowOff>0</xdr:rowOff>
    </xdr:to>
    <xdr:cxnSp macro="">
      <xdr:nvCxnSpPr>
        <xdr:cNvPr id="4" name="Straight Connector 3">
          <a:extLst>
            <a:ext uri="{FF2B5EF4-FFF2-40B4-BE49-F238E27FC236}">
              <a16:creationId xmlns:a16="http://schemas.microsoft.com/office/drawing/2014/main" id="{BEF5CC96-9F77-2812-5851-0D03138406DA}"/>
            </a:ext>
          </a:extLst>
        </xdr:cNvPr>
        <xdr:cNvCxnSpPr/>
      </xdr:nvCxnSpPr>
      <xdr:spPr>
        <a:xfrm>
          <a:off x="1343025" y="885824"/>
          <a:ext cx="0" cy="18288000"/>
        </a:xfrm>
        <a:prstGeom prst="line">
          <a:avLst/>
        </a:prstGeom>
        <a:ln>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xdr:row>
      <xdr:rowOff>171449</xdr:rowOff>
    </xdr:from>
    <xdr:to>
      <xdr:col>13</xdr:col>
      <xdr:colOff>0</xdr:colOff>
      <xdr:row>53</xdr:row>
      <xdr:rowOff>0</xdr:rowOff>
    </xdr:to>
    <xdr:cxnSp macro="">
      <xdr:nvCxnSpPr>
        <xdr:cNvPr id="8" name="Straight Connector 7">
          <a:extLst>
            <a:ext uri="{FF2B5EF4-FFF2-40B4-BE49-F238E27FC236}">
              <a16:creationId xmlns:a16="http://schemas.microsoft.com/office/drawing/2014/main" id="{286541D2-D93E-4319-B7A3-0F5248E19314}"/>
            </a:ext>
          </a:extLst>
        </xdr:cNvPr>
        <xdr:cNvCxnSpPr/>
      </xdr:nvCxnSpPr>
      <xdr:spPr>
        <a:xfrm>
          <a:off x="7153275" y="885824"/>
          <a:ext cx="0" cy="18288000"/>
        </a:xfrm>
        <a:prstGeom prst="line">
          <a:avLst/>
        </a:prstGeom>
        <a:ln>
          <a:solidFill>
            <a:schemeClr val="tx1">
              <a:lumMod val="75000"/>
              <a:lumOff val="25000"/>
            </a:schemeClr>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xdr:row>
      <xdr:rowOff>19049</xdr:rowOff>
    </xdr:from>
    <xdr:to>
      <xdr:col>9</xdr:col>
      <xdr:colOff>0</xdr:colOff>
      <xdr:row>53</xdr:row>
      <xdr:rowOff>0</xdr:rowOff>
    </xdr:to>
    <xdr:cxnSp macro="">
      <xdr:nvCxnSpPr>
        <xdr:cNvPr id="9" name="Straight Connector 8">
          <a:extLst>
            <a:ext uri="{FF2B5EF4-FFF2-40B4-BE49-F238E27FC236}">
              <a16:creationId xmlns:a16="http://schemas.microsoft.com/office/drawing/2014/main" id="{395884DD-4F68-4261-80A5-DEF5AB8D64F0}"/>
            </a:ext>
          </a:extLst>
        </xdr:cNvPr>
        <xdr:cNvCxnSpPr/>
      </xdr:nvCxnSpPr>
      <xdr:spPr>
        <a:xfrm>
          <a:off x="4829175" y="904874"/>
          <a:ext cx="0" cy="18288000"/>
        </a:xfrm>
        <a:prstGeom prst="line">
          <a:avLst/>
        </a:prstGeom>
        <a:ln>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6</xdr:row>
      <xdr:rowOff>9524</xdr:rowOff>
    </xdr:from>
    <xdr:to>
      <xdr:col>19</xdr:col>
      <xdr:colOff>0</xdr:colOff>
      <xdr:row>53</xdr:row>
      <xdr:rowOff>0</xdr:rowOff>
    </xdr:to>
    <xdr:cxnSp macro="">
      <xdr:nvCxnSpPr>
        <xdr:cNvPr id="10" name="Straight Connector 9">
          <a:extLst>
            <a:ext uri="{FF2B5EF4-FFF2-40B4-BE49-F238E27FC236}">
              <a16:creationId xmlns:a16="http://schemas.microsoft.com/office/drawing/2014/main" id="{B7057F42-B6B4-45B4-8F46-035CEB24D398}"/>
            </a:ext>
          </a:extLst>
        </xdr:cNvPr>
        <xdr:cNvCxnSpPr/>
      </xdr:nvCxnSpPr>
      <xdr:spPr>
        <a:xfrm>
          <a:off x="10639425" y="895349"/>
          <a:ext cx="0" cy="18288000"/>
        </a:xfrm>
        <a:prstGeom prst="line">
          <a:avLst/>
        </a:prstGeom>
        <a:ln>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editAs="oneCell">
    <xdr:from>
      <xdr:col>14</xdr:col>
      <xdr:colOff>232425</xdr:colOff>
      <xdr:row>1</xdr:row>
      <xdr:rowOff>25262</xdr:rowOff>
    </xdr:from>
    <xdr:to>
      <xdr:col>28</xdr:col>
      <xdr:colOff>156510</xdr:colOff>
      <xdr:row>22</xdr:row>
      <xdr:rowOff>63695</xdr:rowOff>
    </xdr:to>
    <xdr:pic>
      <xdr:nvPicPr>
        <xdr:cNvPr id="2" name="Picture 1">
          <a:extLst>
            <a:ext uri="{FF2B5EF4-FFF2-40B4-BE49-F238E27FC236}">
              <a16:creationId xmlns:a16="http://schemas.microsoft.com/office/drawing/2014/main" id="{92E8FA88-B365-4700-C593-2DBD7516BBA0}"/>
            </a:ext>
          </a:extLst>
        </xdr:cNvPr>
        <xdr:cNvPicPr>
          <a:picLocks noChangeAspect="1"/>
        </xdr:cNvPicPr>
      </xdr:nvPicPr>
      <xdr:blipFill>
        <a:blip xmlns:r="http://schemas.openxmlformats.org/officeDocument/2006/relationships" r:embed="rId1"/>
        <a:stretch>
          <a:fillRect/>
        </a:stretch>
      </xdr:blipFill>
      <xdr:spPr>
        <a:xfrm>
          <a:off x="6318900" y="168137"/>
          <a:ext cx="8458485" cy="3095958"/>
        </a:xfrm>
        <a:prstGeom prst="rect">
          <a:avLst/>
        </a:prstGeom>
      </xdr:spPr>
    </xdr:pic>
    <xdr:clientData/>
  </xdr:twoCellAnchor>
  <xdr:twoCellAnchor editAs="oneCell">
    <xdr:from>
      <xdr:col>20</xdr:col>
      <xdr:colOff>487385</xdr:colOff>
      <xdr:row>49</xdr:row>
      <xdr:rowOff>0</xdr:rowOff>
    </xdr:from>
    <xdr:to>
      <xdr:col>28</xdr:col>
      <xdr:colOff>140354</xdr:colOff>
      <xdr:row>70</xdr:row>
      <xdr:rowOff>10608</xdr:rowOff>
    </xdr:to>
    <xdr:pic>
      <xdr:nvPicPr>
        <xdr:cNvPr id="3" name="Picture 2">
          <a:extLst>
            <a:ext uri="{FF2B5EF4-FFF2-40B4-BE49-F238E27FC236}">
              <a16:creationId xmlns:a16="http://schemas.microsoft.com/office/drawing/2014/main" id="{355ED2C0-B4D3-FA21-B671-AD2D7B9268ED}"/>
            </a:ext>
          </a:extLst>
        </xdr:cNvPr>
        <xdr:cNvPicPr>
          <a:picLocks noChangeAspect="1"/>
        </xdr:cNvPicPr>
      </xdr:nvPicPr>
      <xdr:blipFill>
        <a:blip xmlns:r="http://schemas.openxmlformats.org/officeDocument/2006/relationships" r:embed="rId2"/>
        <a:stretch>
          <a:fillRect/>
        </a:stretch>
      </xdr:blipFill>
      <xdr:spPr>
        <a:xfrm>
          <a:off x="10231460" y="3442440"/>
          <a:ext cx="4529769" cy="3039558"/>
        </a:xfrm>
        <a:prstGeom prst="rect">
          <a:avLst/>
        </a:prstGeom>
      </xdr:spPr>
    </xdr:pic>
    <xdr:clientData/>
  </xdr:twoCellAnchor>
  <xdr:twoCellAnchor editAs="oneCell">
    <xdr:from>
      <xdr:col>14</xdr:col>
      <xdr:colOff>215032</xdr:colOff>
      <xdr:row>49</xdr:row>
      <xdr:rowOff>0</xdr:rowOff>
    </xdr:from>
    <xdr:to>
      <xdr:col>20</xdr:col>
      <xdr:colOff>234899</xdr:colOff>
      <xdr:row>70</xdr:row>
      <xdr:rowOff>14218</xdr:rowOff>
    </xdr:to>
    <xdr:pic>
      <xdr:nvPicPr>
        <xdr:cNvPr id="4" name="Picture 3">
          <a:extLst>
            <a:ext uri="{FF2B5EF4-FFF2-40B4-BE49-F238E27FC236}">
              <a16:creationId xmlns:a16="http://schemas.microsoft.com/office/drawing/2014/main" id="{EB04B3D8-5B41-2B18-DA64-3D983519D546}"/>
            </a:ext>
          </a:extLst>
        </xdr:cNvPr>
        <xdr:cNvPicPr>
          <a:picLocks noChangeAspect="1"/>
        </xdr:cNvPicPr>
      </xdr:nvPicPr>
      <xdr:blipFill>
        <a:blip xmlns:r="http://schemas.openxmlformats.org/officeDocument/2006/relationships" r:embed="rId3"/>
        <a:stretch>
          <a:fillRect/>
        </a:stretch>
      </xdr:blipFill>
      <xdr:spPr>
        <a:xfrm>
          <a:off x="8739907" y="3743325"/>
          <a:ext cx="3677467" cy="3043168"/>
        </a:xfrm>
        <a:prstGeom prst="rect">
          <a:avLst/>
        </a:prstGeom>
      </xdr:spPr>
    </xdr:pic>
    <xdr:clientData/>
  </xdr:twoCellAnchor>
  <xdr:twoCellAnchor editAs="oneCell">
    <xdr:from>
      <xdr:col>14</xdr:col>
      <xdr:colOff>298882</xdr:colOff>
      <xdr:row>68</xdr:row>
      <xdr:rowOff>123825</xdr:rowOff>
    </xdr:from>
    <xdr:to>
      <xdr:col>21</xdr:col>
      <xdr:colOff>12955</xdr:colOff>
      <xdr:row>91</xdr:row>
      <xdr:rowOff>50745</xdr:rowOff>
    </xdr:to>
    <xdr:pic>
      <xdr:nvPicPr>
        <xdr:cNvPr id="5" name="Picture 4">
          <a:extLst>
            <a:ext uri="{FF2B5EF4-FFF2-40B4-BE49-F238E27FC236}">
              <a16:creationId xmlns:a16="http://schemas.microsoft.com/office/drawing/2014/main" id="{AF753E7C-442B-A550-D39E-37DB82703DBE}"/>
            </a:ext>
          </a:extLst>
        </xdr:cNvPr>
        <xdr:cNvPicPr>
          <a:picLocks noChangeAspect="1"/>
        </xdr:cNvPicPr>
      </xdr:nvPicPr>
      <xdr:blipFill>
        <a:blip xmlns:r="http://schemas.openxmlformats.org/officeDocument/2006/relationships" r:embed="rId4"/>
        <a:stretch>
          <a:fillRect/>
        </a:stretch>
      </xdr:blipFill>
      <xdr:spPr>
        <a:xfrm>
          <a:off x="7604557" y="6810375"/>
          <a:ext cx="3981273" cy="3298770"/>
        </a:xfrm>
        <a:prstGeom prst="rect">
          <a:avLst/>
        </a:prstGeom>
      </xdr:spPr>
    </xdr:pic>
    <xdr:clientData/>
  </xdr:twoCellAnchor>
  <xdr:twoCellAnchor editAs="oneCell">
    <xdr:from>
      <xdr:col>21</xdr:col>
      <xdr:colOff>152400</xdr:colOff>
      <xdr:row>68</xdr:row>
      <xdr:rowOff>57150</xdr:rowOff>
    </xdr:from>
    <xdr:to>
      <xdr:col>28</xdr:col>
      <xdr:colOff>104248</xdr:colOff>
      <xdr:row>88</xdr:row>
      <xdr:rowOff>132973</xdr:rowOff>
    </xdr:to>
    <xdr:pic>
      <xdr:nvPicPr>
        <xdr:cNvPr id="6" name="Picture 5">
          <a:extLst>
            <a:ext uri="{FF2B5EF4-FFF2-40B4-BE49-F238E27FC236}">
              <a16:creationId xmlns:a16="http://schemas.microsoft.com/office/drawing/2014/main" id="{53313DFB-31C6-7D4A-2280-F6BA88D39A29}"/>
            </a:ext>
          </a:extLst>
        </xdr:cNvPr>
        <xdr:cNvPicPr>
          <a:picLocks noChangeAspect="1"/>
        </xdr:cNvPicPr>
      </xdr:nvPicPr>
      <xdr:blipFill>
        <a:blip xmlns:r="http://schemas.openxmlformats.org/officeDocument/2006/relationships" r:embed="rId5"/>
        <a:stretch>
          <a:fillRect/>
        </a:stretch>
      </xdr:blipFill>
      <xdr:spPr>
        <a:xfrm>
          <a:off x="11725275" y="6743700"/>
          <a:ext cx="4219048" cy="3019048"/>
        </a:xfrm>
        <a:prstGeom prst="rect">
          <a:avLst/>
        </a:prstGeom>
      </xdr:spPr>
    </xdr:pic>
    <xdr:clientData/>
  </xdr:twoCellAnchor>
  <xdr:twoCellAnchor editAs="oneCell">
    <xdr:from>
      <xdr:col>14</xdr:col>
      <xdr:colOff>323851</xdr:colOff>
      <xdr:row>129</xdr:row>
      <xdr:rowOff>95250</xdr:rowOff>
    </xdr:from>
    <xdr:to>
      <xdr:col>20</xdr:col>
      <xdr:colOff>129127</xdr:colOff>
      <xdr:row>152</xdr:row>
      <xdr:rowOff>75732</xdr:rowOff>
    </xdr:to>
    <xdr:pic>
      <xdr:nvPicPr>
        <xdr:cNvPr id="7" name="Picture 6">
          <a:extLst>
            <a:ext uri="{FF2B5EF4-FFF2-40B4-BE49-F238E27FC236}">
              <a16:creationId xmlns:a16="http://schemas.microsoft.com/office/drawing/2014/main" id="{AAC00C99-6689-DDDE-99FC-BEEA3AAB421A}"/>
            </a:ext>
          </a:extLst>
        </xdr:cNvPr>
        <xdr:cNvPicPr>
          <a:picLocks noChangeAspect="1"/>
        </xdr:cNvPicPr>
      </xdr:nvPicPr>
      <xdr:blipFill>
        <a:blip xmlns:r="http://schemas.openxmlformats.org/officeDocument/2006/relationships" r:embed="rId6"/>
        <a:stretch>
          <a:fillRect/>
        </a:stretch>
      </xdr:blipFill>
      <xdr:spPr>
        <a:xfrm>
          <a:off x="8420101" y="18440400"/>
          <a:ext cx="3462876" cy="3295182"/>
        </a:xfrm>
        <a:prstGeom prst="rect">
          <a:avLst/>
        </a:prstGeom>
      </xdr:spPr>
    </xdr:pic>
    <xdr:clientData/>
  </xdr:twoCellAnchor>
  <xdr:twoCellAnchor editAs="oneCell">
    <xdr:from>
      <xdr:col>14</xdr:col>
      <xdr:colOff>380870</xdr:colOff>
      <xdr:row>104</xdr:row>
      <xdr:rowOff>85725</xdr:rowOff>
    </xdr:from>
    <xdr:to>
      <xdr:col>20</xdr:col>
      <xdr:colOff>399638</xdr:colOff>
      <xdr:row>126</xdr:row>
      <xdr:rowOff>9175</xdr:rowOff>
    </xdr:to>
    <xdr:pic>
      <xdr:nvPicPr>
        <xdr:cNvPr id="8" name="Picture 7">
          <a:extLst>
            <a:ext uri="{FF2B5EF4-FFF2-40B4-BE49-F238E27FC236}">
              <a16:creationId xmlns:a16="http://schemas.microsoft.com/office/drawing/2014/main" id="{52A21AA5-E037-2261-20E2-D15990BD28A9}"/>
            </a:ext>
          </a:extLst>
        </xdr:cNvPr>
        <xdr:cNvPicPr>
          <a:picLocks noChangeAspect="1"/>
        </xdr:cNvPicPr>
      </xdr:nvPicPr>
      <xdr:blipFill>
        <a:blip xmlns:r="http://schemas.openxmlformats.org/officeDocument/2006/relationships" r:embed="rId7"/>
        <a:stretch>
          <a:fillRect/>
        </a:stretch>
      </xdr:blipFill>
      <xdr:spPr>
        <a:xfrm>
          <a:off x="8477120" y="15087600"/>
          <a:ext cx="3676368" cy="3123850"/>
        </a:xfrm>
        <a:prstGeom prst="rect">
          <a:avLst/>
        </a:prstGeom>
      </xdr:spPr>
    </xdr:pic>
    <xdr:clientData/>
  </xdr:twoCellAnchor>
  <xdr:twoCellAnchor editAs="oneCell">
    <xdr:from>
      <xdr:col>14</xdr:col>
      <xdr:colOff>269596</xdr:colOff>
      <xdr:row>157</xdr:row>
      <xdr:rowOff>66675</xdr:rowOff>
    </xdr:from>
    <xdr:to>
      <xdr:col>20</xdr:col>
      <xdr:colOff>447171</xdr:colOff>
      <xdr:row>181</xdr:row>
      <xdr:rowOff>9079</xdr:rowOff>
    </xdr:to>
    <xdr:pic>
      <xdr:nvPicPr>
        <xdr:cNvPr id="9" name="Picture 8">
          <a:extLst>
            <a:ext uri="{FF2B5EF4-FFF2-40B4-BE49-F238E27FC236}">
              <a16:creationId xmlns:a16="http://schemas.microsoft.com/office/drawing/2014/main" id="{7A5FFFC5-5AAC-9A4B-72A0-E6B8ECBD9BBC}"/>
            </a:ext>
          </a:extLst>
        </xdr:cNvPr>
        <xdr:cNvPicPr>
          <a:picLocks noChangeAspect="1"/>
        </xdr:cNvPicPr>
      </xdr:nvPicPr>
      <xdr:blipFill>
        <a:blip xmlns:r="http://schemas.openxmlformats.org/officeDocument/2006/relationships" r:embed="rId8"/>
        <a:stretch>
          <a:fillRect/>
        </a:stretch>
      </xdr:blipFill>
      <xdr:spPr>
        <a:xfrm>
          <a:off x="8365846" y="22012275"/>
          <a:ext cx="3835175" cy="3399979"/>
        </a:xfrm>
        <a:prstGeom prst="rect">
          <a:avLst/>
        </a:prstGeom>
      </xdr:spPr>
    </xdr:pic>
    <xdr:clientData/>
  </xdr:twoCellAnchor>
  <xdr:twoCellAnchor editAs="oneCell">
    <xdr:from>
      <xdr:col>14</xdr:col>
      <xdr:colOff>288548</xdr:colOff>
      <xdr:row>255</xdr:row>
      <xdr:rowOff>138409</xdr:rowOff>
    </xdr:from>
    <xdr:to>
      <xdr:col>22</xdr:col>
      <xdr:colOff>263095</xdr:colOff>
      <xdr:row>281</xdr:row>
      <xdr:rowOff>80058</xdr:rowOff>
    </xdr:to>
    <xdr:pic>
      <xdr:nvPicPr>
        <xdr:cNvPr id="10" name="Picture 9">
          <a:extLst>
            <a:ext uri="{FF2B5EF4-FFF2-40B4-BE49-F238E27FC236}">
              <a16:creationId xmlns:a16="http://schemas.microsoft.com/office/drawing/2014/main" id="{D5E76074-5163-A3FA-0F7D-F6CB44D49830}"/>
            </a:ext>
          </a:extLst>
        </xdr:cNvPr>
        <xdr:cNvPicPr>
          <a:picLocks noChangeAspect="1"/>
        </xdr:cNvPicPr>
      </xdr:nvPicPr>
      <xdr:blipFill>
        <a:blip xmlns:r="http://schemas.openxmlformats.org/officeDocument/2006/relationships" r:embed="rId9"/>
        <a:stretch>
          <a:fillRect/>
        </a:stretch>
      </xdr:blipFill>
      <xdr:spPr>
        <a:xfrm>
          <a:off x="8384798" y="29084884"/>
          <a:ext cx="4851347" cy="3656399"/>
        </a:xfrm>
        <a:prstGeom prst="rect">
          <a:avLst/>
        </a:prstGeom>
      </xdr:spPr>
    </xdr:pic>
    <xdr:clientData/>
  </xdr:twoCellAnchor>
  <xdr:twoCellAnchor editAs="oneCell">
    <xdr:from>
      <xdr:col>14</xdr:col>
      <xdr:colOff>285750</xdr:colOff>
      <xdr:row>231</xdr:row>
      <xdr:rowOff>0</xdr:rowOff>
    </xdr:from>
    <xdr:to>
      <xdr:col>21</xdr:col>
      <xdr:colOff>170931</xdr:colOff>
      <xdr:row>255</xdr:row>
      <xdr:rowOff>66238</xdr:rowOff>
    </xdr:to>
    <xdr:pic>
      <xdr:nvPicPr>
        <xdr:cNvPr id="11" name="Picture 10">
          <a:extLst>
            <a:ext uri="{FF2B5EF4-FFF2-40B4-BE49-F238E27FC236}">
              <a16:creationId xmlns:a16="http://schemas.microsoft.com/office/drawing/2014/main" id="{1E02BFA8-A034-3F9C-96EC-0B5E992C4164}"/>
            </a:ext>
          </a:extLst>
        </xdr:cNvPr>
        <xdr:cNvPicPr>
          <a:picLocks noChangeAspect="1"/>
        </xdr:cNvPicPr>
      </xdr:nvPicPr>
      <xdr:blipFill>
        <a:blip xmlns:r="http://schemas.openxmlformats.org/officeDocument/2006/relationships" r:embed="rId10"/>
        <a:stretch>
          <a:fillRect/>
        </a:stretch>
      </xdr:blipFill>
      <xdr:spPr>
        <a:xfrm>
          <a:off x="8382000" y="25498425"/>
          <a:ext cx="4152381" cy="3495238"/>
        </a:xfrm>
        <a:prstGeom prst="rect">
          <a:avLst/>
        </a:prstGeom>
      </xdr:spPr>
    </xdr:pic>
    <xdr:clientData/>
  </xdr:twoCellAnchor>
  <xdr:twoCellAnchor>
    <xdr:from>
      <xdr:col>8</xdr:col>
      <xdr:colOff>0</xdr:colOff>
      <xdr:row>4</xdr:row>
      <xdr:rowOff>142874</xdr:rowOff>
    </xdr:from>
    <xdr:to>
      <xdr:col>8</xdr:col>
      <xdr:colOff>0</xdr:colOff>
      <xdr:row>380</xdr:row>
      <xdr:rowOff>28574</xdr:rowOff>
    </xdr:to>
    <xdr:cxnSp macro="">
      <xdr:nvCxnSpPr>
        <xdr:cNvPr id="13" name="Straight Connector 12">
          <a:extLst>
            <a:ext uri="{FF2B5EF4-FFF2-40B4-BE49-F238E27FC236}">
              <a16:creationId xmlns:a16="http://schemas.microsoft.com/office/drawing/2014/main" id="{96034F41-9A74-0082-8B4E-62CCFD26F7BB}"/>
            </a:ext>
          </a:extLst>
        </xdr:cNvPr>
        <xdr:cNvCxnSpPr/>
      </xdr:nvCxnSpPr>
      <xdr:spPr>
        <a:xfrm>
          <a:off x="4867275" y="714374"/>
          <a:ext cx="0" cy="45720000"/>
        </a:xfrm>
        <a:prstGeom prst="line">
          <a:avLst/>
        </a:prstGeom>
        <a:ln>
          <a:solidFill>
            <a:schemeClr val="bg1">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17</xdr:col>
      <xdr:colOff>0</xdr:colOff>
      <xdr:row>15</xdr:row>
      <xdr:rowOff>0</xdr:rowOff>
    </xdr:from>
    <xdr:to>
      <xdr:col>29</xdr:col>
      <xdr:colOff>494324</xdr:colOff>
      <xdr:row>49</xdr:row>
      <xdr:rowOff>104130</xdr:rowOff>
    </xdr:to>
    <xdr:pic>
      <xdr:nvPicPr>
        <xdr:cNvPr id="3" name="Picture 2">
          <a:extLst>
            <a:ext uri="{FF2B5EF4-FFF2-40B4-BE49-F238E27FC236}">
              <a16:creationId xmlns:a16="http://schemas.microsoft.com/office/drawing/2014/main" id="{49EFB90F-A8D8-AC43-1A7B-E1DC0E9394AC}"/>
            </a:ext>
          </a:extLst>
        </xdr:cNvPr>
        <xdr:cNvPicPr>
          <a:picLocks noChangeAspect="1"/>
        </xdr:cNvPicPr>
      </xdr:nvPicPr>
      <xdr:blipFill>
        <a:blip xmlns:r="http://schemas.openxmlformats.org/officeDocument/2006/relationships" r:embed="rId1"/>
        <a:stretch>
          <a:fillRect/>
        </a:stretch>
      </xdr:blipFill>
      <xdr:spPr>
        <a:xfrm>
          <a:off x="18126075" y="2200275"/>
          <a:ext cx="7809524" cy="516190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15</xdr:col>
      <xdr:colOff>0</xdr:colOff>
      <xdr:row>8</xdr:row>
      <xdr:rowOff>161924</xdr:rowOff>
    </xdr:from>
    <xdr:to>
      <xdr:col>15</xdr:col>
      <xdr:colOff>0</xdr:colOff>
      <xdr:row>23</xdr:row>
      <xdr:rowOff>0</xdr:rowOff>
    </xdr:to>
    <xdr:cxnSp macro="">
      <xdr:nvCxnSpPr>
        <xdr:cNvPr id="2" name="Straight Connector 1">
          <a:extLst>
            <a:ext uri="{FF2B5EF4-FFF2-40B4-BE49-F238E27FC236}">
              <a16:creationId xmlns:a16="http://schemas.microsoft.com/office/drawing/2014/main" id="{4357A9F8-5F01-4806-A819-4AB070A18117}"/>
            </a:ext>
          </a:extLst>
        </xdr:cNvPr>
        <xdr:cNvCxnSpPr/>
      </xdr:nvCxnSpPr>
      <xdr:spPr>
        <a:xfrm>
          <a:off x="8220075" y="1304924"/>
          <a:ext cx="0" cy="503872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161924</xdr:rowOff>
    </xdr:from>
    <xdr:to>
      <xdr:col>11</xdr:col>
      <xdr:colOff>0</xdr:colOff>
      <xdr:row>23</xdr:row>
      <xdr:rowOff>0</xdr:rowOff>
    </xdr:to>
    <xdr:cxnSp macro="">
      <xdr:nvCxnSpPr>
        <xdr:cNvPr id="3" name="Straight Connector 2">
          <a:extLst>
            <a:ext uri="{FF2B5EF4-FFF2-40B4-BE49-F238E27FC236}">
              <a16:creationId xmlns:a16="http://schemas.microsoft.com/office/drawing/2014/main" id="{CBE87F79-CC66-4AF2-83FB-0FC7FDA47024}"/>
            </a:ext>
          </a:extLst>
        </xdr:cNvPr>
        <xdr:cNvCxnSpPr/>
      </xdr:nvCxnSpPr>
      <xdr:spPr>
        <a:xfrm>
          <a:off x="6086475" y="1304924"/>
          <a:ext cx="0" cy="503872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xdr:row>
      <xdr:rowOff>161924</xdr:rowOff>
    </xdr:from>
    <xdr:to>
      <xdr:col>7</xdr:col>
      <xdr:colOff>0</xdr:colOff>
      <xdr:row>23</xdr:row>
      <xdr:rowOff>0</xdr:rowOff>
    </xdr:to>
    <xdr:cxnSp macro="">
      <xdr:nvCxnSpPr>
        <xdr:cNvPr id="4" name="Straight Connector 3">
          <a:extLst>
            <a:ext uri="{FF2B5EF4-FFF2-40B4-BE49-F238E27FC236}">
              <a16:creationId xmlns:a16="http://schemas.microsoft.com/office/drawing/2014/main" id="{4F9093E7-201C-4C41-928B-D9AE231A70CF}"/>
            </a:ext>
          </a:extLst>
        </xdr:cNvPr>
        <xdr:cNvCxnSpPr/>
      </xdr:nvCxnSpPr>
      <xdr:spPr>
        <a:xfrm>
          <a:off x="3952875" y="1304924"/>
          <a:ext cx="0" cy="503872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0</xdr:colOff>
      <xdr:row>8</xdr:row>
      <xdr:rowOff>171449</xdr:rowOff>
    </xdr:from>
    <xdr:to>
      <xdr:col>50</xdr:col>
      <xdr:colOff>0</xdr:colOff>
      <xdr:row>23</xdr:row>
      <xdr:rowOff>0</xdr:rowOff>
    </xdr:to>
    <xdr:cxnSp macro="">
      <xdr:nvCxnSpPr>
        <xdr:cNvPr id="6" name="Straight Connector 5">
          <a:extLst>
            <a:ext uri="{FF2B5EF4-FFF2-40B4-BE49-F238E27FC236}">
              <a16:creationId xmlns:a16="http://schemas.microsoft.com/office/drawing/2014/main" id="{872E16FA-D9E1-44A6-A404-3B06A977C719}"/>
            </a:ext>
          </a:extLst>
        </xdr:cNvPr>
        <xdr:cNvCxnSpPr/>
      </xdr:nvCxnSpPr>
      <xdr:spPr>
        <a:xfrm>
          <a:off x="16402050" y="1314449"/>
          <a:ext cx="0" cy="5029201"/>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8</xdr:row>
      <xdr:rowOff>171449</xdr:rowOff>
    </xdr:from>
    <xdr:to>
      <xdr:col>55</xdr:col>
      <xdr:colOff>0</xdr:colOff>
      <xdr:row>23</xdr:row>
      <xdr:rowOff>0</xdr:rowOff>
    </xdr:to>
    <xdr:cxnSp macro="">
      <xdr:nvCxnSpPr>
        <xdr:cNvPr id="7" name="Straight Connector 6">
          <a:extLst>
            <a:ext uri="{FF2B5EF4-FFF2-40B4-BE49-F238E27FC236}">
              <a16:creationId xmlns:a16="http://schemas.microsoft.com/office/drawing/2014/main" id="{6B97491C-AF35-45A3-9A32-6B116FFE4152}"/>
            </a:ext>
          </a:extLst>
        </xdr:cNvPr>
        <xdr:cNvCxnSpPr/>
      </xdr:nvCxnSpPr>
      <xdr:spPr>
        <a:xfrm>
          <a:off x="19069050" y="1314449"/>
          <a:ext cx="0" cy="5029201"/>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0</xdr:colOff>
      <xdr:row>8</xdr:row>
      <xdr:rowOff>161924</xdr:rowOff>
    </xdr:from>
    <xdr:to>
      <xdr:col>23</xdr:col>
      <xdr:colOff>0</xdr:colOff>
      <xdr:row>23</xdr:row>
      <xdr:rowOff>0</xdr:rowOff>
    </xdr:to>
    <xdr:cxnSp macro="">
      <xdr:nvCxnSpPr>
        <xdr:cNvPr id="8" name="Straight Connector 7">
          <a:extLst>
            <a:ext uri="{FF2B5EF4-FFF2-40B4-BE49-F238E27FC236}">
              <a16:creationId xmlns:a16="http://schemas.microsoft.com/office/drawing/2014/main" id="{FBE95ED3-879A-47B4-90FE-E2328C10921D}"/>
            </a:ext>
          </a:extLst>
        </xdr:cNvPr>
        <xdr:cNvCxnSpPr/>
      </xdr:nvCxnSpPr>
      <xdr:spPr>
        <a:xfrm>
          <a:off x="12487275" y="1304924"/>
          <a:ext cx="0" cy="503872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8</xdr:row>
      <xdr:rowOff>161924</xdr:rowOff>
    </xdr:from>
    <xdr:to>
      <xdr:col>19</xdr:col>
      <xdr:colOff>0</xdr:colOff>
      <xdr:row>23</xdr:row>
      <xdr:rowOff>0</xdr:rowOff>
    </xdr:to>
    <xdr:cxnSp macro="">
      <xdr:nvCxnSpPr>
        <xdr:cNvPr id="9" name="Straight Connector 8">
          <a:extLst>
            <a:ext uri="{FF2B5EF4-FFF2-40B4-BE49-F238E27FC236}">
              <a16:creationId xmlns:a16="http://schemas.microsoft.com/office/drawing/2014/main" id="{4B3E6DAB-AD9A-429F-8B01-7B5B45594078}"/>
            </a:ext>
          </a:extLst>
        </xdr:cNvPr>
        <xdr:cNvCxnSpPr/>
      </xdr:nvCxnSpPr>
      <xdr:spPr>
        <a:xfrm>
          <a:off x="10353675" y="1304924"/>
          <a:ext cx="0" cy="503872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9</xdr:row>
      <xdr:rowOff>0</xdr:rowOff>
    </xdr:from>
    <xdr:to>
      <xdr:col>22</xdr:col>
      <xdr:colOff>0</xdr:colOff>
      <xdr:row>23</xdr:row>
      <xdr:rowOff>9526</xdr:rowOff>
    </xdr:to>
    <xdr:cxnSp macro="">
      <xdr:nvCxnSpPr>
        <xdr:cNvPr id="10" name="Straight Connector 9">
          <a:extLst>
            <a:ext uri="{FF2B5EF4-FFF2-40B4-BE49-F238E27FC236}">
              <a16:creationId xmlns:a16="http://schemas.microsoft.com/office/drawing/2014/main" id="{8F928150-D871-4056-9A6C-787F879E8C59}"/>
            </a:ext>
          </a:extLst>
        </xdr:cNvPr>
        <xdr:cNvCxnSpPr/>
      </xdr:nvCxnSpPr>
      <xdr:spPr>
        <a:xfrm>
          <a:off x="11953875" y="1314450"/>
          <a:ext cx="0" cy="2038351"/>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sters/Industry%20dynamics%20(All)/3%20-%20Mobile%20media/backups/mobile%20backup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chnology/SFPG/John%20Loof/pandora/roadshow/1.10.09/Management%20presentation%20v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mc/LINKY.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bile data apps"/>
      <sheetName val="Converged devices"/>
      <sheetName val="Mobile search &amp; ads"/>
      <sheetName val="Mobile messaging"/>
      <sheetName val="Mobile Music"/>
      <sheetName val="Mobile gaming"/>
      <sheetName val="Mobile TV &amp; Video"/>
      <sheetName val="Mobile LBS"/>
      <sheetName val="Mobile SNS"/>
      <sheetName val="Mobile enterprise"/>
      <sheetName val="Voice 2 text"/>
      <sheetName val="Mobile payments"/>
      <sheetName val="iPhone &amp; Android"/>
      <sheetName val="Device mfr share"/>
      <sheetName val="Operator share"/>
      <sheetName val="16"/>
      <sheetName val="17"/>
      <sheetName val="18"/>
      <sheetName val="19"/>
      <sheetName val="20"/>
      <sheetName val="Shareholdings Input"/>
      <sheetName val="Checks"/>
      <sheetName val="Inputs"/>
      <sheetName val="Balance Sheet Inputs"/>
      <sheetName val="Income Statement Summary"/>
      <sheetName val="Options Input"/>
      <sheetName val="Interloper"/>
      <sheetName val="Stock Prices Input"/>
    </sheetNames>
    <sheetDataSet>
      <sheetData sheetId="0">
        <row r="1">
          <cell r="A1" t="str">
            <v>Frost &amp; Sullivan</v>
          </cell>
        </row>
        <row r="2">
          <cell r="A2" t="str">
            <v>World Smart &amp; Feature Phone Markets</v>
          </cell>
        </row>
        <row r="3">
          <cell r="A3" t="str">
            <v>8/1/2008, Pg. 54</v>
          </cell>
        </row>
        <row r="5">
          <cell r="B5">
            <v>2007</v>
          </cell>
          <cell r="C5">
            <v>2008</v>
          </cell>
          <cell r="D5">
            <v>2009</v>
          </cell>
          <cell r="E5">
            <v>2010</v>
          </cell>
          <cell r="F5">
            <v>2011</v>
          </cell>
          <cell r="G5">
            <v>2012</v>
          </cell>
        </row>
        <row r="6">
          <cell r="A6" t="str">
            <v>Mobile subscribers</v>
          </cell>
          <cell r="B6">
            <v>3</v>
          </cell>
          <cell r="C6">
            <v>3.5</v>
          </cell>
          <cell r="D6">
            <v>4</v>
          </cell>
          <cell r="E6">
            <v>4.4000000000000004</v>
          </cell>
          <cell r="F6">
            <v>4.7</v>
          </cell>
          <cell r="G6">
            <v>5</v>
          </cell>
          <cell r="H6">
            <v>0.10756634324829006</v>
          </cell>
        </row>
        <row r="7">
          <cell r="A7" t="str">
            <v>Mobile penetration</v>
          </cell>
          <cell r="B7">
            <v>0.45112781954887216</v>
          </cell>
          <cell r="C7">
            <v>0.52083333333333337</v>
          </cell>
          <cell r="D7">
            <v>0.5891016200294551</v>
          </cell>
          <cell r="E7">
            <v>0.64046579330422126</v>
          </cell>
          <cell r="F7">
            <v>0.67625899280575541</v>
          </cell>
          <cell r="G7">
            <v>0.71123755334281646</v>
          </cell>
        </row>
        <row r="9">
          <cell r="A9" t="str">
            <v>World population</v>
          </cell>
          <cell r="B9">
            <v>6.65</v>
          </cell>
          <cell r="C9">
            <v>6.72</v>
          </cell>
          <cell r="D9">
            <v>6.79</v>
          </cell>
          <cell r="E9">
            <v>6.87</v>
          </cell>
          <cell r="F9">
            <v>6.95</v>
          </cell>
          <cell r="G9">
            <v>7.03</v>
          </cell>
        </row>
        <row r="25">
          <cell r="A25" t="str">
            <v>IDC, U.S. Consumer Mobile Subscriber, Revenue, and ARPU 2008–2012 Forecast: Mobile Services in Transition</v>
          </cell>
        </row>
        <row r="26">
          <cell r="A26" t="str">
            <v>March 2008</v>
          </cell>
        </row>
        <row r="27">
          <cell r="A27" t="str">
            <v>Forecast tab, Table 2</v>
          </cell>
        </row>
        <row r="29">
          <cell r="B29">
            <v>2007</v>
          </cell>
          <cell r="C29">
            <v>2008</v>
          </cell>
          <cell r="D29">
            <v>2009</v>
          </cell>
          <cell r="E29">
            <v>2010</v>
          </cell>
          <cell r="F29">
            <v>2011</v>
          </cell>
          <cell r="G29">
            <v>2012</v>
          </cell>
        </row>
        <row r="30">
          <cell r="A30" t="str">
            <v>Mobile subscribers</v>
          </cell>
          <cell r="B30">
            <v>256.2</v>
          </cell>
          <cell r="C30">
            <v>274</v>
          </cell>
          <cell r="D30">
            <v>288.89999999999998</v>
          </cell>
          <cell r="E30">
            <v>302.10000000000002</v>
          </cell>
          <cell r="F30">
            <v>312.2</v>
          </cell>
          <cell r="G30">
            <v>321.7</v>
          </cell>
          <cell r="H30">
            <v>4.6584713472560102E-2</v>
          </cell>
        </row>
        <row r="31">
          <cell r="A31" t="str">
            <v>Mobile penetration</v>
          </cell>
          <cell r="B31">
            <v>0.84304047384007896</v>
          </cell>
          <cell r="C31">
            <v>0.89279895731508641</v>
          </cell>
          <cell r="D31">
            <v>0.93223620522749273</v>
          </cell>
          <cell r="E31">
            <v>0.96517571884984033</v>
          </cell>
          <cell r="F31">
            <v>0.98766213223663391</v>
          </cell>
          <cell r="G31">
            <v>1.0078320802005012</v>
          </cell>
        </row>
        <row r="33">
          <cell r="A33" t="str">
            <v>World population</v>
          </cell>
          <cell r="B33">
            <v>303.89999999999998</v>
          </cell>
          <cell r="C33">
            <v>306.89999999999998</v>
          </cell>
          <cell r="D33">
            <v>309.89999999999998</v>
          </cell>
          <cell r="E33">
            <v>313</v>
          </cell>
          <cell r="F33">
            <v>316.10000000000002</v>
          </cell>
          <cell r="G33">
            <v>319.2</v>
          </cell>
        </row>
        <row r="48">
          <cell r="A48" t="str">
            <v>Gartner</v>
          </cell>
        </row>
        <row r="49">
          <cell r="A49" t="str">
            <v>Forecast: Mobile Services, Worldwide, 2003-2012</v>
          </cell>
        </row>
        <row r="50">
          <cell r="A50" t="str">
            <v>July 2008, Table 1-13</v>
          </cell>
        </row>
        <row r="52">
          <cell r="A52" t="str">
            <v>ARPU</v>
          </cell>
        </row>
        <row r="53">
          <cell r="B53">
            <v>2007</v>
          </cell>
          <cell r="C53">
            <v>2008</v>
          </cell>
          <cell r="D53">
            <v>2009</v>
          </cell>
          <cell r="E53">
            <v>2010</v>
          </cell>
          <cell r="F53">
            <v>2011</v>
          </cell>
          <cell r="G53">
            <v>2012</v>
          </cell>
          <cell r="H53" t="str">
            <v>CAGR</v>
          </cell>
        </row>
        <row r="54">
          <cell r="A54" t="str">
            <v>Voice</v>
          </cell>
          <cell r="B54">
            <v>17.615898069617696</v>
          </cell>
          <cell r="C54">
            <v>15.921146111966745</v>
          </cell>
          <cell r="D54">
            <v>14.446581496454426</v>
          </cell>
          <cell r="E54">
            <v>13.400321545174164</v>
          </cell>
          <cell r="F54">
            <v>12.602384405934075</v>
          </cell>
          <cell r="G54">
            <v>11.914341240947955</v>
          </cell>
          <cell r="H54">
            <v>-7.523145516740648E-2</v>
          </cell>
        </row>
        <row r="55">
          <cell r="A55" t="str">
            <v>Data</v>
          </cell>
          <cell r="B55">
            <v>3.8507685970489707</v>
          </cell>
          <cell r="C55">
            <v>4.1955205546999217</v>
          </cell>
          <cell r="D55">
            <v>4.4700851702122426</v>
          </cell>
          <cell r="E55">
            <v>4.7496784548258351</v>
          </cell>
          <cell r="F55">
            <v>5.0809489273992599</v>
          </cell>
          <cell r="G55">
            <v>5.4273254257187107</v>
          </cell>
          <cell r="H55">
            <v>7.1044926432900279E-2</v>
          </cell>
        </row>
        <row r="56">
          <cell r="B56">
            <v>21.466666666666669</v>
          </cell>
          <cell r="C56">
            <v>20.116666666666667</v>
          </cell>
          <cell r="D56">
            <v>18.916666666666668</v>
          </cell>
          <cell r="E56">
            <v>18.149999999999999</v>
          </cell>
          <cell r="F56">
            <v>17.683333333333334</v>
          </cell>
          <cell r="G56">
            <v>17.341666666666665</v>
          </cell>
          <cell r="H56">
            <v>-4.1779971142622441E-2</v>
          </cell>
        </row>
        <row r="57">
          <cell r="A57" t="str">
            <v>Voice Revenue ($M)</v>
          </cell>
          <cell r="B57">
            <v>632280.36499999999</v>
          </cell>
          <cell r="C57">
            <v>686849.25300000003</v>
          </cell>
          <cell r="D57">
            <v>719652.37300000002</v>
          </cell>
          <cell r="E57">
            <v>745481.98</v>
          </cell>
          <cell r="F57">
            <v>763995.33</v>
          </cell>
          <cell r="G57">
            <v>773214.42299999995</v>
          </cell>
        </row>
        <row r="58">
          <cell r="A58" t="str">
            <v>Data Revenue ($M)</v>
          </cell>
          <cell r="B58">
            <v>138214.09299999999</v>
          </cell>
          <cell r="C58">
            <v>180997.658</v>
          </cell>
          <cell r="D58">
            <v>222676.02900000001</v>
          </cell>
          <cell r="E58">
            <v>264232.44300000003</v>
          </cell>
          <cell r="F58">
            <v>308022.76199999999</v>
          </cell>
          <cell r="G58">
            <v>352221.429</v>
          </cell>
        </row>
        <row r="59">
          <cell r="A59" t="str">
            <v>Voice %</v>
          </cell>
          <cell r="B59">
            <v>0.8206163697026877</v>
          </cell>
          <cell r="C59">
            <v>0.79144056894615133</v>
          </cell>
          <cell r="D59">
            <v>0.76369593813855996</v>
          </cell>
          <cell r="E59">
            <v>0.73830972700684105</v>
          </cell>
          <cell r="F59">
            <v>0.71267018318194575</v>
          </cell>
          <cell r="G59">
            <v>0.68703553527811378</v>
          </cell>
        </row>
        <row r="60">
          <cell r="A60" t="str">
            <v>Data %</v>
          </cell>
          <cell r="B60">
            <v>0.17938363029731227</v>
          </cell>
          <cell r="C60">
            <v>0.20855943105384861</v>
          </cell>
          <cell r="D60">
            <v>0.23630406186144012</v>
          </cell>
          <cell r="E60">
            <v>0.261690272993159</v>
          </cell>
          <cell r="F60">
            <v>0.28732981681805425</v>
          </cell>
          <cell r="G60">
            <v>0.31296446472188627</v>
          </cell>
        </row>
        <row r="77">
          <cell r="J77" t="str">
            <v>2007-12E CAGRs</v>
          </cell>
        </row>
        <row r="78">
          <cell r="J78" t="str">
            <v>Voice</v>
          </cell>
          <cell r="K78">
            <v>-7.523145516740648E-2</v>
          </cell>
        </row>
        <row r="79">
          <cell r="J79" t="str">
            <v>Data</v>
          </cell>
          <cell r="K79">
            <v>7.1044926432900279E-2</v>
          </cell>
        </row>
        <row r="80">
          <cell r="J80" t="str">
            <v>Total</v>
          </cell>
          <cell r="K80">
            <v>-4.1779971142622441E-2</v>
          </cell>
        </row>
        <row r="84">
          <cell r="A84" t="str">
            <v>Informa</v>
          </cell>
        </row>
        <row r="85">
          <cell r="A85" t="str">
            <v>MAPOS, 4th Edition</v>
          </cell>
        </row>
        <row r="86">
          <cell r="A86" t="str">
            <v>2008, Table 5.2 (Total)</v>
          </cell>
        </row>
        <row r="88">
          <cell r="A88" t="str">
            <v>Handset sales</v>
          </cell>
        </row>
        <row r="89">
          <cell r="B89">
            <v>2007</v>
          </cell>
          <cell r="C89">
            <v>2008</v>
          </cell>
          <cell r="D89">
            <v>2009</v>
          </cell>
          <cell r="E89">
            <v>2010</v>
          </cell>
          <cell r="F89">
            <v>2011</v>
          </cell>
          <cell r="G89">
            <v>2012</v>
          </cell>
          <cell r="H89" t="str">
            <v>CAGR</v>
          </cell>
        </row>
        <row r="90">
          <cell r="A90" t="str">
            <v>BREW</v>
          </cell>
          <cell r="B90">
            <v>99.8</v>
          </cell>
          <cell r="C90">
            <v>126.1</v>
          </cell>
          <cell r="D90">
            <v>150.1</v>
          </cell>
          <cell r="E90">
            <v>168.9</v>
          </cell>
          <cell r="F90">
            <v>186.4</v>
          </cell>
          <cell r="G90">
            <v>208</v>
          </cell>
          <cell r="H90">
            <v>0.15820799562334176</v>
          </cell>
        </row>
        <row r="91">
          <cell r="A91" t="str">
            <v>Java</v>
          </cell>
          <cell r="B91">
            <v>556.9</v>
          </cell>
          <cell r="C91">
            <v>739.8</v>
          </cell>
          <cell r="D91">
            <v>906.8</v>
          </cell>
          <cell r="E91">
            <v>1040.9000000000001</v>
          </cell>
          <cell r="F91">
            <v>1126.3</v>
          </cell>
          <cell r="G91">
            <v>1174.7</v>
          </cell>
          <cell r="H91">
            <v>0.16099393278204754</v>
          </cell>
        </row>
        <row r="92">
          <cell r="A92" t="str">
            <v>Other</v>
          </cell>
          <cell r="B92">
            <v>448.80000000000007</v>
          </cell>
          <cell r="C92">
            <v>339.6</v>
          </cell>
          <cell r="D92">
            <v>235.00000000000023</v>
          </cell>
          <cell r="E92">
            <v>146.29999999999973</v>
          </cell>
          <cell r="F92">
            <v>98.399999999999864</v>
          </cell>
          <cell r="G92">
            <v>69.599999999999909</v>
          </cell>
          <cell r="H92">
            <v>-0.31117122925979768</v>
          </cell>
        </row>
        <row r="93">
          <cell r="B93">
            <v>1105.5</v>
          </cell>
          <cell r="C93">
            <v>1205.5</v>
          </cell>
          <cell r="D93">
            <v>1291.9000000000001</v>
          </cell>
          <cell r="E93">
            <v>1356.1</v>
          </cell>
          <cell r="F93">
            <v>1411.1</v>
          </cell>
          <cell r="G93">
            <v>1452.3</v>
          </cell>
          <cell r="H93">
            <v>5.6086565746741535E-2</v>
          </cell>
        </row>
        <row r="95">
          <cell r="J95" t="str">
            <v>2007-12E CAGRs</v>
          </cell>
        </row>
        <row r="96">
          <cell r="J96" t="str">
            <v>BREW</v>
          </cell>
          <cell r="K96">
            <v>0.15820799562334176</v>
          </cell>
        </row>
        <row r="97">
          <cell r="J97" t="str">
            <v>Java</v>
          </cell>
          <cell r="K97">
            <v>0.16099393278204754</v>
          </cell>
        </row>
        <row r="98">
          <cell r="J98" t="str">
            <v>Other</v>
          </cell>
          <cell r="K98">
            <v>-0.31117122925979768</v>
          </cell>
        </row>
        <row r="99">
          <cell r="J99" t="str">
            <v>Total</v>
          </cell>
          <cell r="K99">
            <v>5.6086565746741535E-2</v>
          </cell>
        </row>
      </sheetData>
      <sheetData sheetId="1">
        <row r="1">
          <cell r="A1" t="str">
            <v>Gartner</v>
          </cell>
        </row>
        <row r="2">
          <cell r="A2" t="str">
            <v>Forecast: Mobile Devices Sales to End Users by Device Category, 2003-2012</v>
          </cell>
        </row>
        <row r="3">
          <cell r="A3" t="str">
            <v>Table 2-1</v>
          </cell>
        </row>
        <row r="4">
          <cell r="A4" t="str">
            <v>mm of units</v>
          </cell>
        </row>
        <row r="5">
          <cell r="B5">
            <v>2007</v>
          </cell>
          <cell r="C5">
            <v>2008</v>
          </cell>
          <cell r="D5">
            <v>2009</v>
          </cell>
          <cell r="E5">
            <v>2010</v>
          </cell>
          <cell r="F5">
            <v>2011</v>
          </cell>
          <cell r="G5">
            <v>2012</v>
          </cell>
        </row>
        <row r="6">
          <cell r="A6" t="str">
            <v>Basic</v>
          </cell>
          <cell r="B6">
            <v>0.31645020000000001</v>
          </cell>
          <cell r="C6">
            <v>0.37279980000000001</v>
          </cell>
          <cell r="D6">
            <v>0.40461449999999999</v>
          </cell>
          <cell r="E6">
            <v>0.4247706</v>
          </cell>
          <cell r="F6">
            <v>0.42113290000000003</v>
          </cell>
          <cell r="G6">
            <v>0.41202699999999998</v>
          </cell>
          <cell r="H6">
            <v>5.4202545001164504E-2</v>
          </cell>
        </row>
        <row r="7">
          <cell r="A7" t="str">
            <v>Enhanced</v>
          </cell>
          <cell r="B7">
            <v>0.71407030000000005</v>
          </cell>
          <cell r="C7">
            <v>0.71630190000000005</v>
          </cell>
          <cell r="D7">
            <v>0.71434310000000001</v>
          </cell>
          <cell r="E7">
            <v>0.70460690000000004</v>
          </cell>
          <cell r="F7">
            <v>0.68117950000000005</v>
          </cell>
          <cell r="G7">
            <v>0.65348190000000006</v>
          </cell>
          <cell r="H7">
            <v>-1.7577006318137745E-2</v>
          </cell>
        </row>
        <row r="8">
          <cell r="A8" t="str">
            <v>Smartphones</v>
          </cell>
          <cell r="B8">
            <v>0.12244139999999981</v>
          </cell>
          <cell r="C8">
            <v>0.18657410000000008</v>
          </cell>
          <cell r="D8">
            <v>0.28825710000000004</v>
          </cell>
          <cell r="E8">
            <v>0.41027790000000008</v>
          </cell>
          <cell r="F8">
            <v>0.56280189999999974</v>
          </cell>
          <cell r="G8">
            <v>0.73365340000000012</v>
          </cell>
          <cell r="H8">
            <v>0.43058125307141393</v>
          </cell>
        </row>
        <row r="9">
          <cell r="B9">
            <v>1.1529619</v>
          </cell>
          <cell r="C9">
            <v>1.2756758000000001</v>
          </cell>
          <cell r="D9">
            <v>1.4072146999999999</v>
          </cell>
          <cell r="E9">
            <v>1.5396554</v>
          </cell>
          <cell r="F9">
            <v>1.6651142999999999</v>
          </cell>
          <cell r="G9">
            <v>1.7991623000000001</v>
          </cell>
          <cell r="H9">
            <v>9.3077808019314645E-2</v>
          </cell>
        </row>
        <row r="11">
          <cell r="J11" t="str">
            <v>2007-12E CAGRs</v>
          </cell>
        </row>
        <row r="12">
          <cell r="J12" t="str">
            <v>Basic</v>
          </cell>
          <cell r="K12">
            <v>5.4202545001164504E-2</v>
          </cell>
        </row>
        <row r="13">
          <cell r="J13" t="str">
            <v>Enhanced</v>
          </cell>
          <cell r="K13">
            <v>-1.7577006318137745E-2</v>
          </cell>
        </row>
        <row r="14">
          <cell r="J14" t="str">
            <v>Smartphones</v>
          </cell>
          <cell r="K14">
            <v>0.43058125307141393</v>
          </cell>
        </row>
        <row r="15">
          <cell r="J15" t="str">
            <v>Total</v>
          </cell>
          <cell r="K15">
            <v>9.3077808019314645E-2</v>
          </cell>
        </row>
        <row r="32">
          <cell r="A32" t="str">
            <v>Informa</v>
          </cell>
        </row>
        <row r="33">
          <cell r="A33" t="str">
            <v>MAPOS, 4th Edition</v>
          </cell>
        </row>
        <row r="34">
          <cell r="A34" t="str">
            <v>2008, Table 5.2 (Total)</v>
          </cell>
        </row>
        <row r="35">
          <cell r="A35" t="str">
            <v>bn of units</v>
          </cell>
        </row>
        <row r="36">
          <cell r="B36">
            <v>2007</v>
          </cell>
          <cell r="C36">
            <v>2008</v>
          </cell>
          <cell r="D36">
            <v>2009</v>
          </cell>
          <cell r="E36">
            <v>2010</v>
          </cell>
          <cell r="F36">
            <v>2011</v>
          </cell>
          <cell r="G36">
            <v>2012</v>
          </cell>
          <cell r="H36">
            <v>4.9776032623549682E-4</v>
          </cell>
        </row>
        <row r="37">
          <cell r="A37" t="str">
            <v>2G</v>
          </cell>
          <cell r="B37">
            <v>0.13419999999999999</v>
          </cell>
          <cell r="C37">
            <v>7.9000000000000001E-2</v>
          </cell>
          <cell r="D37">
            <v>4.7299999999999995E-2</v>
          </cell>
          <cell r="E37">
            <v>3.0699999999999998E-2</v>
          </cell>
          <cell r="F37">
            <v>1.1900000000000001E-2</v>
          </cell>
          <cell r="G37">
            <v>6.7999999999999996E-3</v>
          </cell>
          <cell r="H37">
            <v>-0.44925409160096075</v>
          </cell>
        </row>
        <row r="38">
          <cell r="A38" t="str">
            <v>2.5G</v>
          </cell>
          <cell r="B38">
            <v>0.7288</v>
          </cell>
          <cell r="C38">
            <v>0.73580000000000001</v>
          </cell>
          <cell r="D38">
            <v>0.69170000000000009</v>
          </cell>
          <cell r="E38">
            <v>0.62909999999999999</v>
          </cell>
          <cell r="F38">
            <v>0.54849999999999999</v>
          </cell>
          <cell r="G38">
            <v>0.41760000000000003</v>
          </cell>
          <cell r="H38">
            <v>-0.10539684553828843</v>
          </cell>
        </row>
        <row r="39">
          <cell r="A39" t="str">
            <v>3G</v>
          </cell>
          <cell r="B39">
            <v>0.22259999999999999</v>
          </cell>
          <cell r="C39">
            <v>0.34499999999999997</v>
          </cell>
          <cell r="D39">
            <v>0.45380000000000004</v>
          </cell>
          <cell r="E39">
            <v>0.49539999999999995</v>
          </cell>
          <cell r="F39">
            <v>0.50280000000000002</v>
          </cell>
          <cell r="G39">
            <v>0.50819999999999999</v>
          </cell>
          <cell r="H39">
            <v>0.17951074121676669</v>
          </cell>
        </row>
        <row r="40">
          <cell r="A40" t="str">
            <v>3.5G+</v>
          </cell>
          <cell r="B40">
            <v>0.02</v>
          </cell>
          <cell r="C40">
            <v>4.58E-2</v>
          </cell>
          <cell r="D40">
            <v>9.9199999999999997E-2</v>
          </cell>
          <cell r="E40">
            <v>0.20100000000000001</v>
          </cell>
          <cell r="F40">
            <v>0.34789999999999999</v>
          </cell>
          <cell r="G40">
            <v>0.51970000000000005</v>
          </cell>
          <cell r="H40">
            <v>0.91842375838193391</v>
          </cell>
        </row>
        <row r="41">
          <cell r="B41">
            <v>1.1054999999999999</v>
          </cell>
          <cell r="C41">
            <v>1.2055</v>
          </cell>
          <cell r="D41">
            <v>1.2919</v>
          </cell>
          <cell r="E41">
            <v>1.3560999999999999</v>
          </cell>
          <cell r="F41">
            <v>1.4110999999999998</v>
          </cell>
          <cell r="G41">
            <v>1.4522999999999999</v>
          </cell>
          <cell r="H41">
            <v>5.6086565746741535E-2</v>
          </cell>
        </row>
        <row r="43">
          <cell r="J43" t="str">
            <v>2007-12E CAGRs</v>
          </cell>
        </row>
        <row r="44">
          <cell r="J44" t="str">
            <v>2G</v>
          </cell>
          <cell r="K44">
            <v>-0.44925409160096075</v>
          </cell>
        </row>
        <row r="45">
          <cell r="J45" t="str">
            <v>2.5G</v>
          </cell>
          <cell r="K45">
            <v>-0.10539684553828843</v>
          </cell>
        </row>
        <row r="46">
          <cell r="J46" t="str">
            <v>3G</v>
          </cell>
          <cell r="K46">
            <v>0.17951074121676669</v>
          </cell>
        </row>
        <row r="47">
          <cell r="J47" t="str">
            <v>3.5G+</v>
          </cell>
          <cell r="K47">
            <v>0.91842375838193391</v>
          </cell>
        </row>
        <row r="48">
          <cell r="J48" t="str">
            <v>Total</v>
          </cell>
          <cell r="K48">
            <v>5.6086565746741535E-2</v>
          </cell>
        </row>
        <row r="66">
          <cell r="A66" t="str">
            <v>Informa</v>
          </cell>
        </row>
        <row r="67">
          <cell r="A67" t="str">
            <v>MAPOS, 4th Edition</v>
          </cell>
        </row>
        <row r="68">
          <cell r="A68" t="str">
            <v>2008, Table 6.5</v>
          </cell>
        </row>
        <row r="69">
          <cell r="A69" t="str">
            <v>$US MMM</v>
          </cell>
        </row>
        <row r="70">
          <cell r="B70">
            <v>2007</v>
          </cell>
          <cell r="C70">
            <v>2008</v>
          </cell>
          <cell r="D70">
            <v>2009</v>
          </cell>
          <cell r="E70">
            <v>2010</v>
          </cell>
          <cell r="F70">
            <v>2011</v>
          </cell>
          <cell r="G70">
            <v>2012</v>
          </cell>
        </row>
        <row r="71">
          <cell r="A71" t="str">
            <v>P2P msg</v>
          </cell>
          <cell r="B71">
            <v>79501.2</v>
          </cell>
          <cell r="C71">
            <v>85621.3</v>
          </cell>
          <cell r="D71">
            <v>89515.1</v>
          </cell>
          <cell r="E71">
            <v>92350.3</v>
          </cell>
          <cell r="F71">
            <v>94785.600000000006</v>
          </cell>
          <cell r="G71">
            <v>94926.7</v>
          </cell>
        </row>
        <row r="72">
          <cell r="A72" t="str">
            <v>Entertainment</v>
          </cell>
          <cell r="B72">
            <v>17723.399999999998</v>
          </cell>
          <cell r="C72">
            <v>21143.100000000002</v>
          </cell>
          <cell r="D72">
            <v>24796.399999999998</v>
          </cell>
          <cell r="E72">
            <v>28423.000000000004</v>
          </cell>
          <cell r="F72">
            <v>31456.1</v>
          </cell>
          <cell r="G72">
            <v>34781.1</v>
          </cell>
        </row>
        <row r="73">
          <cell r="A73" t="str">
            <v>Games</v>
          </cell>
          <cell r="B73">
            <v>3229.3</v>
          </cell>
          <cell r="C73">
            <v>3985.9</v>
          </cell>
          <cell r="D73">
            <v>4794.5</v>
          </cell>
          <cell r="E73">
            <v>5599.6</v>
          </cell>
          <cell r="F73">
            <v>6398.2</v>
          </cell>
          <cell r="G73">
            <v>7205.3</v>
          </cell>
        </row>
        <row r="74">
          <cell r="A74" t="str">
            <v>Music</v>
          </cell>
          <cell r="B74">
            <v>9775.2000000000007</v>
          </cell>
          <cell r="C74">
            <v>11190.1</v>
          </cell>
          <cell r="D74">
            <v>12569</v>
          </cell>
          <cell r="E74">
            <v>13767.2</v>
          </cell>
          <cell r="F74">
            <v>14733</v>
          </cell>
          <cell r="G74">
            <v>15472.8</v>
          </cell>
        </row>
        <row r="75">
          <cell r="A75" t="str">
            <v>Video &amp; TV</v>
          </cell>
          <cell r="B75">
            <v>1861.9</v>
          </cell>
          <cell r="C75">
            <v>2882.3</v>
          </cell>
          <cell r="D75">
            <v>4174.1000000000004</v>
          </cell>
          <cell r="E75">
            <v>5666.2</v>
          </cell>
          <cell r="F75">
            <v>6830.8</v>
          </cell>
          <cell r="G75">
            <v>8513</v>
          </cell>
        </row>
        <row r="76">
          <cell r="A76" t="str">
            <v>Images</v>
          </cell>
          <cell r="B76">
            <v>2399.9</v>
          </cell>
          <cell r="C76">
            <v>2539.4</v>
          </cell>
          <cell r="D76">
            <v>2614.6999999999998</v>
          </cell>
          <cell r="E76">
            <v>2630.1</v>
          </cell>
          <cell r="F76">
            <v>2606.8000000000002</v>
          </cell>
          <cell r="G76">
            <v>2557.9</v>
          </cell>
        </row>
        <row r="77">
          <cell r="A77" t="str">
            <v>Gambling</v>
          </cell>
          <cell r="B77">
            <v>457.1</v>
          </cell>
          <cell r="C77">
            <v>545.4</v>
          </cell>
          <cell r="D77">
            <v>644.1</v>
          </cell>
          <cell r="E77">
            <v>759.9</v>
          </cell>
          <cell r="F77">
            <v>887.3</v>
          </cell>
          <cell r="G77">
            <v>1032.0999999999999</v>
          </cell>
        </row>
        <row r="78">
          <cell r="A78" t="str">
            <v>Enterprise</v>
          </cell>
          <cell r="B78">
            <v>3535.8</v>
          </cell>
          <cell r="C78">
            <v>4982.1000000000004</v>
          </cell>
          <cell r="D78">
            <v>6339.7</v>
          </cell>
          <cell r="E78">
            <v>7221.4</v>
          </cell>
          <cell r="F78">
            <v>7800</v>
          </cell>
          <cell r="G78">
            <v>8230</v>
          </cell>
        </row>
        <row r="79">
          <cell r="A79" t="str">
            <v>Browsing</v>
          </cell>
          <cell r="B79">
            <v>14469.6</v>
          </cell>
          <cell r="C79">
            <v>21596.400000000001</v>
          </cell>
          <cell r="D79">
            <v>29841.3</v>
          </cell>
          <cell r="E79">
            <v>38043.699999999997</v>
          </cell>
          <cell r="F79">
            <v>46403.6</v>
          </cell>
          <cell r="G79">
            <v>55613.5</v>
          </cell>
        </row>
        <row r="80">
          <cell r="A80" t="str">
            <v>Infotainment</v>
          </cell>
          <cell r="B80">
            <v>19488</v>
          </cell>
          <cell r="C80">
            <v>24551.9</v>
          </cell>
          <cell r="D80">
            <v>29228.7</v>
          </cell>
          <cell r="E80">
            <v>33957.800000000003</v>
          </cell>
          <cell r="F80">
            <v>38449.599999999999</v>
          </cell>
          <cell r="G80">
            <v>42854.1</v>
          </cell>
        </row>
        <row r="81">
          <cell r="A81" t="str">
            <v>m-commerce</v>
          </cell>
          <cell r="B81">
            <v>697.8</v>
          </cell>
          <cell r="C81">
            <v>1138.8</v>
          </cell>
          <cell r="D81">
            <v>1697.2</v>
          </cell>
          <cell r="E81">
            <v>2244.6</v>
          </cell>
          <cell r="F81">
            <v>2736</v>
          </cell>
          <cell r="G81">
            <v>3230</v>
          </cell>
        </row>
        <row r="82">
          <cell r="A82" t="str">
            <v>Total</v>
          </cell>
          <cell r="B82">
            <v>135415.79999999999</v>
          </cell>
          <cell r="C82">
            <v>159033.60000000001</v>
          </cell>
          <cell r="D82">
            <v>181418.40000000002</v>
          </cell>
          <cell r="E82">
            <v>202240.80000000002</v>
          </cell>
          <cell r="F82">
            <v>221630.90000000002</v>
          </cell>
          <cell r="G82">
            <v>239635.4</v>
          </cell>
        </row>
        <row r="85">
          <cell r="A85" t="str">
            <v>Worldwide mobile data market by application</v>
          </cell>
        </row>
        <row r="86">
          <cell r="A86" t="str">
            <v>$bn</v>
          </cell>
        </row>
        <row r="87">
          <cell r="B87">
            <v>2007</v>
          </cell>
          <cell r="C87">
            <v>2008</v>
          </cell>
          <cell r="D87">
            <v>2009</v>
          </cell>
          <cell r="E87">
            <v>2010</v>
          </cell>
          <cell r="F87">
            <v>2011</v>
          </cell>
          <cell r="G87">
            <v>2012</v>
          </cell>
        </row>
        <row r="88">
          <cell r="A88" t="str">
            <v>P2P msg</v>
          </cell>
          <cell r="B88">
            <v>79.501199999999997</v>
          </cell>
          <cell r="C88">
            <v>85.621300000000005</v>
          </cell>
          <cell r="D88">
            <v>89.515100000000004</v>
          </cell>
          <cell r="E88">
            <v>92.350300000000004</v>
          </cell>
          <cell r="F88">
            <v>94.785600000000002</v>
          </cell>
          <cell r="G88">
            <v>94.926699999999997</v>
          </cell>
        </row>
        <row r="89">
          <cell r="A89" t="str">
            <v>Entertainment</v>
          </cell>
          <cell r="B89">
            <v>17.723399999999998</v>
          </cell>
          <cell r="C89">
            <v>21.1431</v>
          </cell>
          <cell r="D89">
            <v>24.796399999999998</v>
          </cell>
          <cell r="E89">
            <v>28.423000000000005</v>
          </cell>
          <cell r="F89">
            <v>31.456099999999999</v>
          </cell>
          <cell r="G89">
            <v>34.781099999999995</v>
          </cell>
        </row>
        <row r="90">
          <cell r="A90" t="str">
            <v>Enterprise</v>
          </cell>
          <cell r="B90">
            <v>3.5358000000000001</v>
          </cell>
          <cell r="C90">
            <v>4.9821</v>
          </cell>
          <cell r="D90">
            <v>6.3396999999999997</v>
          </cell>
          <cell r="E90">
            <v>7.2214</v>
          </cell>
          <cell r="F90">
            <v>7.8</v>
          </cell>
          <cell r="G90">
            <v>8.23</v>
          </cell>
        </row>
        <row r="91">
          <cell r="A91" t="str">
            <v>Browsing</v>
          </cell>
          <cell r="B91">
            <v>14.4696</v>
          </cell>
          <cell r="C91">
            <v>21.596400000000003</v>
          </cell>
          <cell r="D91">
            <v>29.8413</v>
          </cell>
          <cell r="E91">
            <v>38.043699999999994</v>
          </cell>
          <cell r="F91">
            <v>46.403599999999997</v>
          </cell>
          <cell r="G91">
            <v>55.613500000000002</v>
          </cell>
        </row>
        <row r="92">
          <cell r="A92" t="str">
            <v>Infotainment</v>
          </cell>
          <cell r="B92">
            <v>19.488</v>
          </cell>
          <cell r="C92">
            <v>24.5519</v>
          </cell>
          <cell r="D92">
            <v>29.2287</v>
          </cell>
          <cell r="E92">
            <v>33.957800000000006</v>
          </cell>
          <cell r="F92">
            <v>38.449599999999997</v>
          </cell>
          <cell r="G92">
            <v>42.854099999999995</v>
          </cell>
        </row>
        <row r="93">
          <cell r="A93" t="str">
            <v>m-commerce</v>
          </cell>
          <cell r="B93">
            <v>0.69779999999999998</v>
          </cell>
          <cell r="C93">
            <v>1.1388</v>
          </cell>
          <cell r="D93">
            <v>1.6972</v>
          </cell>
          <cell r="E93">
            <v>2.2445999999999997</v>
          </cell>
          <cell r="F93">
            <v>2.7360000000000002</v>
          </cell>
          <cell r="G93">
            <v>3.23</v>
          </cell>
        </row>
        <row r="94">
          <cell r="B94">
            <v>135.41579999999999</v>
          </cell>
          <cell r="C94">
            <v>159.03360000000001</v>
          </cell>
          <cell r="D94">
            <v>181.41839999999999</v>
          </cell>
          <cell r="E94">
            <v>202.24079999999998</v>
          </cell>
          <cell r="F94">
            <v>221.63090000000003</v>
          </cell>
          <cell r="G94">
            <v>239.63539999999995</v>
          </cell>
          <cell r="H94">
            <v>0.12092441041708923</v>
          </cell>
        </row>
        <row r="110">
          <cell r="A110" t="str">
            <v>Worldwide wireless entertainment market by type</v>
          </cell>
        </row>
        <row r="111">
          <cell r="A111" t="str">
            <v>$bn</v>
          </cell>
        </row>
        <row r="113">
          <cell r="B113">
            <v>2007</v>
          </cell>
          <cell r="C113">
            <v>2008</v>
          </cell>
          <cell r="D113">
            <v>2009</v>
          </cell>
          <cell r="E113">
            <v>2010</v>
          </cell>
          <cell r="F113">
            <v>2011</v>
          </cell>
          <cell r="G113">
            <v>2012</v>
          </cell>
        </row>
        <row r="114">
          <cell r="A114" t="str">
            <v>Games</v>
          </cell>
          <cell r="B114">
            <v>3.2293000000000003</v>
          </cell>
          <cell r="C114">
            <v>3.9859</v>
          </cell>
          <cell r="D114">
            <v>4.7945000000000002</v>
          </cell>
          <cell r="E114">
            <v>5.5996000000000006</v>
          </cell>
          <cell r="F114">
            <v>6.3982000000000001</v>
          </cell>
          <cell r="G114">
            <v>7.2053000000000003</v>
          </cell>
          <cell r="H114">
            <v>0.17410985956600422</v>
          </cell>
        </row>
        <row r="115">
          <cell r="A115" t="str">
            <v>Music</v>
          </cell>
          <cell r="B115">
            <v>9.7751999999999999</v>
          </cell>
          <cell r="C115">
            <v>11.190100000000001</v>
          </cell>
          <cell r="D115">
            <v>12.569000000000001</v>
          </cell>
          <cell r="E115">
            <v>13.767200000000001</v>
          </cell>
          <cell r="F115">
            <v>14.733000000000001</v>
          </cell>
          <cell r="G115">
            <v>15.472799999999999</v>
          </cell>
          <cell r="H115">
            <v>9.6197108121403474E-2</v>
          </cell>
        </row>
        <row r="116">
          <cell r="A116" t="str">
            <v>Video &amp; TV</v>
          </cell>
          <cell r="B116">
            <v>1.8619000000000001</v>
          </cell>
          <cell r="C116">
            <v>2.8823000000000003</v>
          </cell>
          <cell r="D116">
            <v>4.1741000000000001</v>
          </cell>
          <cell r="E116">
            <v>5.6661999999999999</v>
          </cell>
          <cell r="F116">
            <v>6.8308</v>
          </cell>
          <cell r="G116">
            <v>8.5129999999999999</v>
          </cell>
          <cell r="H116">
            <v>0.35526822535934044</v>
          </cell>
        </row>
        <row r="117">
          <cell r="A117" t="str">
            <v>Images</v>
          </cell>
          <cell r="B117">
            <v>2.3999000000000001</v>
          </cell>
          <cell r="C117">
            <v>2.5394000000000001</v>
          </cell>
          <cell r="D117">
            <v>2.6147</v>
          </cell>
          <cell r="E117">
            <v>2.6301000000000001</v>
          </cell>
          <cell r="F117">
            <v>2.6068000000000002</v>
          </cell>
          <cell r="G117">
            <v>2.5579000000000001</v>
          </cell>
          <cell r="H117">
            <v>1.2833560189002391E-2</v>
          </cell>
        </row>
        <row r="118">
          <cell r="A118" t="str">
            <v>Gambling</v>
          </cell>
          <cell r="B118">
            <v>0.45710000000000001</v>
          </cell>
          <cell r="C118">
            <v>0.5454</v>
          </cell>
          <cell r="D118">
            <v>0.64410000000000001</v>
          </cell>
          <cell r="E118">
            <v>0.75990000000000002</v>
          </cell>
          <cell r="F118">
            <v>0.88729999999999998</v>
          </cell>
          <cell r="G118">
            <v>1.0321</v>
          </cell>
          <cell r="H118">
            <v>0.17690690624053551</v>
          </cell>
        </row>
        <row r="119">
          <cell r="B119">
            <v>17.723400000000002</v>
          </cell>
          <cell r="C119">
            <v>21.143100000000004</v>
          </cell>
          <cell r="D119">
            <v>24.796400000000002</v>
          </cell>
          <cell r="E119">
            <v>28.423000000000002</v>
          </cell>
          <cell r="F119">
            <v>31.456099999999999</v>
          </cell>
          <cell r="G119">
            <v>34.781099999999995</v>
          </cell>
          <cell r="H119">
            <v>0.14435100344119633</v>
          </cell>
        </row>
        <row r="138">
          <cell r="A138" t="str">
            <v>http://www.gartner.com/it/page.jsp?id=754112</v>
          </cell>
        </row>
        <row r="140">
          <cell r="A140" t="str">
            <v>Table 1</v>
          </cell>
        </row>
        <row r="141">
          <cell r="A141" t="str">
            <v>Worldwide: Preliminary Smartphone Sales to End Users byVendor, 2Q08 (Units)</v>
          </cell>
        </row>
        <row r="143">
          <cell r="A143" t="str">
            <v>Company</v>
          </cell>
          <cell r="B143" t="str">
            <v>2Q08</v>
          </cell>
          <cell r="C143" t="str">
            <v>2Q08 Market Share (%)</v>
          </cell>
          <cell r="D143" t="str">
            <v>2Q07</v>
          </cell>
          <cell r="E143" t="str">
            <v>2Q07 Market Share (%)</v>
          </cell>
          <cell r="F143" t="str">
            <v>2Q08- 2Q07 Growth (%)</v>
          </cell>
        </row>
        <row r="145">
          <cell r="B145" t="str">
            <v>Sales</v>
          </cell>
          <cell r="D145" t="str">
            <v>Sales</v>
          </cell>
        </row>
        <row r="146">
          <cell r="A146" t="str">
            <v>Nokia</v>
          </cell>
          <cell r="B146">
            <v>15297900</v>
          </cell>
          <cell r="C146">
            <v>47.5</v>
          </cell>
          <cell r="D146">
            <v>14151689</v>
          </cell>
          <cell r="E146">
            <v>50.8</v>
          </cell>
          <cell r="F146">
            <v>8.1</v>
          </cell>
        </row>
        <row r="147">
          <cell r="A147" t="str">
            <v>RIM</v>
          </cell>
          <cell r="B147">
            <v>5594159</v>
          </cell>
          <cell r="C147">
            <v>17.399999999999999</v>
          </cell>
          <cell r="D147">
            <v>2471200</v>
          </cell>
          <cell r="E147">
            <v>8.9</v>
          </cell>
          <cell r="F147">
            <v>126.4</v>
          </cell>
        </row>
        <row r="148">
          <cell r="A148" t="str">
            <v>HTC</v>
          </cell>
          <cell r="B148">
            <v>1330825</v>
          </cell>
          <cell r="C148">
            <v>4.0999999999999996</v>
          </cell>
          <cell r="D148">
            <v>605900</v>
          </cell>
          <cell r="E148">
            <v>2.2000000000000002</v>
          </cell>
          <cell r="F148">
            <v>119.6</v>
          </cell>
        </row>
        <row r="149">
          <cell r="A149" t="str">
            <v>Sharp</v>
          </cell>
          <cell r="B149">
            <v>1328090</v>
          </cell>
          <cell r="C149">
            <v>4.0999999999999996</v>
          </cell>
          <cell r="D149">
            <v>2275401</v>
          </cell>
          <cell r="E149">
            <v>8.1999999999999993</v>
          </cell>
          <cell r="F149">
            <v>-41.6</v>
          </cell>
        </row>
        <row r="150">
          <cell r="A150" t="str">
            <v>Fujitsu</v>
          </cell>
          <cell r="B150">
            <v>1071490</v>
          </cell>
          <cell r="C150">
            <v>3.3</v>
          </cell>
          <cell r="D150">
            <v>877955</v>
          </cell>
          <cell r="E150">
            <v>3.2</v>
          </cell>
          <cell r="F150">
            <v>22</v>
          </cell>
        </row>
        <row r="151">
          <cell r="A151" t="str">
            <v>Others</v>
          </cell>
          <cell r="B151">
            <v>7598711</v>
          </cell>
          <cell r="C151">
            <v>23.6</v>
          </cell>
          <cell r="D151">
            <v>7472441</v>
          </cell>
          <cell r="E151">
            <v>26.8</v>
          </cell>
          <cell r="F151">
            <v>1.7</v>
          </cell>
        </row>
        <row r="152">
          <cell r="A152" t="str">
            <v>Total</v>
          </cell>
          <cell r="B152">
            <v>32221175</v>
          </cell>
          <cell r="C152">
            <v>100</v>
          </cell>
          <cell r="D152">
            <v>27854586</v>
          </cell>
          <cell r="E152">
            <v>100</v>
          </cell>
          <cell r="F152">
            <v>15.7</v>
          </cell>
        </row>
        <row r="164">
          <cell r="A164" t="str">
            <v>http://www.gartner.com/it/page.jsp?id=827912</v>
          </cell>
        </row>
        <row r="165">
          <cell r="A165" t="str">
            <v>Table 1</v>
          </cell>
        </row>
        <row r="166">
          <cell r="A166" t="str">
            <v>Worldwide: Preliminary Smartphone Sales to End Users byVendor, 3Q08 (Thousands of Units)</v>
          </cell>
        </row>
        <row r="168">
          <cell r="A168" t="str">
            <v>Company</v>
          </cell>
          <cell r="B168" t="str">
            <v>3Q08</v>
          </cell>
          <cell r="C168" t="str">
            <v>3Q08 Market Share (%)</v>
          </cell>
          <cell r="D168" t="str">
            <v>3Q07</v>
          </cell>
          <cell r="E168" t="str">
            <v>3Q07 Market Share (%)</v>
          </cell>
          <cell r="F168" t="str">
            <v>3Q08- 3Q07 Growth (%)</v>
          </cell>
        </row>
        <row r="170">
          <cell r="B170" t="str">
            <v>Sales</v>
          </cell>
          <cell r="D170" t="str">
            <v>Sales</v>
          </cell>
        </row>
        <row r="171">
          <cell r="A171" t="str">
            <v>Nokia</v>
          </cell>
          <cell r="B171">
            <v>15472</v>
          </cell>
          <cell r="C171">
            <v>42.4</v>
          </cell>
          <cell r="D171">
            <v>15964</v>
          </cell>
          <cell r="E171">
            <v>48.7</v>
          </cell>
          <cell r="F171">
            <v>-3.1</v>
          </cell>
          <cell r="H171">
            <v>1</v>
          </cell>
        </row>
        <row r="172">
          <cell r="A172" t="str">
            <v>RIM</v>
          </cell>
          <cell r="B172">
            <v>5800</v>
          </cell>
          <cell r="C172">
            <v>15.9</v>
          </cell>
          <cell r="D172">
            <v>3192</v>
          </cell>
          <cell r="E172">
            <v>9.6999999999999993</v>
          </cell>
          <cell r="F172">
            <v>81.7</v>
          </cell>
        </row>
        <row r="173">
          <cell r="A173" t="str">
            <v>Apple</v>
          </cell>
          <cell r="B173">
            <v>4720</v>
          </cell>
          <cell r="C173">
            <v>12.9</v>
          </cell>
          <cell r="D173">
            <v>1104</v>
          </cell>
          <cell r="E173">
            <v>3.4</v>
          </cell>
          <cell r="F173">
            <v>327.5</v>
          </cell>
        </row>
        <row r="174">
          <cell r="A174" t="str">
            <v>HTC</v>
          </cell>
          <cell r="B174">
            <v>1656</v>
          </cell>
          <cell r="C174">
            <v>4.5</v>
          </cell>
          <cell r="D174">
            <v>1315</v>
          </cell>
          <cell r="E174">
            <v>4</v>
          </cell>
          <cell r="F174">
            <v>25.9</v>
          </cell>
        </row>
        <row r="175">
          <cell r="A175" t="str">
            <v>Sharp</v>
          </cell>
          <cell r="B175">
            <v>1239</v>
          </cell>
          <cell r="C175">
            <v>3.4</v>
          </cell>
          <cell r="D175">
            <v>1535</v>
          </cell>
          <cell r="E175">
            <v>4.7</v>
          </cell>
          <cell r="F175">
            <v>-19.3</v>
          </cell>
        </row>
        <row r="176">
          <cell r="A176" t="str">
            <v>Others</v>
          </cell>
          <cell r="B176">
            <v>7626</v>
          </cell>
          <cell r="C176">
            <v>20.9</v>
          </cell>
          <cell r="D176">
            <v>9643</v>
          </cell>
          <cell r="E176">
            <v>29.4</v>
          </cell>
          <cell r="F176">
            <v>-20.9</v>
          </cell>
        </row>
        <row r="177">
          <cell r="A177" t="str">
            <v>Total</v>
          </cell>
          <cell r="B177" t="str">
            <v>36,515</v>
          </cell>
          <cell r="C177" t="str">
            <v>100.0</v>
          </cell>
          <cell r="D177" t="str">
            <v>32,753</v>
          </cell>
          <cell r="E177" t="str">
            <v>100.0</v>
          </cell>
          <cell r="F177" t="str">
            <v>11.5</v>
          </cell>
        </row>
      </sheetData>
      <sheetData sheetId="2"/>
      <sheetData sheetId="3"/>
      <sheetData sheetId="4">
        <row r="1">
          <cell r="A1" t="str">
            <v>eMarketer</v>
          </cell>
        </row>
        <row r="2">
          <cell r="A2" t="str">
            <v>Mobile Music: Ads to the rescue</v>
          </cell>
        </row>
        <row r="3">
          <cell r="A3" t="str">
            <v>7/1/2008, pg1</v>
          </cell>
        </row>
        <row r="5">
          <cell r="B5">
            <v>2007</v>
          </cell>
          <cell r="C5">
            <v>2008</v>
          </cell>
          <cell r="D5">
            <v>2009</v>
          </cell>
          <cell r="E5">
            <v>2010</v>
          </cell>
          <cell r="F5">
            <v>2011</v>
          </cell>
          <cell r="G5">
            <v>2012</v>
          </cell>
        </row>
        <row r="6">
          <cell r="A6" t="str">
            <v>Mastertones, ringback tones &amp; other</v>
          </cell>
          <cell r="B6">
            <v>1.796</v>
          </cell>
          <cell r="C6">
            <v>2.3519999999999999</v>
          </cell>
          <cell r="D6">
            <v>3.0840000000000001</v>
          </cell>
          <cell r="E6">
            <v>4.2539999999999996</v>
          </cell>
          <cell r="F6">
            <v>5.8453999999999997</v>
          </cell>
          <cell r="G6">
            <v>8.0693999999999999</v>
          </cell>
          <cell r="H6">
            <v>0.35053854083336855</v>
          </cell>
        </row>
        <row r="7">
          <cell r="A7" t="str">
            <v>Full-track downloads</v>
          </cell>
          <cell r="B7">
            <v>0.63100000000000001</v>
          </cell>
          <cell r="C7">
            <v>0.96099999999999997</v>
          </cell>
          <cell r="D7">
            <v>1.4510000000000001</v>
          </cell>
          <cell r="E7">
            <v>2.1909999999999998</v>
          </cell>
          <cell r="F7">
            <v>3.4333999999999998</v>
          </cell>
          <cell r="G7">
            <v>5.3794000000000004</v>
          </cell>
          <cell r="H7">
            <v>0.53511493129849819</v>
          </cell>
        </row>
        <row r="8">
          <cell r="B8">
            <v>2.427</v>
          </cell>
          <cell r="C8">
            <v>3.3129999999999997</v>
          </cell>
          <cell r="D8">
            <v>4.5350000000000001</v>
          </cell>
          <cell r="E8">
            <v>6.4449999999999994</v>
          </cell>
          <cell r="F8">
            <v>9.2788000000000004</v>
          </cell>
          <cell r="G8">
            <v>13.4488</v>
          </cell>
          <cell r="H8">
            <v>0.40838941295571418</v>
          </cell>
        </row>
        <row r="10">
          <cell r="J10" t="str">
            <v>2007-12E CAGRs</v>
          </cell>
        </row>
        <row r="11">
          <cell r="J11" t="str">
            <v>Mastertones, ringback tones &amp; other</v>
          </cell>
          <cell r="K11">
            <v>0.35053854083336855</v>
          </cell>
        </row>
        <row r="12">
          <cell r="J12" t="str">
            <v>Full-track downloads</v>
          </cell>
          <cell r="K12">
            <v>0.53511493129849819</v>
          </cell>
        </row>
        <row r="13">
          <cell r="J13" t="str">
            <v>Total</v>
          </cell>
          <cell r="K13">
            <v>0.40838941295571418</v>
          </cell>
        </row>
        <row r="27">
          <cell r="B27">
            <v>2007</v>
          </cell>
          <cell r="C27">
            <v>2008</v>
          </cell>
          <cell r="D27">
            <v>2009</v>
          </cell>
          <cell r="E27">
            <v>2010</v>
          </cell>
          <cell r="F27">
            <v>2011</v>
          </cell>
          <cell r="G27">
            <v>2012</v>
          </cell>
        </row>
        <row r="28">
          <cell r="A28" t="str">
            <v>Ad-supported mobile music</v>
          </cell>
          <cell r="B28">
            <v>4.2000000000000003E-2</v>
          </cell>
          <cell r="C28">
            <v>0.11600000000000001</v>
          </cell>
          <cell r="D28">
            <v>0.22700000000000001</v>
          </cell>
          <cell r="E28">
            <v>0.41899999999999998</v>
          </cell>
          <cell r="F28">
            <v>0.83499999999999996</v>
          </cell>
          <cell r="G28">
            <v>1.5469999999999999</v>
          </cell>
        </row>
        <row r="29">
          <cell r="A29" t="str">
            <v>% of total</v>
          </cell>
          <cell r="B29">
            <v>1.73053152039555E-2</v>
          </cell>
          <cell r="C29">
            <v>3.5013582855418057E-2</v>
          </cell>
          <cell r="D29">
            <v>5.0055126791620726E-2</v>
          </cell>
          <cell r="E29">
            <v>6.5011636927851058E-2</v>
          </cell>
          <cell r="F29">
            <v>8.9990084924774755E-2</v>
          </cell>
          <cell r="G29">
            <v>0.11502885015763488</v>
          </cell>
        </row>
        <row r="46">
          <cell r="A46" t="str">
            <v>Gartner</v>
          </cell>
        </row>
        <row r="47">
          <cell r="A47" t="str">
            <v>Dataquest insight:  Outlook for Mobile Music</v>
          </cell>
        </row>
        <row r="48">
          <cell r="A48" t="str">
            <v>january 2008, Tables 3-6</v>
          </cell>
        </row>
        <row r="50">
          <cell r="B50">
            <v>2007</v>
          </cell>
          <cell r="C50">
            <v>2011</v>
          </cell>
          <cell r="E50">
            <v>1000</v>
          </cell>
        </row>
        <row r="51">
          <cell r="A51" t="str">
            <v>Real tones</v>
          </cell>
          <cell r="B51">
            <v>1.4332</v>
          </cell>
          <cell r="C51">
            <v>6.2774999999999999</v>
          </cell>
        </row>
        <row r="52">
          <cell r="A52" t="str">
            <v>Ring-back tones</v>
          </cell>
          <cell r="B52">
            <v>0.3634</v>
          </cell>
          <cell r="C52">
            <v>2.3056000000000001</v>
          </cell>
        </row>
        <row r="53">
          <cell r="A53" t="str">
            <v>Full tracks</v>
          </cell>
          <cell r="B53">
            <v>0.59339999999999993</v>
          </cell>
          <cell r="C53">
            <v>4.5270000000000001</v>
          </cell>
        </row>
        <row r="54">
          <cell r="B54">
            <v>2.3899999999999997</v>
          </cell>
          <cell r="C54">
            <v>13.110099999999999</v>
          </cell>
        </row>
        <row r="74">
          <cell r="A74" t="str">
            <v>eMarketer</v>
          </cell>
        </row>
        <row r="75">
          <cell r="A75" t="str">
            <v>Mobile Music: Ads to the rescue</v>
          </cell>
        </row>
        <row r="76">
          <cell r="A76" t="str">
            <v>7/1/2008, pg5</v>
          </cell>
        </row>
        <row r="78">
          <cell r="A78" t="str">
            <v>Online and mobile music revenues of the top 5 digital music countries worldwide</v>
          </cell>
        </row>
        <row r="79">
          <cell r="B79" t="str">
            <v>1H2007</v>
          </cell>
        </row>
        <row r="80">
          <cell r="B80" t="str">
            <v>Online</v>
          </cell>
          <cell r="C80" t="str">
            <v>Mobile</v>
          </cell>
        </row>
        <row r="81">
          <cell r="A81" t="str">
            <v>US</v>
          </cell>
          <cell r="B81">
            <v>0.67</v>
          </cell>
          <cell r="C81">
            <v>0.32999999999999996</v>
          </cell>
        </row>
        <row r="82">
          <cell r="A82" t="str">
            <v>Japan</v>
          </cell>
          <cell r="B82">
            <v>0.09</v>
          </cell>
          <cell r="C82">
            <v>0.91</v>
          </cell>
        </row>
        <row r="83">
          <cell r="A83" t="str">
            <v>UK</v>
          </cell>
          <cell r="B83">
            <v>0.71</v>
          </cell>
          <cell r="C83">
            <v>0.29000000000000004</v>
          </cell>
        </row>
        <row r="84">
          <cell r="A84" t="str">
            <v>S. Korea</v>
          </cell>
          <cell r="B84">
            <v>0.63</v>
          </cell>
          <cell r="C84">
            <v>0.37</v>
          </cell>
        </row>
        <row r="85">
          <cell r="A85" t="str">
            <v>Germany</v>
          </cell>
          <cell r="B85">
            <v>0.69</v>
          </cell>
          <cell r="C85">
            <v>0.31000000000000005</v>
          </cell>
        </row>
        <row r="86">
          <cell r="A86" t="str">
            <v>France</v>
          </cell>
          <cell r="B86">
            <v>0.39</v>
          </cell>
          <cell r="C86">
            <v>0.61</v>
          </cell>
        </row>
      </sheetData>
      <sheetData sheetId="5">
        <row r="1">
          <cell r="A1" t="str">
            <v>eMarketer</v>
          </cell>
        </row>
        <row r="2">
          <cell r="A2" t="str">
            <v>Mobile Games:  consumers don't pay to play</v>
          </cell>
        </row>
        <row r="3">
          <cell r="A3" t="str">
            <v>8/1/2008, pg 1</v>
          </cell>
        </row>
        <row r="5">
          <cell r="B5">
            <v>2007</v>
          </cell>
          <cell r="C5">
            <v>2008</v>
          </cell>
          <cell r="D5">
            <v>2009</v>
          </cell>
          <cell r="E5">
            <v>2010</v>
          </cell>
          <cell r="F5">
            <v>2011</v>
          </cell>
          <cell r="G5">
            <v>2012</v>
          </cell>
        </row>
        <row r="6">
          <cell r="A6" t="str">
            <v>Mobile gamers</v>
          </cell>
          <cell r="B6">
            <v>155</v>
          </cell>
          <cell r="C6">
            <v>204</v>
          </cell>
          <cell r="D6">
            <v>266</v>
          </cell>
          <cell r="E6">
            <v>336</v>
          </cell>
          <cell r="F6">
            <v>423</v>
          </cell>
          <cell r="G6">
            <v>500</v>
          </cell>
          <cell r="H6">
            <v>0.26394350119070853</v>
          </cell>
        </row>
        <row r="7">
          <cell r="A7" t="str">
            <v>Mobile game spending</v>
          </cell>
          <cell r="B7">
            <v>1.9379999999999999</v>
          </cell>
          <cell r="C7">
            <v>2.665</v>
          </cell>
          <cell r="D7">
            <v>3.5910000000000002</v>
          </cell>
          <cell r="E7">
            <v>4.641</v>
          </cell>
          <cell r="F7">
            <v>5.9219999999999997</v>
          </cell>
          <cell r="G7">
            <v>7.0309999999999997</v>
          </cell>
        </row>
        <row r="8">
          <cell r="A8" t="str">
            <v>ad supported</v>
          </cell>
          <cell r="B8">
            <v>9.7000000000000003E-2</v>
          </cell>
          <cell r="C8">
            <v>0.2</v>
          </cell>
          <cell r="D8">
            <v>0.35899999999999999</v>
          </cell>
          <cell r="E8">
            <v>0.57999999999999996</v>
          </cell>
          <cell r="F8">
            <v>0.88800000000000001</v>
          </cell>
          <cell r="G8">
            <v>1.266</v>
          </cell>
        </row>
        <row r="23">
          <cell r="B23">
            <v>2007</v>
          </cell>
          <cell r="C23">
            <v>2008</v>
          </cell>
          <cell r="D23">
            <v>2009</v>
          </cell>
          <cell r="E23">
            <v>2010</v>
          </cell>
          <cell r="F23">
            <v>2011</v>
          </cell>
          <cell r="G23">
            <v>2012</v>
          </cell>
        </row>
        <row r="24">
          <cell r="A24" t="str">
            <v>Mobile game spending</v>
          </cell>
          <cell r="B24">
            <v>1.9379999999999999</v>
          </cell>
          <cell r="C24">
            <v>2.665</v>
          </cell>
          <cell r="D24">
            <v>3.5910000000000002</v>
          </cell>
          <cell r="E24">
            <v>4.641</v>
          </cell>
          <cell r="F24">
            <v>5.9219999999999997</v>
          </cell>
          <cell r="G24">
            <v>7.0309999999999997</v>
          </cell>
        </row>
        <row r="25">
          <cell r="A25" t="str">
            <v>% ad-supported</v>
          </cell>
          <cell r="B25">
            <v>5.0051599587203302E-2</v>
          </cell>
          <cell r="C25">
            <v>7.5046904315197005E-2</v>
          </cell>
          <cell r="D25">
            <v>9.9972152603731546E-2</v>
          </cell>
          <cell r="E25">
            <v>0.12497306614953672</v>
          </cell>
          <cell r="F25">
            <v>0.14994934143870314</v>
          </cell>
          <cell r="G25">
            <v>0.1800597354572607</v>
          </cell>
        </row>
        <row r="42">
          <cell r="A42" t="str">
            <v>Gartner</v>
          </cell>
        </row>
        <row r="43">
          <cell r="A43" t="str">
            <v>Dataquest insight:  Outlook for Mobile Gaming</v>
          </cell>
        </row>
        <row r="44">
          <cell r="A44" t="str">
            <v>May 2008, Table 1</v>
          </cell>
        </row>
        <row r="46">
          <cell r="B46">
            <v>2007</v>
          </cell>
          <cell r="C46">
            <v>2011</v>
          </cell>
          <cell r="E46">
            <v>1000000</v>
          </cell>
        </row>
        <row r="47">
          <cell r="A47" t="str">
            <v>N. America</v>
          </cell>
          <cell r="B47">
            <v>0.74616080000000007</v>
          </cell>
          <cell r="C47">
            <v>1.1566078</v>
          </cell>
        </row>
        <row r="48">
          <cell r="A48" t="str">
            <v>W. Europe</v>
          </cell>
          <cell r="B48">
            <v>0.62918750000000001</v>
          </cell>
          <cell r="C48">
            <v>0.86160650000000005</v>
          </cell>
        </row>
        <row r="49">
          <cell r="A49" t="str">
            <v>APAC &amp; Japan</v>
          </cell>
          <cell r="B49">
            <v>1.9640093000000001</v>
          </cell>
          <cell r="C49">
            <v>3.3562846</v>
          </cell>
        </row>
        <row r="50">
          <cell r="A50" t="str">
            <v>ROW</v>
          </cell>
          <cell r="B50">
            <v>0.54317709999999997</v>
          </cell>
          <cell r="C50">
            <v>0.93112050000000002</v>
          </cell>
        </row>
        <row r="51">
          <cell r="B51">
            <v>3.8825347000000003</v>
          </cell>
          <cell r="C51">
            <v>6.3056193999999994</v>
          </cell>
        </row>
      </sheetData>
      <sheetData sheetId="6">
        <row r="1">
          <cell r="A1" t="str">
            <v>eMarketer</v>
          </cell>
        </row>
        <row r="2">
          <cell r="A2" t="str">
            <v>Mobile Video and TV:  Ads wait for a clearer picture</v>
          </cell>
        </row>
        <row r="3">
          <cell r="A3" t="str">
            <v>8/1/2008, Pg 4</v>
          </cell>
        </row>
        <row r="5">
          <cell r="B5">
            <v>2007</v>
          </cell>
          <cell r="C5">
            <v>2008</v>
          </cell>
          <cell r="D5">
            <v>2009</v>
          </cell>
          <cell r="E5">
            <v>2010</v>
          </cell>
          <cell r="F5">
            <v>2011</v>
          </cell>
          <cell r="G5">
            <v>2012</v>
          </cell>
        </row>
        <row r="6">
          <cell r="A6" t="str">
            <v>Mobile TV (broadcast)</v>
          </cell>
          <cell r="B6">
            <v>218.8</v>
          </cell>
          <cell r="C6">
            <v>533.6</v>
          </cell>
          <cell r="D6">
            <v>1101.8</v>
          </cell>
          <cell r="E6">
            <v>2027.6</v>
          </cell>
          <cell r="F6">
            <v>3194.4</v>
          </cell>
          <cell r="G6">
            <v>4393.7</v>
          </cell>
        </row>
        <row r="7">
          <cell r="A7" t="str">
            <v>Mobile TV (streaming)</v>
          </cell>
          <cell r="B7">
            <v>532.1</v>
          </cell>
          <cell r="C7">
            <v>863.7</v>
          </cell>
          <cell r="D7">
            <v>1135.3</v>
          </cell>
          <cell r="E7">
            <v>1138.4000000000001</v>
          </cell>
          <cell r="F7">
            <v>813.7</v>
          </cell>
          <cell r="G7">
            <v>453.1</v>
          </cell>
        </row>
        <row r="8">
          <cell r="A8" t="str">
            <v>Video</v>
          </cell>
          <cell r="B8">
            <v>1536.5</v>
          </cell>
          <cell r="C8">
            <v>2051.1</v>
          </cell>
          <cell r="D8">
            <v>2625.8</v>
          </cell>
          <cell r="E8">
            <v>3210.9</v>
          </cell>
          <cell r="F8">
            <v>3800.6</v>
          </cell>
          <cell r="G8">
            <v>4405.3</v>
          </cell>
        </row>
        <row r="10">
          <cell r="B10">
            <v>2007</v>
          </cell>
          <cell r="C10">
            <v>2008</v>
          </cell>
          <cell r="D10">
            <v>2009</v>
          </cell>
          <cell r="E10">
            <v>2010</v>
          </cell>
          <cell r="F10">
            <v>2011</v>
          </cell>
          <cell r="G10">
            <v>2012</v>
          </cell>
        </row>
        <row r="11">
          <cell r="A11" t="str">
            <v>TV</v>
          </cell>
          <cell r="B11">
            <v>0.75090000000000012</v>
          </cell>
          <cell r="C11">
            <v>1.3973000000000002</v>
          </cell>
          <cell r="D11">
            <v>2.2370999999999999</v>
          </cell>
          <cell r="E11">
            <v>3.1659999999999999</v>
          </cell>
          <cell r="F11">
            <v>4.0081000000000007</v>
          </cell>
          <cell r="G11">
            <v>4.8468</v>
          </cell>
          <cell r="H11">
            <v>0.45202668894574183</v>
          </cell>
        </row>
        <row r="12">
          <cell r="A12" t="str">
            <v>Video</v>
          </cell>
          <cell r="B12">
            <v>1.5365</v>
          </cell>
          <cell r="C12">
            <v>2.0510999999999999</v>
          </cell>
          <cell r="D12">
            <v>2.6258000000000004</v>
          </cell>
          <cell r="E12">
            <v>3.2109000000000001</v>
          </cell>
          <cell r="F12">
            <v>3.8005999999999998</v>
          </cell>
          <cell r="G12">
            <v>4.4053000000000004</v>
          </cell>
          <cell r="H12">
            <v>0.23449286705295225</v>
          </cell>
        </row>
        <row r="13">
          <cell r="B13">
            <v>2.2873999999999999</v>
          </cell>
          <cell r="C13">
            <v>3.4484000000000004</v>
          </cell>
          <cell r="D13">
            <v>4.8628999999999998</v>
          </cell>
          <cell r="E13">
            <v>6.3769</v>
          </cell>
          <cell r="F13">
            <v>7.8087</v>
          </cell>
          <cell r="G13">
            <v>9.2521000000000004</v>
          </cell>
          <cell r="H13">
            <v>0.3224511550702378</v>
          </cell>
        </row>
        <row r="15">
          <cell r="J15" t="str">
            <v>2007-12E CAGRs</v>
          </cell>
        </row>
        <row r="16">
          <cell r="J16" t="str">
            <v>TV</v>
          </cell>
          <cell r="K16">
            <v>0.45202668894574183</v>
          </cell>
        </row>
        <row r="17">
          <cell r="J17" t="str">
            <v>Video</v>
          </cell>
          <cell r="K17">
            <v>0.23449286705295225</v>
          </cell>
        </row>
        <row r="18">
          <cell r="J18" t="str">
            <v>Total</v>
          </cell>
          <cell r="K18">
            <v>0.3224511550702378</v>
          </cell>
        </row>
        <row r="34">
          <cell r="A34" t="str">
            <v>eMarketer</v>
          </cell>
        </row>
        <row r="35">
          <cell r="A35" t="str">
            <v>Mobile Video and TV:  Ads wait for a clearer picture</v>
          </cell>
        </row>
        <row r="36">
          <cell r="A36" t="str">
            <v>8/1/2008, Pg 4</v>
          </cell>
        </row>
        <row r="38">
          <cell r="B38">
            <v>2007</v>
          </cell>
          <cell r="C38">
            <v>2012</v>
          </cell>
          <cell r="D38" t="str">
            <v>CAGR</v>
          </cell>
        </row>
        <row r="39">
          <cell r="A39" t="str">
            <v>Video &amp; TV</v>
          </cell>
          <cell r="B39">
            <v>0.75090000000000012</v>
          </cell>
          <cell r="C39">
            <v>4.8468</v>
          </cell>
          <cell r="D39">
            <v>0.45202668894574183</v>
          </cell>
        </row>
        <row r="40">
          <cell r="A40" t="str">
            <v>Gambling</v>
          </cell>
          <cell r="B40">
            <v>0.1075</v>
          </cell>
          <cell r="C40">
            <v>0.26300000000000001</v>
          </cell>
          <cell r="D40">
            <v>0.19594017924279705</v>
          </cell>
        </row>
        <row r="41">
          <cell r="A41" t="str">
            <v>Games</v>
          </cell>
          <cell r="B41">
            <v>3.2131999999999996</v>
          </cell>
          <cell r="C41">
            <v>7.2442000000000002</v>
          </cell>
          <cell r="D41">
            <v>0.17655039703381359</v>
          </cell>
        </row>
        <row r="42">
          <cell r="A42" t="str">
            <v>Music</v>
          </cell>
          <cell r="B42">
            <v>7.3566000000000003</v>
          </cell>
          <cell r="C42">
            <v>11.956200000000001</v>
          </cell>
          <cell r="D42">
            <v>0.10200408823949036</v>
          </cell>
        </row>
        <row r="43">
          <cell r="A43" t="str">
            <v>Images</v>
          </cell>
          <cell r="B43">
            <v>2.722</v>
          </cell>
          <cell r="C43">
            <v>2.9434999999999998</v>
          </cell>
          <cell r="D43">
            <v>1.5769536275912932E-2</v>
          </cell>
        </row>
        <row r="62">
          <cell r="A62" t="str">
            <v>eMarketer</v>
          </cell>
        </row>
        <row r="63">
          <cell r="A63" t="str">
            <v>Mobile Video and TV:  Ads wait for a clearer picture</v>
          </cell>
        </row>
        <row r="64">
          <cell r="A64" t="str">
            <v>8/1/2008, Pg 6</v>
          </cell>
        </row>
        <row r="67">
          <cell r="A67" t="str">
            <v>Brazil</v>
          </cell>
          <cell r="B67">
            <v>0.51</v>
          </cell>
        </row>
        <row r="68">
          <cell r="A68" t="str">
            <v>France</v>
          </cell>
          <cell r="B68">
            <v>0.26</v>
          </cell>
        </row>
        <row r="69">
          <cell r="A69" t="str">
            <v>Germany</v>
          </cell>
          <cell r="B69">
            <v>0.25</v>
          </cell>
        </row>
        <row r="70">
          <cell r="A70" t="str">
            <v>Italy</v>
          </cell>
          <cell r="B70">
            <v>0.44</v>
          </cell>
        </row>
        <row r="71">
          <cell r="A71" t="str">
            <v>Mexico</v>
          </cell>
          <cell r="B71">
            <v>0.66</v>
          </cell>
        </row>
        <row r="72">
          <cell r="A72" t="str">
            <v>Spain</v>
          </cell>
          <cell r="B72">
            <v>0.41</v>
          </cell>
        </row>
        <row r="73">
          <cell r="A73" t="str">
            <v>UK</v>
          </cell>
          <cell r="B73">
            <v>0.31</v>
          </cell>
        </row>
        <row r="74">
          <cell r="A74" t="str">
            <v>US</v>
          </cell>
          <cell r="B74">
            <v>0.23</v>
          </cell>
        </row>
        <row r="82">
          <cell r="A82" t="str">
            <v>eMarketer</v>
          </cell>
        </row>
        <row r="83">
          <cell r="A83" t="str">
            <v>Mobile Video and TV:  Ads wait for a clearer picture</v>
          </cell>
        </row>
        <row r="84">
          <cell r="A84" t="str">
            <v>8/1/2008, Pg 10</v>
          </cell>
        </row>
        <row r="86">
          <cell r="B86" t="str">
            <v>iPhone</v>
          </cell>
          <cell r="C86" t="str">
            <v>Smartphone</v>
          </cell>
          <cell r="D86" t="str">
            <v>All mobile</v>
          </cell>
        </row>
        <row r="87">
          <cell r="A87" t="str">
            <v>News/info via browser</v>
          </cell>
          <cell r="B87">
            <v>0.84799999999999998</v>
          </cell>
          <cell r="C87">
            <v>0.58199999999999996</v>
          </cell>
          <cell r="D87">
            <v>0.13100000000000001</v>
          </cell>
        </row>
        <row r="88">
          <cell r="A88" t="str">
            <v>Web search</v>
          </cell>
          <cell r="B88">
            <v>0.58599999999999997</v>
          </cell>
          <cell r="C88">
            <v>0.37</v>
          </cell>
          <cell r="D88">
            <v>6.0999999999999999E-2</v>
          </cell>
        </row>
        <row r="89">
          <cell r="A89" t="str">
            <v>Mobile TV/video</v>
          </cell>
          <cell r="B89">
            <v>0.309</v>
          </cell>
          <cell r="C89">
            <v>0.14199999999999999</v>
          </cell>
          <cell r="D89">
            <v>4.5999999999999999E-2</v>
          </cell>
        </row>
        <row r="90">
          <cell r="A90" t="str">
            <v>On-demand TV/video</v>
          </cell>
          <cell r="B90">
            <v>0.20899999999999999</v>
          </cell>
          <cell r="C90">
            <v>7.0000000000000007E-2</v>
          </cell>
          <cell r="D90">
            <v>1.4E-2</v>
          </cell>
        </row>
        <row r="91">
          <cell r="A91" t="str">
            <v>SNS/blog use</v>
          </cell>
          <cell r="B91">
            <v>0.497</v>
          </cell>
          <cell r="C91">
            <v>0.19400000000000001</v>
          </cell>
          <cell r="D91">
            <v>4.2000000000000003E-2</v>
          </cell>
        </row>
        <row r="92">
          <cell r="A92" t="str">
            <v>Music</v>
          </cell>
          <cell r="B92">
            <v>0.74099999999999999</v>
          </cell>
          <cell r="C92">
            <v>0.27900000000000003</v>
          </cell>
          <cell r="D92">
            <v>6.7000000000000004E-2</v>
          </cell>
        </row>
      </sheetData>
      <sheetData sheetId="7">
        <row r="1">
          <cell r="A1" t="str">
            <v>Gartner</v>
          </cell>
          <cell r="J1" t="str">
            <v>eMarketer</v>
          </cell>
        </row>
        <row r="2">
          <cell r="A2" t="str">
            <v>Publication Date: 29 January 2008</v>
          </cell>
          <cell r="J2" t="str">
            <v>Mobile Location-Based Services</v>
          </cell>
        </row>
        <row r="3">
          <cell r="A3" t="str">
            <v>Dataquest Insight: Location- Based Services Subscriber</v>
          </cell>
          <cell r="J3">
            <v>39722</v>
          </cell>
        </row>
        <row r="4">
          <cell r="A4" t="str">
            <v>and Revenue Forecast, 2006-2011</v>
          </cell>
        </row>
        <row r="7">
          <cell r="A7" t="str">
            <v>Table 1 - subscriber forecasts</v>
          </cell>
          <cell r="J7" t="str">
            <v>Mobile LBS Users worldwide (MM)</v>
          </cell>
        </row>
        <row r="8">
          <cell r="A8" t="str">
            <v>MM</v>
          </cell>
        </row>
        <row r="9">
          <cell r="B9">
            <v>2006</v>
          </cell>
          <cell r="C9">
            <v>2007</v>
          </cell>
          <cell r="D9">
            <v>2008</v>
          </cell>
          <cell r="E9">
            <v>2009</v>
          </cell>
          <cell r="F9">
            <v>2010</v>
          </cell>
          <cell r="G9">
            <v>2011</v>
          </cell>
          <cell r="K9">
            <v>2007</v>
          </cell>
          <cell r="L9">
            <v>2008</v>
          </cell>
          <cell r="M9">
            <v>2009</v>
          </cell>
          <cell r="N9">
            <v>2010</v>
          </cell>
          <cell r="O9">
            <v>2011</v>
          </cell>
          <cell r="P9">
            <v>2012</v>
          </cell>
        </row>
        <row r="10">
          <cell r="A10" t="str">
            <v>Total</v>
          </cell>
          <cell r="B10">
            <v>6.9876000000000005</v>
          </cell>
          <cell r="C10">
            <v>16.077200000000001</v>
          </cell>
          <cell r="D10">
            <v>43.160499999999999</v>
          </cell>
          <cell r="E10">
            <v>95.32419999999999</v>
          </cell>
          <cell r="F10">
            <v>181.87679999999997</v>
          </cell>
          <cell r="G10">
            <v>297.96089999999998</v>
          </cell>
          <cell r="H10">
            <v>1.0748524394833328</v>
          </cell>
          <cell r="J10" t="str">
            <v>Users</v>
          </cell>
          <cell r="K10">
            <v>18.899999999999999</v>
          </cell>
          <cell r="L10">
            <v>61.3</v>
          </cell>
          <cell r="M10">
            <v>134</v>
          </cell>
          <cell r="N10">
            <v>215.3</v>
          </cell>
          <cell r="O10">
            <v>329</v>
          </cell>
          <cell r="P10">
            <v>486</v>
          </cell>
          <cell r="Q10">
            <v>0.91440973045081053</v>
          </cell>
        </row>
        <row r="11">
          <cell r="A11" t="str">
            <v>Western Europe</v>
          </cell>
          <cell r="B11">
            <v>5.4999999999999997E-3</v>
          </cell>
          <cell r="C11">
            <v>0.26200000000000001</v>
          </cell>
          <cell r="D11">
            <v>3.5871</v>
          </cell>
          <cell r="E11">
            <v>12.119399999999999</v>
          </cell>
          <cell r="F11">
            <v>29.5106</v>
          </cell>
          <cell r="G11">
            <v>55.266300000000001</v>
          </cell>
          <cell r="J11" t="str">
            <v>Growth</v>
          </cell>
          <cell r="L11">
            <v>2.2433862433862433</v>
          </cell>
          <cell r="M11">
            <v>1.1859706362153344</v>
          </cell>
          <cell r="N11">
            <v>0.60671641791044784</v>
          </cell>
          <cell r="O11">
            <v>0.52810032512772875</v>
          </cell>
          <cell r="P11">
            <v>0.47720364741641341</v>
          </cell>
        </row>
        <row r="12">
          <cell r="A12" t="str">
            <v>North America</v>
          </cell>
          <cell r="B12">
            <v>2.0352999999999999</v>
          </cell>
          <cell r="C12">
            <v>4.8551000000000002</v>
          </cell>
          <cell r="D12">
            <v>14.733700000000001</v>
          </cell>
          <cell r="E12">
            <v>27.152799999999999</v>
          </cell>
          <cell r="F12">
            <v>48.6967</v>
          </cell>
          <cell r="G12">
            <v>71.456600000000009</v>
          </cell>
        </row>
        <row r="13">
          <cell r="A13" t="str">
            <v>Asia/Pacific</v>
          </cell>
          <cell r="B13">
            <v>1.6259000000000001</v>
          </cell>
          <cell r="C13">
            <v>5.4368999999999996</v>
          </cell>
          <cell r="D13">
            <v>15.4108</v>
          </cell>
          <cell r="E13">
            <v>36.051199999999994</v>
          </cell>
          <cell r="F13">
            <v>68.115899999999996</v>
          </cell>
          <cell r="G13">
            <v>117.15349999999999</v>
          </cell>
        </row>
        <row r="14">
          <cell r="A14" t="str">
            <v>Japan</v>
          </cell>
          <cell r="B14">
            <v>3.3209</v>
          </cell>
          <cell r="C14">
            <v>5.5232000000000001</v>
          </cell>
          <cell r="D14">
            <v>9.4289000000000005</v>
          </cell>
          <cell r="E14">
            <v>20.000799999999998</v>
          </cell>
          <cell r="F14">
            <v>35.553599999999996</v>
          </cell>
          <cell r="G14">
            <v>54.084499999999998</v>
          </cell>
        </row>
        <row r="30">
          <cell r="A30" t="str">
            <v>Table 2 - revenue forecast</v>
          </cell>
        </row>
        <row r="31">
          <cell r="A31" t="str">
            <v>bn</v>
          </cell>
        </row>
        <row r="32">
          <cell r="B32">
            <v>2006</v>
          </cell>
          <cell r="C32">
            <v>2007</v>
          </cell>
          <cell r="D32">
            <v>2008</v>
          </cell>
          <cell r="E32">
            <v>2009</v>
          </cell>
          <cell r="F32">
            <v>2010</v>
          </cell>
          <cell r="G32">
            <v>2011</v>
          </cell>
        </row>
        <row r="33">
          <cell r="A33" t="str">
            <v>Total</v>
          </cell>
          <cell r="B33">
            <v>0.2046</v>
          </cell>
          <cell r="C33">
            <v>0.48519999999999996</v>
          </cell>
          <cell r="D33">
            <v>1.3073000000000001</v>
          </cell>
          <cell r="E33">
            <v>2.7176000000000005</v>
          </cell>
          <cell r="F33">
            <v>5.1031000000000004</v>
          </cell>
          <cell r="G33">
            <v>8.0903000000000009</v>
          </cell>
          <cell r="H33">
            <v>1.020742420477065</v>
          </cell>
        </row>
        <row r="34">
          <cell r="A34" t="str">
            <v>Western Europe</v>
          </cell>
          <cell r="B34">
            <v>2.0000000000000001E-4</v>
          </cell>
          <cell r="C34">
            <v>1.1599999999999999E-2</v>
          </cell>
          <cell r="D34">
            <v>0.16119999999999998</v>
          </cell>
          <cell r="E34">
            <v>0.51919999999999999</v>
          </cell>
          <cell r="F34">
            <v>1.2255999999999998</v>
          </cell>
          <cell r="G34">
            <v>2.2918000000000003</v>
          </cell>
        </row>
        <row r="35">
          <cell r="A35" t="str">
            <v>North America</v>
          </cell>
          <cell r="B35">
            <v>5.5E-2</v>
          </cell>
          <cell r="C35">
            <v>0.14909999999999998</v>
          </cell>
          <cell r="D35">
            <v>0.49130000000000001</v>
          </cell>
          <cell r="E35">
            <v>0.86260000000000003</v>
          </cell>
          <cell r="F35">
            <v>1.5225</v>
          </cell>
          <cell r="G35">
            <v>2.1739000000000002</v>
          </cell>
        </row>
        <row r="36">
          <cell r="A36" t="str">
            <v>Asia/Pacific</v>
          </cell>
          <cell r="B36">
            <v>4.7700000000000006E-2</v>
          </cell>
          <cell r="C36">
            <v>0.15869999999999998</v>
          </cell>
          <cell r="D36">
            <v>0.38600000000000001</v>
          </cell>
          <cell r="E36">
            <v>0.81110000000000004</v>
          </cell>
          <cell r="F36">
            <v>1.5250999999999999</v>
          </cell>
          <cell r="G36">
            <v>2.5516000000000001</v>
          </cell>
        </row>
        <row r="37">
          <cell r="A37" t="str">
            <v>Japan</v>
          </cell>
          <cell r="B37">
            <v>0.1017</v>
          </cell>
          <cell r="C37">
            <v>0.1658</v>
          </cell>
          <cell r="D37">
            <v>0.26880000000000004</v>
          </cell>
          <cell r="E37">
            <v>0.52470000000000006</v>
          </cell>
          <cell r="F37">
            <v>0.82989999999999997</v>
          </cell>
          <cell r="G37">
            <v>1.073</v>
          </cell>
        </row>
        <row r="53">
          <cell r="A53" t="str">
            <v>Gartner</v>
          </cell>
        </row>
        <row r="54">
          <cell r="A54" t="str">
            <v>LBS usage rate</v>
          </cell>
        </row>
        <row r="55">
          <cell r="A55" t="str">
            <v>Hype Cycle for Consumer Mobile Applications, 2008</v>
          </cell>
        </row>
        <row r="56">
          <cell r="A56">
            <v>39630</v>
          </cell>
        </row>
        <row r="58">
          <cell r="A58" t="str">
            <v>South Korea</v>
          </cell>
          <cell r="B58">
            <v>0.12</v>
          </cell>
        </row>
        <row r="59">
          <cell r="A59" t="str">
            <v>Japan</v>
          </cell>
          <cell r="B59">
            <v>0.08</v>
          </cell>
        </row>
        <row r="60">
          <cell r="A60" t="str">
            <v>Australia</v>
          </cell>
          <cell r="B60">
            <v>7.0000000000000007E-2</v>
          </cell>
        </row>
        <row r="61">
          <cell r="A61" t="str">
            <v>Europe</v>
          </cell>
          <cell r="B61">
            <v>0.05</v>
          </cell>
        </row>
        <row r="62">
          <cell r="A62" t="str">
            <v>N. America</v>
          </cell>
          <cell r="B62">
            <v>0.05</v>
          </cell>
        </row>
        <row r="72">
          <cell r="J72" t="str">
            <v>Parks Associates (cited in eMarketer report)</v>
          </cell>
        </row>
        <row r="73">
          <cell r="A73" t="str">
            <v>Gartner</v>
          </cell>
          <cell r="J73" t="str">
            <v>GPS integrated mobile device shipments worldwidw (MM)</v>
          </cell>
        </row>
        <row r="74">
          <cell r="A74" t="str">
            <v>Mobile Business 2.0 Trends</v>
          </cell>
        </row>
        <row r="75">
          <cell r="A75" t="str">
            <v>Page 6</v>
          </cell>
          <cell r="K75">
            <v>2007</v>
          </cell>
          <cell r="L75">
            <v>2008</v>
          </cell>
          <cell r="M75">
            <v>2009</v>
          </cell>
          <cell r="N75">
            <v>2010</v>
          </cell>
          <cell r="O75">
            <v>2011</v>
          </cell>
          <cell r="P75">
            <v>2012</v>
          </cell>
        </row>
        <row r="76">
          <cell r="J76" t="str">
            <v>Units</v>
          </cell>
          <cell r="K76">
            <v>162</v>
          </cell>
          <cell r="L76">
            <v>271</v>
          </cell>
          <cell r="M76">
            <v>394</v>
          </cell>
          <cell r="N76">
            <v>508</v>
          </cell>
          <cell r="O76">
            <v>680</v>
          </cell>
          <cell r="P76">
            <v>834</v>
          </cell>
          <cell r="Q76">
            <v>0.38781062218130447</v>
          </cell>
        </row>
        <row r="78">
          <cell r="A78" t="str">
            <v>GPS in device</v>
          </cell>
          <cell r="B78">
            <v>0.4</v>
          </cell>
        </row>
        <row r="79">
          <cell r="A79" t="str">
            <v>No GPS in device</v>
          </cell>
          <cell r="B79">
            <v>0.6</v>
          </cell>
        </row>
      </sheetData>
      <sheetData sheetId="8">
        <row r="1">
          <cell r="A1" t="str">
            <v>eMarketer</v>
          </cell>
        </row>
        <row r="2">
          <cell r="A2" t="str">
            <v>Mobile Social Networks</v>
          </cell>
        </row>
        <row r="3">
          <cell r="A3">
            <v>39569</v>
          </cell>
        </row>
        <row r="4">
          <cell r="A4" t="str">
            <v>Pg 1</v>
          </cell>
        </row>
        <row r="6">
          <cell r="B6">
            <v>2007</v>
          </cell>
          <cell r="C6">
            <v>2008</v>
          </cell>
          <cell r="D6">
            <v>2009</v>
          </cell>
          <cell r="E6">
            <v>2010</v>
          </cell>
          <cell r="F6">
            <v>2011</v>
          </cell>
          <cell r="G6">
            <v>2012</v>
          </cell>
        </row>
        <row r="7">
          <cell r="A7" t="str">
            <v>Mobile social network users</v>
          </cell>
          <cell r="B7">
            <v>82</v>
          </cell>
          <cell r="C7">
            <v>147</v>
          </cell>
          <cell r="D7">
            <v>243</v>
          </cell>
          <cell r="E7">
            <v>369</v>
          </cell>
          <cell r="F7">
            <v>554</v>
          </cell>
          <cell r="G7">
            <v>803</v>
          </cell>
          <cell r="H7">
            <v>0.57826650080191233</v>
          </cell>
        </row>
        <row r="8">
          <cell r="A8" t="str">
            <v>% of mobile subscribers</v>
          </cell>
          <cell r="B8">
            <v>2.7E-2</v>
          </cell>
          <cell r="C8">
            <v>4.2999999999999997E-2</v>
          </cell>
          <cell r="D8">
            <v>6.6000000000000003E-2</v>
          </cell>
          <cell r="E8">
            <v>9.5000000000000001E-2</v>
          </cell>
          <cell r="F8">
            <v>0.13300000000000001</v>
          </cell>
          <cell r="G8">
            <v>0.188</v>
          </cell>
        </row>
        <row r="25">
          <cell r="A25" t="str">
            <v>eMarketer</v>
          </cell>
        </row>
        <row r="26">
          <cell r="A26" t="str">
            <v>Mobile Social Networks</v>
          </cell>
        </row>
        <row r="27">
          <cell r="A27">
            <v>39569</v>
          </cell>
        </row>
        <row r="28">
          <cell r="A28" t="str">
            <v>Pg 7</v>
          </cell>
        </row>
        <row r="30">
          <cell r="B30" t="str">
            <v>Online</v>
          </cell>
          <cell r="C30" t="str">
            <v>Mobile</v>
          </cell>
        </row>
        <row r="31">
          <cell r="A31" t="str">
            <v>Several times a day</v>
          </cell>
          <cell r="B31">
            <v>0.12</v>
          </cell>
          <cell r="C31">
            <v>0</v>
          </cell>
        </row>
        <row r="32">
          <cell r="A32" t="str">
            <v>Once a day</v>
          </cell>
          <cell r="B32">
            <v>0.08</v>
          </cell>
          <cell r="C32">
            <v>0</v>
          </cell>
        </row>
        <row r="33">
          <cell r="A33" t="str">
            <v>Several times a week</v>
          </cell>
          <cell r="B33">
            <v>0.23</v>
          </cell>
          <cell r="C33">
            <v>7.0000000000000007E-2</v>
          </cell>
        </row>
        <row r="34">
          <cell r="A34" t="str">
            <v>Once a week</v>
          </cell>
          <cell r="B34">
            <v>0.08</v>
          </cell>
          <cell r="C34">
            <v>7.0000000000000007E-2</v>
          </cell>
        </row>
        <row r="35">
          <cell r="A35" t="str">
            <v>Several times a month</v>
          </cell>
          <cell r="B35">
            <v>0.26</v>
          </cell>
          <cell r="C35">
            <v>0.11</v>
          </cell>
        </row>
        <row r="36">
          <cell r="A36" t="str">
            <v>Once in awhile</v>
          </cell>
          <cell r="B36">
            <v>0.15</v>
          </cell>
          <cell r="C36">
            <v>0.42</v>
          </cell>
        </row>
        <row r="37">
          <cell r="A37" t="str">
            <v>Never</v>
          </cell>
          <cell r="B37">
            <v>0.08</v>
          </cell>
          <cell r="C37">
            <v>0.33</v>
          </cell>
        </row>
        <row r="53">
          <cell r="A53" t="str">
            <v>eMarketer</v>
          </cell>
        </row>
        <row r="54">
          <cell r="A54" t="str">
            <v>Mobile Social Networks</v>
          </cell>
        </row>
        <row r="55">
          <cell r="A55">
            <v>39569</v>
          </cell>
        </row>
        <row r="56">
          <cell r="A56" t="str">
            <v>Pg 6</v>
          </cell>
        </row>
        <row r="58">
          <cell r="B58" t="str">
            <v>Social network users</v>
          </cell>
          <cell r="C58" t="str">
            <v>Non-social network users</v>
          </cell>
        </row>
        <row r="59">
          <cell r="A59" t="str">
            <v>Sent/received SMS text</v>
          </cell>
          <cell r="B59">
            <v>0.6</v>
          </cell>
          <cell r="C59">
            <v>0.25</v>
          </cell>
        </row>
        <row r="60">
          <cell r="A60" t="str">
            <v>Sent/received email</v>
          </cell>
          <cell r="B60">
            <v>0.59</v>
          </cell>
          <cell r="C60">
            <v>0.42</v>
          </cell>
        </row>
        <row r="61">
          <cell r="A61" t="str">
            <v>Browsed Internet for news/info</v>
          </cell>
          <cell r="B61">
            <v>0.59</v>
          </cell>
          <cell r="C61">
            <v>0.39</v>
          </cell>
        </row>
        <row r="62">
          <cell r="A62" t="str">
            <v>Sent/received digital pics</v>
          </cell>
          <cell r="B62">
            <v>0.54</v>
          </cell>
          <cell r="C62">
            <v>0.28999999999999998</v>
          </cell>
        </row>
        <row r="63">
          <cell r="A63" t="str">
            <v>Played video game</v>
          </cell>
          <cell r="B63">
            <v>0.42</v>
          </cell>
          <cell r="C63">
            <v>0.17</v>
          </cell>
        </row>
        <row r="85">
          <cell r="A85" t="str">
            <v>Frost, Insight into US mobile SNS, March 2008</v>
          </cell>
        </row>
        <row r="86">
          <cell r="A86" t="str">
            <v>F i g u r e 4 - 1</v>
          </cell>
        </row>
        <row r="87">
          <cell r="A87" t="str">
            <v>An Insight into U.S. Mobile Social Networking Market: Application Revenues from On-deck</v>
          </cell>
        </row>
        <row r="88">
          <cell r="A88" t="str">
            <v>Mobile Social Networking Services (U.S.), 2007-2012</v>
          </cell>
        </row>
        <row r="90">
          <cell r="B90" t="str">
            <v>Revenues (MM)</v>
          </cell>
        </row>
        <row r="91">
          <cell r="A91">
            <v>2007</v>
          </cell>
          <cell r="B91">
            <v>57.4</v>
          </cell>
        </row>
        <row r="92">
          <cell r="A92">
            <v>2008</v>
          </cell>
          <cell r="B92">
            <v>140.9</v>
          </cell>
        </row>
        <row r="93">
          <cell r="A93">
            <v>2009</v>
          </cell>
          <cell r="B93">
            <v>216</v>
          </cell>
        </row>
        <row r="94">
          <cell r="A94">
            <v>2010</v>
          </cell>
          <cell r="B94">
            <v>294</v>
          </cell>
        </row>
        <row r="95">
          <cell r="A95">
            <v>2011</v>
          </cell>
          <cell r="B95">
            <v>365.4</v>
          </cell>
        </row>
        <row r="96">
          <cell r="A96">
            <v>2012</v>
          </cell>
          <cell r="B96">
            <v>412.1</v>
          </cell>
        </row>
        <row r="97">
          <cell r="B97">
            <v>0.48326293525306396</v>
          </cell>
        </row>
      </sheetData>
      <sheetData sheetId="9">
        <row r="1">
          <cell r="A1" t="str">
            <v>IDC</v>
          </cell>
        </row>
        <row r="2">
          <cell r="A2" t="str">
            <v>Worldwide Mobile Worker Population by Segment, 2006–2011 (M)</v>
          </cell>
        </row>
        <row r="3">
          <cell r="A3" t="str">
            <v>Figure 4</v>
          </cell>
        </row>
        <row r="5">
          <cell r="B5">
            <v>2006</v>
          </cell>
          <cell r="C5">
            <v>2011</v>
          </cell>
        </row>
        <row r="6">
          <cell r="A6" t="str">
            <v>APAC</v>
          </cell>
          <cell r="B6">
            <v>0.63300000000000001</v>
          </cell>
          <cell r="C6">
            <v>0.66800000000000004</v>
          </cell>
        </row>
        <row r="7">
          <cell r="A7" t="str">
            <v>US</v>
          </cell>
          <cell r="B7">
            <v>0.13900000000000001</v>
          </cell>
          <cell r="C7">
            <v>0.11899999999999999</v>
          </cell>
        </row>
        <row r="8">
          <cell r="A8" t="str">
            <v>W. Europe</v>
          </cell>
          <cell r="B8">
            <v>0.113</v>
          </cell>
          <cell r="C8">
            <v>9.2999999999999999E-2</v>
          </cell>
        </row>
        <row r="9">
          <cell r="A9" t="str">
            <v>Japan</v>
          </cell>
          <cell r="B9">
            <v>4.5999999999999999E-2</v>
          </cell>
          <cell r="C9">
            <v>5.2999999999999999E-2</v>
          </cell>
        </row>
        <row r="10">
          <cell r="A10" t="str">
            <v>ROW</v>
          </cell>
          <cell r="B10">
            <v>6.9000000000000006E-2</v>
          </cell>
          <cell r="C10">
            <v>6.7000000000000004E-2</v>
          </cell>
        </row>
        <row r="29">
          <cell r="A29" t="str">
            <v>IDC</v>
          </cell>
        </row>
        <row r="30">
          <cell r="A30" t="str">
            <v>Worldwide Mobile Worker Population by Segment, 2006–2011 (M)</v>
          </cell>
        </row>
        <row r="31">
          <cell r="A31" t="str">
            <v>Table 2</v>
          </cell>
        </row>
        <row r="32">
          <cell r="B32">
            <v>2006</v>
          </cell>
          <cell r="C32">
            <v>2007</v>
          </cell>
          <cell r="D32">
            <v>2008</v>
          </cell>
          <cell r="E32">
            <v>2009</v>
          </cell>
          <cell r="F32">
            <v>2010</v>
          </cell>
          <cell r="G32">
            <v>2011</v>
          </cell>
        </row>
        <row r="33">
          <cell r="A33" t="str">
            <v>Mobile office</v>
          </cell>
          <cell r="B33">
            <v>472.7</v>
          </cell>
          <cell r="C33">
            <v>498.7</v>
          </cell>
          <cell r="D33">
            <v>527.6</v>
          </cell>
          <cell r="E33">
            <v>556.70000000000005</v>
          </cell>
          <cell r="F33">
            <v>588.29999999999995</v>
          </cell>
          <cell r="G33">
            <v>622.9</v>
          </cell>
        </row>
        <row r="34">
          <cell r="A34" t="str">
            <v>Mobile nonoffice</v>
          </cell>
          <cell r="B34">
            <v>240.5</v>
          </cell>
          <cell r="C34">
            <v>254.7</v>
          </cell>
          <cell r="D34">
            <v>269.8</v>
          </cell>
          <cell r="E34">
            <v>286.7</v>
          </cell>
          <cell r="F34">
            <v>304</v>
          </cell>
          <cell r="G34">
            <v>324.39999999999998</v>
          </cell>
        </row>
        <row r="35">
          <cell r="A35" t="str">
            <v>Mobile home based</v>
          </cell>
          <cell r="B35">
            <v>45.4</v>
          </cell>
          <cell r="C35">
            <v>47.7</v>
          </cell>
          <cell r="D35">
            <v>50.5</v>
          </cell>
          <cell r="E35">
            <v>53.1</v>
          </cell>
          <cell r="F35">
            <v>55.4</v>
          </cell>
          <cell r="G35">
            <v>58</v>
          </cell>
        </row>
        <row r="36">
          <cell r="B36">
            <v>758.6</v>
          </cell>
          <cell r="C36">
            <v>801.1</v>
          </cell>
          <cell r="D36">
            <v>847.90000000000009</v>
          </cell>
          <cell r="E36">
            <v>896.50000000000011</v>
          </cell>
          <cell r="F36">
            <v>947.69999999999993</v>
          </cell>
          <cell r="G36">
            <v>1005.3</v>
          </cell>
          <cell r="H36">
            <v>5.7929113618942152E-2</v>
          </cell>
        </row>
        <row r="58">
          <cell r="A58" t="str">
            <v>IDC</v>
          </cell>
        </row>
        <row r="59">
          <cell r="A59" t="str">
            <v>Wor ldwi d e Corporate Mob ile Emai l 2008-2012, Forecast a n d Anal ysi s</v>
          </cell>
        </row>
        <row r="60">
          <cell r="A60" t="str">
            <v>Table 2, Page 11</v>
          </cell>
        </row>
        <row r="61">
          <cell r="A61" t="str">
            <v>March 2008</v>
          </cell>
        </row>
        <row r="62">
          <cell r="A62" t="str">
            <v>$bn</v>
          </cell>
        </row>
        <row r="63">
          <cell r="B63">
            <v>2007</v>
          </cell>
          <cell r="C63">
            <v>2008</v>
          </cell>
          <cell r="D63">
            <v>2009</v>
          </cell>
          <cell r="E63">
            <v>2010</v>
          </cell>
          <cell r="F63">
            <v>2011</v>
          </cell>
          <cell r="G63">
            <v>2012</v>
          </cell>
        </row>
        <row r="64">
          <cell r="A64" t="str">
            <v>Americas</v>
          </cell>
          <cell r="B64">
            <v>262.74</v>
          </cell>
          <cell r="C64">
            <v>335.6</v>
          </cell>
          <cell r="D64">
            <v>442.8</v>
          </cell>
          <cell r="E64">
            <v>563.26</v>
          </cell>
          <cell r="F64">
            <v>692.04</v>
          </cell>
          <cell r="G64">
            <v>824.9</v>
          </cell>
          <cell r="H64">
            <v>0.25711503805619373</v>
          </cell>
        </row>
        <row r="65">
          <cell r="A65" t="str">
            <v>EMEA</v>
          </cell>
          <cell r="B65">
            <v>120.54</v>
          </cell>
          <cell r="C65">
            <v>157.19999999999999</v>
          </cell>
          <cell r="D65">
            <v>217.5</v>
          </cell>
          <cell r="E65">
            <v>284.36</v>
          </cell>
          <cell r="F65">
            <v>356.24</v>
          </cell>
          <cell r="G65">
            <v>430.8</v>
          </cell>
          <cell r="H65">
            <v>0.29011641623541728</v>
          </cell>
        </row>
        <row r="66">
          <cell r="A66" t="str">
            <v>Asia/Pacific</v>
          </cell>
          <cell r="B66">
            <v>26.6</v>
          </cell>
          <cell r="C66">
            <v>36.5</v>
          </cell>
          <cell r="D66">
            <v>50.5</v>
          </cell>
          <cell r="E66">
            <v>66.8</v>
          </cell>
          <cell r="F66">
            <v>86.2</v>
          </cell>
          <cell r="G66">
            <v>107.7</v>
          </cell>
          <cell r="H66">
            <v>0.32271662859300854</v>
          </cell>
        </row>
        <row r="67">
          <cell r="B67">
            <v>409.88000000000005</v>
          </cell>
          <cell r="C67">
            <v>529.29999999999995</v>
          </cell>
          <cell r="D67">
            <v>710.8</v>
          </cell>
          <cell r="E67">
            <v>914.42</v>
          </cell>
          <cell r="F67">
            <v>1134.48</v>
          </cell>
          <cell r="G67">
            <v>1363.4</v>
          </cell>
          <cell r="H67">
            <v>0.27172530320923505</v>
          </cell>
        </row>
        <row r="69">
          <cell r="J69" t="str">
            <v>2007-12E CAGRs</v>
          </cell>
        </row>
        <row r="70">
          <cell r="J70" t="str">
            <v>Americas</v>
          </cell>
          <cell r="K70">
            <v>0.25711503805619373</v>
          </cell>
        </row>
        <row r="71">
          <cell r="J71" t="str">
            <v>EMEA</v>
          </cell>
          <cell r="K71">
            <v>0.29011641623541728</v>
          </cell>
        </row>
        <row r="72">
          <cell r="J72" t="str">
            <v>Asia/Pacific</v>
          </cell>
          <cell r="K72">
            <v>0.32271662859300854</v>
          </cell>
        </row>
        <row r="73">
          <cell r="J73" t="str">
            <v>Total</v>
          </cell>
          <cell r="K73">
            <v>0.27172530320923505</v>
          </cell>
        </row>
      </sheetData>
      <sheetData sheetId="10"/>
      <sheetData sheetId="11"/>
      <sheetData sheetId="12"/>
      <sheetData sheetId="13"/>
      <sheetData sheetId="14">
        <row r="1">
          <cell r="A1" t="str">
            <v>Merrill Lynch, 2008.09.25</v>
          </cell>
        </row>
        <row r="2">
          <cell r="A2" t="str">
            <v>Global wireless matrix, Q2 2008, Page 190</v>
          </cell>
        </row>
        <row r="4">
          <cell r="A4" t="str">
            <v>US</v>
          </cell>
          <cell r="B4">
            <v>2006</v>
          </cell>
          <cell r="C4">
            <v>2007</v>
          </cell>
          <cell r="D4">
            <v>2008</v>
          </cell>
          <cell r="E4">
            <v>2009</v>
          </cell>
          <cell r="F4">
            <v>2010</v>
          </cell>
        </row>
        <row r="6">
          <cell r="A6" t="str">
            <v>Population (mn)</v>
          </cell>
          <cell r="B6">
            <v>299.10000000000002</v>
          </cell>
          <cell r="C6">
            <v>302</v>
          </cell>
          <cell r="D6">
            <v>305</v>
          </cell>
          <cell r="E6">
            <v>308</v>
          </cell>
          <cell r="F6">
            <v>311.10000000000002</v>
          </cell>
        </row>
        <row r="7">
          <cell r="A7" t="str">
            <v>Wireless Penetration</v>
          </cell>
          <cell r="B7">
            <v>0.77900000000000003</v>
          </cell>
          <cell r="C7">
            <v>0.84</v>
          </cell>
          <cell r="D7">
            <v>0.89400000000000002</v>
          </cell>
          <cell r="E7">
            <v>0.93300000000000005</v>
          </cell>
          <cell r="F7">
            <v>0.96499999999999997</v>
          </cell>
        </row>
        <row r="8">
          <cell r="A8" t="str">
            <v>Increase</v>
          </cell>
          <cell r="B8">
            <v>7.8E-2</v>
          </cell>
          <cell r="C8">
            <v>0.06</v>
          </cell>
          <cell r="D8">
            <v>3.3000000000000002E-2</v>
          </cell>
          <cell r="E8">
            <v>0.03</v>
          </cell>
          <cell r="F8">
            <v>2.7E-2</v>
          </cell>
        </row>
        <row r="10">
          <cell r="A10" t="str">
            <v>Subscribers (MMs)</v>
          </cell>
        </row>
        <row r="11">
          <cell r="B11">
            <v>2006</v>
          </cell>
          <cell r="C11">
            <v>2007</v>
          </cell>
          <cell r="D11">
            <v>2008</v>
          </cell>
          <cell r="E11">
            <v>2009</v>
          </cell>
          <cell r="F11">
            <v>2010</v>
          </cell>
        </row>
        <row r="12">
          <cell r="A12" t="str">
            <v>Verizon Wireless</v>
          </cell>
          <cell r="B12">
            <v>59.052</v>
          </cell>
          <cell r="C12">
            <v>65.706999999999994</v>
          </cell>
          <cell r="D12">
            <v>72.656999999999996</v>
          </cell>
          <cell r="E12">
            <v>88.507000000000005</v>
          </cell>
          <cell r="F12">
            <v>91.007000000000005</v>
          </cell>
        </row>
        <row r="13">
          <cell r="A13" t="str">
            <v>AT&amp;T Mobility</v>
          </cell>
          <cell r="B13">
            <v>60.962000000000003</v>
          </cell>
          <cell r="C13">
            <v>70.052000000000007</v>
          </cell>
          <cell r="D13">
            <v>76.152000000000001</v>
          </cell>
          <cell r="E13">
            <v>81.152000000000001</v>
          </cell>
          <cell r="F13">
            <v>84.652000000000001</v>
          </cell>
        </row>
        <row r="14">
          <cell r="A14" t="str">
            <v>T-Mobile USA</v>
          </cell>
          <cell r="B14">
            <v>25.041</v>
          </cell>
          <cell r="C14">
            <v>28.684999999999999</v>
          </cell>
          <cell r="D14">
            <v>32.835000000000001</v>
          </cell>
          <cell r="E14">
            <v>35.5</v>
          </cell>
          <cell r="F14">
            <v>37.710999999999999</v>
          </cell>
        </row>
        <row r="15">
          <cell r="A15" t="str">
            <v>Sprint</v>
          </cell>
          <cell r="B15">
            <v>41.805</v>
          </cell>
          <cell r="C15">
            <v>40.747999999999998</v>
          </cell>
          <cell r="D15">
            <v>37.548000000000002</v>
          </cell>
          <cell r="E15">
            <v>36.798000000000002</v>
          </cell>
          <cell r="F15">
            <v>37.298000000000002</v>
          </cell>
        </row>
        <row r="16">
          <cell r="A16" t="str">
            <v>Others</v>
          </cell>
          <cell r="B16">
            <v>46.180999999999997</v>
          </cell>
          <cell r="C16">
            <v>50.203000000000003</v>
          </cell>
          <cell r="D16">
            <v>53.671999999999997</v>
          </cell>
          <cell r="E16">
            <v>48.112000000000002</v>
          </cell>
          <cell r="F16">
            <v>53.545000000000002</v>
          </cell>
        </row>
        <row r="17">
          <cell r="B17">
            <v>233.041</v>
          </cell>
          <cell r="C17">
            <v>255.39500000000001</v>
          </cell>
          <cell r="D17">
            <v>272.86400000000003</v>
          </cell>
          <cell r="E17">
            <v>290.06900000000002</v>
          </cell>
          <cell r="F17">
            <v>304.21300000000002</v>
          </cell>
        </row>
        <row r="18">
          <cell r="A18" t="str">
            <v>YoY growth</v>
          </cell>
          <cell r="B18">
            <v>0.121</v>
          </cell>
          <cell r="C18">
            <v>9.6000000000000002E-2</v>
          </cell>
          <cell r="D18">
            <v>6.8000000000000005E-2</v>
          </cell>
          <cell r="E18">
            <v>6.3E-2</v>
          </cell>
          <cell r="F18">
            <v>4.9000000000000002E-2</v>
          </cell>
        </row>
        <row r="20">
          <cell r="A20" t="str">
            <v>Subscriber market share (%)</v>
          </cell>
        </row>
        <row r="21">
          <cell r="B21">
            <v>2006</v>
          </cell>
          <cell r="C21">
            <v>2007</v>
          </cell>
          <cell r="D21">
            <v>2008</v>
          </cell>
          <cell r="E21">
            <v>2009</v>
          </cell>
          <cell r="F21">
            <v>2010</v>
          </cell>
        </row>
        <row r="22">
          <cell r="A22" t="str">
            <v>Verizon Wireless</v>
          </cell>
          <cell r="B22">
            <v>0.25339747083131292</v>
          </cell>
          <cell r="C22">
            <v>0.25727598425967613</v>
          </cell>
          <cell r="D22">
            <v>0.26627550721238413</v>
          </cell>
          <cell r="E22">
            <v>0.30512395326629183</v>
          </cell>
          <cell r="F22">
            <v>0.29915552589797278</v>
          </cell>
        </row>
        <row r="23">
          <cell r="A23" t="str">
            <v>AT&amp;T Mobility</v>
          </cell>
          <cell r="B23">
            <v>0.2615934535124721</v>
          </cell>
          <cell r="C23">
            <v>0.27428884668846298</v>
          </cell>
          <cell r="D23">
            <v>0.27908408584496303</v>
          </cell>
          <cell r="E23">
            <v>0.27976791728864508</v>
          </cell>
          <cell r="F23">
            <v>0.27826555735619452</v>
          </cell>
        </row>
        <row r="24">
          <cell r="A24" t="str">
            <v>T-Mobile USA</v>
          </cell>
          <cell r="B24">
            <v>0.10745319493136402</v>
          </cell>
          <cell r="C24">
            <v>0.11231621605747959</v>
          </cell>
          <cell r="D24">
            <v>0.12033467221766153</v>
          </cell>
          <cell r="E24">
            <v>0.12238467399136067</v>
          </cell>
          <cell r="F24">
            <v>0.12396248681022834</v>
          </cell>
        </row>
        <row r="25">
          <cell r="A25" t="str">
            <v>Sprint</v>
          </cell>
          <cell r="B25">
            <v>0.17938903454756888</v>
          </cell>
          <cell r="C25">
            <v>0.15954893400418957</v>
          </cell>
          <cell r="D25">
            <v>0.13760701301747388</v>
          </cell>
          <cell r="E25">
            <v>0.12685947136715747</v>
          </cell>
          <cell r="F25">
            <v>0.12260488539280044</v>
          </cell>
        </row>
        <row r="26">
          <cell r="A26" t="str">
            <v>Others</v>
          </cell>
          <cell r="B26">
            <v>0.19816684617728211</v>
          </cell>
          <cell r="C26">
            <v>0.19657001899019166</v>
          </cell>
          <cell r="D26">
            <v>0.19669872170751726</v>
          </cell>
          <cell r="E26">
            <v>0.16586398408654493</v>
          </cell>
          <cell r="F26">
            <v>0.17601154454280388</v>
          </cell>
        </row>
        <row r="28">
          <cell r="A28">
            <v>1000</v>
          </cell>
        </row>
        <row r="29">
          <cell r="A29" t="str">
            <v>Net subscriber adds (000)</v>
          </cell>
          <cell r="B29">
            <v>2006</v>
          </cell>
          <cell r="C29">
            <v>2007</v>
          </cell>
          <cell r="D29">
            <v>2008</v>
          </cell>
          <cell r="E29">
            <v>2009</v>
          </cell>
          <cell r="F29">
            <v>2010</v>
          </cell>
        </row>
        <row r="30">
          <cell r="A30" t="str">
            <v>Verizon Wireless</v>
          </cell>
          <cell r="B30">
            <v>7.7149999999999999</v>
          </cell>
          <cell r="C30">
            <v>6.6550000000000002</v>
          </cell>
          <cell r="D30">
            <v>6.25</v>
          </cell>
          <cell r="E30">
            <v>4.3499999999999996</v>
          </cell>
          <cell r="F30">
            <v>2.5</v>
          </cell>
        </row>
        <row r="31">
          <cell r="A31" t="str">
            <v>AT&amp;T Mobility</v>
          </cell>
          <cell r="B31">
            <v>6.8179999999999996</v>
          </cell>
          <cell r="C31">
            <v>7.3150000000000004</v>
          </cell>
          <cell r="D31">
            <v>6.1</v>
          </cell>
          <cell r="E31">
            <v>5</v>
          </cell>
          <cell r="F31">
            <v>3.5</v>
          </cell>
        </row>
        <row r="32">
          <cell r="A32" t="str">
            <v>T-Mobile USA</v>
          </cell>
          <cell r="B32">
            <v>3.351</v>
          </cell>
          <cell r="C32">
            <v>3.6440000000000001</v>
          </cell>
          <cell r="D32">
            <v>3.15</v>
          </cell>
          <cell r="E32">
            <v>2.665</v>
          </cell>
          <cell r="F32">
            <v>2.2109999999999999</v>
          </cell>
        </row>
        <row r="33">
          <cell r="A33" t="str">
            <v>Sprint</v>
          </cell>
          <cell r="B33">
            <v>4.8280000000000003</v>
          </cell>
          <cell r="C33">
            <v>-1.0569999999999999</v>
          </cell>
          <cell r="D33">
            <v>-3.2</v>
          </cell>
          <cell r="E33">
            <v>-0.75</v>
          </cell>
          <cell r="F33">
            <v>0.5</v>
          </cell>
        </row>
        <row r="34">
          <cell r="A34" t="str">
            <v>Others</v>
          </cell>
          <cell r="B34">
            <v>2.4329999999999998</v>
          </cell>
          <cell r="C34">
            <v>4.9340000000000002</v>
          </cell>
          <cell r="D34">
            <v>5.1689999999999996</v>
          </cell>
          <cell r="E34">
            <v>5.94</v>
          </cell>
          <cell r="F34">
            <v>5.4340000000000002</v>
          </cell>
        </row>
        <row r="35">
          <cell r="B35">
            <v>25.145</v>
          </cell>
          <cell r="C35">
            <v>21.491</v>
          </cell>
          <cell r="D35">
            <v>17.469000000000001</v>
          </cell>
          <cell r="E35">
            <v>17.204999999999998</v>
          </cell>
          <cell r="F35">
            <v>14.144</v>
          </cell>
        </row>
        <row r="36">
          <cell r="A36" t="str">
            <v>YoY growth</v>
          </cell>
          <cell r="B36">
            <v>-2.4E-2</v>
          </cell>
          <cell r="C36">
            <v>-0.14499999999999999</v>
          </cell>
          <cell r="D36">
            <v>-0.187</v>
          </cell>
          <cell r="E36">
            <v>-1.4999999999999999E-2</v>
          </cell>
          <cell r="F36">
            <v>-0.17799999999999999</v>
          </cell>
        </row>
        <row r="39">
          <cell r="A39" t="str">
            <v>Market share of net adds</v>
          </cell>
          <cell r="B39">
            <v>2006</v>
          </cell>
          <cell r="C39">
            <v>2007</v>
          </cell>
          <cell r="D39">
            <v>2008</v>
          </cell>
          <cell r="E39">
            <v>2009</v>
          </cell>
          <cell r="F39">
            <v>2010</v>
          </cell>
        </row>
        <row r="40">
          <cell r="A40" t="str">
            <v>Verizon Wireless</v>
          </cell>
          <cell r="B40">
            <v>0.30682044143965004</v>
          </cell>
          <cell r="C40">
            <v>0.30966451072541995</v>
          </cell>
          <cell r="D40">
            <v>0.35777663289255252</v>
          </cell>
          <cell r="E40">
            <v>0.25283347863993028</v>
          </cell>
          <cell r="F40">
            <v>0.17675339366515838</v>
          </cell>
        </row>
        <row r="41">
          <cell r="A41" t="str">
            <v>AT&amp;T Mobility</v>
          </cell>
          <cell r="B41">
            <v>0.27114734539669916</v>
          </cell>
          <cell r="C41">
            <v>0.3403750407147178</v>
          </cell>
          <cell r="D41">
            <v>0.3491899937031312</v>
          </cell>
          <cell r="E41">
            <v>0.29061319383900031</v>
          </cell>
          <cell r="F41">
            <v>0.24745475113122173</v>
          </cell>
        </row>
        <row r="42">
          <cell r="A42" t="str">
            <v>T-Mobile USA</v>
          </cell>
          <cell r="B42">
            <v>0.13326705110359913</v>
          </cell>
          <cell r="C42">
            <v>0.16955935042575962</v>
          </cell>
          <cell r="D42">
            <v>0.18031942297784645</v>
          </cell>
          <cell r="E42">
            <v>0.15489683231618717</v>
          </cell>
          <cell r="F42">
            <v>0.15632070135746606</v>
          </cell>
        </row>
        <row r="43">
          <cell r="A43" t="str">
            <v>Sprint</v>
          </cell>
          <cell r="B43">
            <v>0.1920063630940545</v>
          </cell>
          <cell r="C43">
            <v>-4.9183379088920939E-2</v>
          </cell>
          <cell r="D43">
            <v>-0.18318163604098689</v>
          </cell>
          <cell r="E43">
            <v>-4.3591979075850044E-2</v>
          </cell>
          <cell r="F43">
            <v>3.5350678733031674E-2</v>
          </cell>
        </row>
        <row r="44">
          <cell r="A44" t="str">
            <v>Others</v>
          </cell>
          <cell r="B44">
            <v>9.6758798965997206E-2</v>
          </cell>
          <cell r="C44">
            <v>0.22958447722302361</v>
          </cell>
          <cell r="D44">
            <v>0.29589558646745662</v>
          </cell>
          <cell r="E44">
            <v>0.34524847428073241</v>
          </cell>
          <cell r="F44">
            <v>0.38419117647058826</v>
          </cell>
        </row>
        <row r="50">
          <cell r="H50" t="str">
            <v>Subscriber CAGR 2007-2010</v>
          </cell>
        </row>
        <row r="51">
          <cell r="H51" t="str">
            <v>Verizon Wireless</v>
          </cell>
          <cell r="I51">
            <v>0.11469072227119881</v>
          </cell>
        </row>
        <row r="52">
          <cell r="H52" t="str">
            <v>AT&amp;T Mobility</v>
          </cell>
          <cell r="I52">
            <v>6.5137221346260876E-2</v>
          </cell>
        </row>
        <row r="53">
          <cell r="H53" t="str">
            <v>T-Mobile USA</v>
          </cell>
          <cell r="I53">
            <v>9.5479861560993529E-2</v>
          </cell>
        </row>
        <row r="54">
          <cell r="H54" t="str">
            <v>Sprint</v>
          </cell>
          <cell r="I54">
            <v>-2.9058459154990057E-2</v>
          </cell>
        </row>
        <row r="55">
          <cell r="H55" t="str">
            <v>Others</v>
          </cell>
          <cell r="I55">
            <v>2.1714956482499881E-2</v>
          </cell>
        </row>
        <row r="56">
          <cell r="H56" t="str">
            <v>Total</v>
          </cell>
          <cell r="I56">
            <v>6.0038875615728626E-2</v>
          </cell>
        </row>
        <row r="64">
          <cell r="A64" t="str">
            <v>Churn</v>
          </cell>
        </row>
        <row r="65">
          <cell r="B65">
            <v>2006</v>
          </cell>
          <cell r="C65">
            <v>2007</v>
          </cell>
          <cell r="D65">
            <v>2008</v>
          </cell>
          <cell r="E65">
            <v>2009</v>
          </cell>
          <cell r="F65">
            <v>2010</v>
          </cell>
        </row>
        <row r="66">
          <cell r="A66" t="str">
            <v>Verizon Wireless</v>
          </cell>
          <cell r="B66">
            <v>1.2E-2</v>
          </cell>
          <cell r="C66">
            <v>1.2E-2</v>
          </cell>
          <cell r="D66">
            <v>1.2999999999999999E-2</v>
          </cell>
          <cell r="E66">
            <v>1.4E-2</v>
          </cell>
          <cell r="F66">
            <v>1.4E-2</v>
          </cell>
        </row>
        <row r="67">
          <cell r="A67" t="str">
            <v>AT&amp;T Mobility</v>
          </cell>
          <cell r="B67">
            <v>1.7999999999999999E-2</v>
          </cell>
          <cell r="C67">
            <v>1.7000000000000001E-2</v>
          </cell>
          <cell r="D67">
            <v>1.6E-2</v>
          </cell>
          <cell r="E67">
            <v>1.6E-2</v>
          </cell>
          <cell r="F67">
            <v>1.7000000000000001E-2</v>
          </cell>
        </row>
        <row r="68">
          <cell r="A68" t="str">
            <v>T-Mobile USA</v>
          </cell>
          <cell r="B68">
            <v>2.9000000000000001E-2</v>
          </cell>
          <cell r="C68">
            <v>2.8000000000000001E-2</v>
          </cell>
          <cell r="D68">
            <v>2.7E-2</v>
          </cell>
          <cell r="E68">
            <v>2.5999999999999999E-2</v>
          </cell>
          <cell r="F68">
            <v>2.5000000000000001E-2</v>
          </cell>
        </row>
        <row r="69">
          <cell r="A69" t="str">
            <v>Sprint</v>
          </cell>
          <cell r="B69">
            <v>2.3E-2</v>
          </cell>
          <cell r="C69">
            <v>2.1999999999999999E-2</v>
          </cell>
          <cell r="D69">
            <v>2.1000000000000001E-2</v>
          </cell>
          <cell r="E69">
            <v>1.9E-2</v>
          </cell>
          <cell r="F69">
            <v>1.7999999999999999E-2</v>
          </cell>
        </row>
      </sheetData>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 val="Loyal &amp; Fast Growing  (2)"/>
      <sheetName val="CapTable"/>
      <sheetName val="Captable 2"/>
      <sheetName val="Roadshow"/>
      <sheetName val="Loyal &amp; Fast Growing "/>
      <sheetName val="Univque visitors vs peers"/>
      <sheetName val="Summary "/>
      <sheetName val="Rapid viral growth"/>
      <sheetName val="user data"/>
      <sheetName val="industry dynamics"/>
      <sheetName val="Sheet3"/>
      <sheetName val="graph of user growth"/>
      <sheetName val="Mobile search &amp; ads"/>
      <sheetName val="usage rates"/>
      <sheetName val="secular industry"/>
      <sheetName val="Sheet2"/>
      <sheetName val="Mobile Music"/>
      <sheetName val="Operator share"/>
      <sheetName val="Mobile TV &amp; Video"/>
      <sheetName val="Mobile SNS"/>
      <sheetName val="Mobile LBS"/>
      <sheetName val="Mobile data apps"/>
      <sheetName val="Mobile enterprise"/>
      <sheetName val="Mobile gaming"/>
      <sheetName val="Converged devi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eMarketer</v>
          </cell>
        </row>
        <row r="3">
          <cell r="A3" t="str">
            <v>Mobile Social Networking Users</v>
          </cell>
        </row>
        <row r="7">
          <cell r="B7">
            <v>2007</v>
          </cell>
          <cell r="C7">
            <v>2008</v>
          </cell>
          <cell r="D7">
            <v>2009</v>
          </cell>
          <cell r="E7">
            <v>2010</v>
          </cell>
          <cell r="F7">
            <v>2011</v>
          </cell>
          <cell r="G7">
            <v>2012</v>
          </cell>
        </row>
        <row r="8">
          <cell r="A8" t="str">
            <v>Mobile Internet users</v>
          </cell>
          <cell r="B8">
            <v>82</v>
          </cell>
          <cell r="C8">
            <v>406.49</v>
          </cell>
          <cell r="D8">
            <v>596</v>
          </cell>
          <cell r="E8">
            <v>757</v>
          </cell>
          <cell r="F8">
            <v>982</v>
          </cell>
          <cell r="G8">
            <v>1228</v>
          </cell>
          <cell r="H8">
            <v>0.71821261346718424</v>
          </cell>
        </row>
      </sheetData>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NKY"/>
      <sheetName val="#REF"/>
      <sheetName val="Bull Spread with Calls"/>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9.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10.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1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22.xml"/><Relationship Id="rId1" Type="http://schemas.openxmlformats.org/officeDocument/2006/relationships/printerSettings" Target="../printerSettings/printerSettings24.bin"/><Relationship Id="rId4" Type="http://schemas.openxmlformats.org/officeDocument/2006/relationships/comments" Target="../comments1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23.xml"/><Relationship Id="rId1" Type="http://schemas.openxmlformats.org/officeDocument/2006/relationships/printerSettings" Target="../printerSettings/printerSettings25.bin"/><Relationship Id="rId4" Type="http://schemas.openxmlformats.org/officeDocument/2006/relationships/comments" Target="../comments13.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45DA8-9629-44D9-9934-FA2EF5B6CE7B}">
  <dimension ref="A1"/>
  <sheetViews>
    <sheetView workbookViewId="0"/>
  </sheetViews>
  <sheetFormatPr defaultRowHeight="15"/>
  <sheetData>
    <row r="1" spans="1:1">
      <c r="A1" t="s">
        <v>933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B4817-8346-444A-B422-DD3CBB581EF2}">
  <dimension ref="A1:AT1"/>
  <sheetViews>
    <sheetView workbookViewId="0"/>
  </sheetViews>
  <sheetFormatPr defaultRowHeight="15"/>
  <sheetData>
    <row r="1" spans="1:46">
      <c r="A1">
        <v>46</v>
      </c>
      <c r="B1" t="s">
        <v>1025</v>
      </c>
      <c r="C1" t="s">
        <v>1026</v>
      </c>
      <c r="D1" t="s">
        <v>1027</v>
      </c>
      <c r="E1" t="s">
        <v>1028</v>
      </c>
      <c r="F1" t="s">
        <v>1029</v>
      </c>
      <c r="G1" t="s">
        <v>1030</v>
      </c>
      <c r="H1" t="s">
        <v>1031</v>
      </c>
      <c r="I1" t="s">
        <v>987</v>
      </c>
      <c r="J1" t="s">
        <v>988</v>
      </c>
      <c r="K1" t="s">
        <v>989</v>
      </c>
      <c r="L1" t="s">
        <v>990</v>
      </c>
      <c r="M1" t="s">
        <v>991</v>
      </c>
      <c r="N1" t="s">
        <v>992</v>
      </c>
      <c r="O1" t="s">
        <v>993</v>
      </c>
      <c r="P1" t="s">
        <v>994</v>
      </c>
      <c r="Q1" t="s">
        <v>995</v>
      </c>
      <c r="R1" t="s">
        <v>996</v>
      </c>
      <c r="S1" t="s">
        <v>997</v>
      </c>
      <c r="T1" t="s">
        <v>998</v>
      </c>
      <c r="U1" t="s">
        <v>999</v>
      </c>
      <c r="V1" t="s">
        <v>1000</v>
      </c>
      <c r="W1" t="s">
        <v>1001</v>
      </c>
      <c r="X1" t="s">
        <v>1002</v>
      </c>
      <c r="Y1" t="s">
        <v>1003</v>
      </c>
      <c r="Z1" t="s">
        <v>1004</v>
      </c>
      <c r="AA1" t="s">
        <v>1005</v>
      </c>
      <c r="AB1" t="s">
        <v>1006</v>
      </c>
      <c r="AC1" t="s">
        <v>1007</v>
      </c>
      <c r="AD1" t="s">
        <v>1008</v>
      </c>
      <c r="AE1" t="s">
        <v>1009</v>
      </c>
      <c r="AF1" t="s">
        <v>1010</v>
      </c>
      <c r="AG1" t="s">
        <v>1011</v>
      </c>
      <c r="AH1" t="s">
        <v>1012</v>
      </c>
      <c r="AI1" t="s">
        <v>1013</v>
      </c>
      <c r="AJ1" t="s">
        <v>1014</v>
      </c>
      <c r="AK1" t="s">
        <v>1015</v>
      </c>
      <c r="AL1" t="s">
        <v>1016</v>
      </c>
      <c r="AM1" t="s">
        <v>1017</v>
      </c>
      <c r="AN1" t="s">
        <v>1018</v>
      </c>
      <c r="AO1" t="s">
        <v>1019</v>
      </c>
      <c r="AP1" t="s">
        <v>1020</v>
      </c>
      <c r="AQ1" t="s">
        <v>1021</v>
      </c>
      <c r="AR1" t="s">
        <v>1022</v>
      </c>
      <c r="AS1" t="s">
        <v>1023</v>
      </c>
      <c r="AT1" t="s">
        <v>1024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AF99F-461C-4BE7-894C-B3E250A39560}">
  <sheetPr>
    <tabColor theme="7" tint="0.79998168889431442"/>
  </sheetPr>
  <dimension ref="A1:XFD221"/>
  <sheetViews>
    <sheetView tabSelected="1" view="pageBreakPreview" zoomScaleNormal="100" zoomScaleSheetLayoutView="100" workbookViewId="0">
      <pane xSplit="3" ySplit="7" topLeftCell="D8" activePane="bottomRight" state="frozen"/>
      <selection activeCell="E120" sqref="E120"/>
      <selection pane="topRight" activeCell="E120" sqref="E120"/>
      <selection pane="bottomLeft" activeCell="E120" sqref="E120"/>
      <selection pane="bottomRight" activeCell="J14" sqref="J14"/>
    </sheetView>
  </sheetViews>
  <sheetFormatPr defaultColWidth="9.140625" defaultRowHeight="11.25" customHeight="1" outlineLevelRow="1"/>
  <cols>
    <col min="1" max="1" width="2.7109375" style="2" customWidth="1"/>
    <col min="2" max="2" width="22.140625" style="2" customWidth="1"/>
    <col min="3" max="3" width="2.42578125" style="2" customWidth="1"/>
    <col min="4" max="21" width="8" style="2" customWidth="1"/>
    <col min="22" max="22" width="2.7109375" style="2" customWidth="1"/>
    <col min="23" max="23" width="9.5703125" style="2" bestFit="1" customWidth="1"/>
    <col min="24" max="16384" width="9.140625" style="2"/>
  </cols>
  <sheetData>
    <row r="1" spans="1:27" ht="11.25" customHeight="1">
      <c r="B1" s="125">
        <f ca="1">F116</f>
        <v>0.10720333456993106</v>
      </c>
      <c r="D1" s="27"/>
      <c r="I1" s="90" t="s">
        <v>105</v>
      </c>
      <c r="J1" s="90" t="s">
        <v>42</v>
      </c>
      <c r="K1" s="90" t="s">
        <v>77</v>
      </c>
      <c r="L1" s="90" t="s">
        <v>106</v>
      </c>
      <c r="M1" s="90" t="s">
        <v>107</v>
      </c>
      <c r="N1" s="90" t="s">
        <v>109</v>
      </c>
    </row>
    <row r="2" spans="1:27" ht="11.25" customHeight="1">
      <c r="A2" s="2" t="s">
        <v>292</v>
      </c>
      <c r="B2" s="55" t="s">
        <v>114</v>
      </c>
      <c r="D2" s="3"/>
      <c r="E2" s="3"/>
      <c r="F2" s="3"/>
      <c r="G2" s="3"/>
      <c r="H2" s="3"/>
      <c r="I2" s="3"/>
      <c r="J2" s="3"/>
      <c r="K2" s="3"/>
      <c r="L2" s="3"/>
      <c r="M2" s="3"/>
      <c r="N2" s="3"/>
      <c r="O2" s="3"/>
      <c r="P2" s="3"/>
      <c r="Q2" s="3"/>
      <c r="R2" s="3"/>
      <c r="S2" s="3"/>
      <c r="U2" s="124">
        <v>45657</v>
      </c>
      <c r="V2" s="3"/>
      <c r="W2"/>
      <c r="X2"/>
    </row>
    <row r="3" spans="1:27" ht="11.25" customHeight="1">
      <c r="A3" s="64" t="s">
        <v>774</v>
      </c>
      <c r="B3" s="5" t="str">
        <f>"Simple Model – Case "&amp;$A$3</f>
        <v>Simple Model – Case A (Base)</v>
      </c>
    </row>
    <row r="4" spans="1:27" ht="11.25" customHeight="1">
      <c r="B4" s="7" t="s">
        <v>111</v>
      </c>
      <c r="C4" s="123"/>
      <c r="D4" s="123"/>
      <c r="E4" s="123"/>
      <c r="F4" s="123"/>
      <c r="G4" s="123"/>
      <c r="H4" s="235"/>
      <c r="I4" s="123"/>
      <c r="J4" s="123"/>
      <c r="K4" s="123"/>
      <c r="L4" s="123"/>
      <c r="M4" s="123"/>
      <c r="N4" s="123"/>
      <c r="O4" s="123"/>
      <c r="P4" s="123"/>
      <c r="Q4" s="123"/>
      <c r="R4" s="123"/>
      <c r="S4" s="123"/>
      <c r="T4" s="123"/>
      <c r="U4" s="565" t="s">
        <v>850</v>
      </c>
    </row>
    <row r="5" spans="1:27" ht="11.25" customHeight="1">
      <c r="B5" s="6"/>
      <c r="J5" s="58"/>
      <c r="K5" s="58"/>
      <c r="L5" s="58"/>
      <c r="M5" s="58"/>
      <c r="N5" s="58"/>
      <c r="O5" s="58"/>
      <c r="P5" s="58"/>
      <c r="Q5" s="58"/>
      <c r="R5" s="58"/>
      <c r="S5" s="58"/>
      <c r="T5" s="58"/>
      <c r="U5" s="58"/>
    </row>
    <row r="6" spans="1:27" ht="13.5" customHeight="1">
      <c r="B6" s="39"/>
      <c r="D6" s="22" t="s">
        <v>0</v>
      </c>
      <c r="E6" s="22"/>
      <c r="F6" s="22"/>
      <c r="G6" s="22"/>
      <c r="H6" s="22"/>
      <c r="I6" s="22"/>
      <c r="J6" s="22"/>
      <c r="K6" s="22"/>
      <c r="L6" s="22"/>
      <c r="M6" s="22"/>
      <c r="N6" s="22"/>
      <c r="O6" s="22"/>
      <c r="P6" s="22"/>
      <c r="Q6" s="22"/>
      <c r="R6" s="22"/>
      <c r="S6" s="22"/>
      <c r="T6" s="22"/>
      <c r="U6" s="22"/>
      <c r="W6" s="89" t="s">
        <v>445</v>
      </c>
      <c r="X6" s="87"/>
      <c r="Y6" s="566" t="s">
        <v>851</v>
      </c>
    </row>
    <row r="7" spans="1:27" ht="13.5" customHeight="1">
      <c r="B7" s="198"/>
      <c r="D7" s="8" t="s">
        <v>1</v>
      </c>
      <c r="E7" s="8" t="s">
        <v>2</v>
      </c>
      <c r="F7" s="8" t="s">
        <v>3</v>
      </c>
      <c r="G7" s="8" t="s">
        <v>4</v>
      </c>
      <c r="H7" s="8" t="s">
        <v>5</v>
      </c>
      <c r="I7" s="8" t="s">
        <v>68</v>
      </c>
      <c r="J7" s="8" t="s">
        <v>6</v>
      </c>
      <c r="K7" s="8" t="s">
        <v>22</v>
      </c>
      <c r="L7" s="8" t="s">
        <v>23</v>
      </c>
      <c r="M7" s="8" t="s">
        <v>24</v>
      </c>
      <c r="N7" s="8" t="s">
        <v>25</v>
      </c>
      <c r="O7" s="8" t="s">
        <v>26</v>
      </c>
      <c r="P7" s="8" t="s">
        <v>27</v>
      </c>
      <c r="Q7" s="8" t="s">
        <v>38</v>
      </c>
      <c r="R7" s="8" t="s">
        <v>39</v>
      </c>
      <c r="S7" s="8" t="s">
        <v>40</v>
      </c>
      <c r="T7" s="8" t="s">
        <v>41</v>
      </c>
      <c r="U7" s="8" t="s">
        <v>112</v>
      </c>
      <c r="V7" s="8"/>
      <c r="W7" s="156" t="s">
        <v>407</v>
      </c>
      <c r="X7" s="156" t="s">
        <v>446</v>
      </c>
      <c r="Y7" s="156" t="s">
        <v>852</v>
      </c>
    </row>
    <row r="8" spans="1:27" ht="13.5" customHeight="1">
      <c r="B8" s="186"/>
      <c r="D8" s="230"/>
      <c r="E8" s="230"/>
      <c r="F8" s="230"/>
      <c r="G8" s="230"/>
      <c r="H8" s="230"/>
      <c r="I8" s="230"/>
      <c r="J8" s="230"/>
      <c r="K8" s="230"/>
      <c r="L8" s="230"/>
      <c r="M8" s="230"/>
      <c r="N8" s="230"/>
      <c r="O8" s="230"/>
      <c r="P8" s="230"/>
      <c r="Q8" s="230"/>
      <c r="R8" s="230"/>
      <c r="S8" s="230"/>
      <c r="T8" s="230"/>
      <c r="U8" s="230"/>
      <c r="V8" s="8"/>
      <c r="W8" s="156"/>
      <c r="X8" s="88"/>
    </row>
    <row r="9" spans="1:27" ht="11.25" customHeight="1">
      <c r="B9" s="30" t="s">
        <v>242</v>
      </c>
      <c r="C9" s="18"/>
      <c r="D9" s="273">
        <f>'Historical Financials'!AX10</f>
        <v>466.45228000000003</v>
      </c>
      <c r="E9" s="273">
        <f>'Historical Financials'!AY10</f>
        <v>523.61286300000006</v>
      </c>
      <c r="F9" s="273">
        <f>'Historical Financials'!AZ10</f>
        <v>645.30361300000004</v>
      </c>
      <c r="G9" s="273">
        <f>'Historical Financials'!BA10</f>
        <v>695.09119099999998</v>
      </c>
      <c r="H9" s="273">
        <f>'Historical Financials'!BB10</f>
        <v>888.87924999999996</v>
      </c>
      <c r="I9" s="273">
        <f>'Historical Financials'!BC10</f>
        <v>814.91399999999999</v>
      </c>
      <c r="J9" s="273">
        <f ca="1">'Historical Financials'!BD10</f>
        <v>998.38513517135789</v>
      </c>
      <c r="K9" s="231"/>
      <c r="L9" s="231"/>
      <c r="M9" s="231"/>
      <c r="N9" s="231"/>
      <c r="O9" s="231"/>
      <c r="P9" s="231"/>
      <c r="Q9" s="231"/>
      <c r="R9" s="231"/>
      <c r="S9" s="231"/>
      <c r="T9" s="231"/>
      <c r="U9" s="231"/>
      <c r="V9" s="8"/>
      <c r="W9" s="156"/>
      <c r="X9" s="88"/>
    </row>
    <row r="10" spans="1:27" ht="11.25" customHeight="1">
      <c r="B10" s="30" t="s">
        <v>241</v>
      </c>
      <c r="C10" s="18"/>
      <c r="D10" s="273">
        <f>'Historical Financials'!AX11</f>
        <v>341.91019499999999</v>
      </c>
      <c r="E10" s="273">
        <f>'Historical Financials'!AY11</f>
        <v>315.82231100000001</v>
      </c>
      <c r="F10" s="273">
        <f>'Historical Financials'!AZ11</f>
        <v>439.80998399999999</v>
      </c>
      <c r="G10" s="273">
        <f>'Historical Financials'!BA11</f>
        <v>587.78014399999995</v>
      </c>
      <c r="H10" s="273">
        <f>'Historical Financials'!BB11</f>
        <v>932.38372900000002</v>
      </c>
      <c r="I10" s="273">
        <f>'Historical Financials'!BC11</f>
        <v>934.76900000000001</v>
      </c>
      <c r="J10" s="273">
        <f>'Historical Financials'!BD11</f>
        <v>1459.167782</v>
      </c>
      <c r="K10" s="231"/>
      <c r="L10" s="231"/>
      <c r="M10" s="231"/>
      <c r="N10" s="231"/>
      <c r="O10" s="231"/>
      <c r="P10" s="231"/>
      <c r="Q10" s="231"/>
      <c r="R10" s="231"/>
      <c r="S10" s="231"/>
      <c r="T10" s="231"/>
      <c r="U10" s="231"/>
      <c r="V10" s="8"/>
      <c r="W10" s="156"/>
      <c r="X10" s="88"/>
    </row>
    <row r="11" spans="1:27" ht="11.25" customHeight="1">
      <c r="B11" s="30" t="s">
        <v>323</v>
      </c>
      <c r="C11" s="18"/>
      <c r="D11" s="273">
        <f>+SUM('Historical Financials'!AX12:AX15)</f>
        <v>223.11108200000001</v>
      </c>
      <c r="E11" s="273">
        <f>+SUM('Historical Financials'!AY12:AY15)</f>
        <v>230.55027399999997</v>
      </c>
      <c r="F11" s="273">
        <f>+SUM('Historical Financials'!AZ12:AZ15)</f>
        <v>254.14121399999999</v>
      </c>
      <c r="G11" s="273">
        <f>+SUM('Historical Financials'!BA12:BA15)</f>
        <v>304.543702</v>
      </c>
      <c r="H11" s="273">
        <f>+SUM('Historical Financials'!BB12:BB15)</f>
        <v>442.62831299999999</v>
      </c>
      <c r="I11" s="273">
        <f>+SUM('Historical Financials'!BC12:BC15)</f>
        <v>412.053</v>
      </c>
      <c r="J11" s="273">
        <f>+SUM('Historical Financials'!BD12:BD15)</f>
        <v>429.43726900000001</v>
      </c>
      <c r="K11" s="234"/>
      <c r="L11" s="234"/>
      <c r="M11" s="234"/>
      <c r="N11" s="234"/>
      <c r="O11" s="234"/>
      <c r="P11" s="234"/>
      <c r="Q11" s="234"/>
      <c r="R11" s="234"/>
      <c r="S11" s="234"/>
      <c r="T11" s="234"/>
      <c r="U11" s="234"/>
      <c r="V11" s="8"/>
      <c r="W11" s="156"/>
      <c r="X11" s="88"/>
    </row>
    <row r="12" spans="1:27" s="5" customFormat="1" ht="11.25" customHeight="1">
      <c r="B12" s="182" t="s">
        <v>132</v>
      </c>
      <c r="C12" s="147"/>
      <c r="D12" s="150">
        <f>SUM(D9:D11)</f>
        <v>1031.473557</v>
      </c>
      <c r="E12" s="150">
        <f t="shared" ref="E12:I12" si="0">SUM(E9:E11)</f>
        <v>1069.9854480000001</v>
      </c>
      <c r="F12" s="150">
        <f t="shared" si="0"/>
        <v>1339.254811</v>
      </c>
      <c r="G12" s="150">
        <f t="shared" si="0"/>
        <v>1587.4150369999998</v>
      </c>
      <c r="H12" s="150">
        <f t="shared" si="0"/>
        <v>2263.8912920000002</v>
      </c>
      <c r="I12" s="150">
        <f t="shared" si="0"/>
        <v>2161.7359999999999</v>
      </c>
      <c r="J12" s="150">
        <f ca="1">SUM(J9:J11)</f>
        <v>2886.9901861713579</v>
      </c>
      <c r="K12" s="633">
        <f ca="1">+'Historical Financials'!BE16</f>
        <v>3553.2848535556295</v>
      </c>
      <c r="L12" s="149">
        <f t="shared" ref="L12:U12" ca="1" si="1">L138</f>
        <v>4264.3958628665014</v>
      </c>
      <c r="M12" s="149">
        <f t="shared" ca="1" si="1"/>
        <v>4984.3446391750967</v>
      </c>
      <c r="N12" s="149">
        <f t="shared" ca="1" si="1"/>
        <v>5746.309217700521</v>
      </c>
      <c r="O12" s="149">
        <f t="shared" ca="1" si="1"/>
        <v>6626.1640290788855</v>
      </c>
      <c r="P12" s="149">
        <f t="shared" ca="1" si="1"/>
        <v>7668.0641025872146</v>
      </c>
      <c r="Q12" s="149">
        <f t="shared" ca="1" si="1"/>
        <v>8856.2986693250095</v>
      </c>
      <c r="R12" s="149">
        <f t="shared" ca="1" si="1"/>
        <v>10221.48400970418</v>
      </c>
      <c r="S12" s="149">
        <f t="shared" ca="1" si="1"/>
        <v>11796.294323855554</v>
      </c>
      <c r="T12" s="149">
        <f t="shared" ca="1" si="1"/>
        <v>13615.009650114232</v>
      </c>
      <c r="U12" s="149">
        <f t="shared" ca="1" si="1"/>
        <v>15715.686411747247</v>
      </c>
      <c r="V12" s="44"/>
    </row>
    <row r="13" spans="1:27" ht="11.25" customHeight="1">
      <c r="B13" s="41" t="s">
        <v>249</v>
      </c>
      <c r="D13" s="140">
        <f>'Historical Financials'!AX17</f>
        <v>5.5273131944750142E-2</v>
      </c>
      <c r="E13" s="34">
        <f t="shared" ref="E13:I13" si="2">IFERROR(E12/D12-1,"n/a")</f>
        <v>3.7336770039951839E-2</v>
      </c>
      <c r="F13" s="34">
        <f t="shared" si="2"/>
        <v>0.25165703281601992</v>
      </c>
      <c r="G13" s="34">
        <f t="shared" si="2"/>
        <v>0.18529724437928463</v>
      </c>
      <c r="H13" s="34">
        <f t="shared" si="2"/>
        <v>0.42614958232879618</v>
      </c>
      <c r="I13" s="34">
        <f t="shared" si="2"/>
        <v>-4.5123762064455342E-2</v>
      </c>
      <c r="J13" s="34">
        <f ca="1">IFERROR(J12/I12-1,"n/a")</f>
        <v>0.33549618740279019</v>
      </c>
      <c r="K13" s="34">
        <f t="shared" ref="K13" ca="1" si="3">IFERROR(K12/J12-1,"n/a")</f>
        <v>0.23079214836815654</v>
      </c>
      <c r="L13" s="34">
        <f t="shared" ref="L13" ca="1" si="4">IFERROR(L12/K12-1,"n/a")</f>
        <v>0.20012777996092601</v>
      </c>
      <c r="M13" s="34">
        <f t="shared" ref="M13" ca="1" si="5">IFERROR(M12/L12-1,"n/a")</f>
        <v>0.16882784794389383</v>
      </c>
      <c r="N13" s="34">
        <f t="shared" ref="N13" ca="1" si="6">IFERROR(N12/M12-1,"n/a")</f>
        <v>0.15287156761526188</v>
      </c>
      <c r="O13" s="34">
        <f t="shared" ref="O13" ca="1" si="7">IFERROR(O12/N12-1,"n/a")</f>
        <v>0.15311650975344704</v>
      </c>
      <c r="P13" s="34">
        <f t="shared" ref="P13" ca="1" si="8">IFERROR(P12/O12-1,"n/a")</f>
        <v>0.1572403081082745</v>
      </c>
      <c r="Q13" s="34">
        <f t="shared" ref="Q13" ca="1" si="9">IFERROR(Q12/P12-1,"n/a")</f>
        <v>0.15495887238825801</v>
      </c>
      <c r="R13" s="34">
        <f t="shared" ref="R13" ca="1" si="10">IFERROR(R12/Q12-1,"n/a")</f>
        <v>0.15414852088352382</v>
      </c>
      <c r="S13" s="34">
        <f t="shared" ref="S13" ca="1" si="11">IFERROR(S12/R12-1,"n/a")</f>
        <v>0.15406865702243078</v>
      </c>
      <c r="T13" s="34">
        <f t="shared" ref="T13" ca="1" si="12">IFERROR(T12/S12-1,"n/a")</f>
        <v>0.15417683522703429</v>
      </c>
      <c r="U13" s="34">
        <f t="shared" ref="U13" ca="1" si="13">IFERROR(U12/T12-1,"n/a")</f>
        <v>0.15429124294564045</v>
      </c>
      <c r="V13" s="47"/>
      <c r="W13" s="202">
        <f ca="1">(J12/D12)^(1/6)-1</f>
        <v>0.18712887362560804</v>
      </c>
      <c r="X13" s="202">
        <f ca="1">(U12/J12)^(1/11)-1</f>
        <v>0.1665380613342704</v>
      </c>
      <c r="Y13" s="271"/>
      <c r="AA13" s="2">
        <f ca="1">+(L12/G12)^0.2-1</f>
        <v>0.2185220843354525</v>
      </c>
    </row>
    <row r="14" spans="1:27" ht="11.25" customHeight="1">
      <c r="B14" s="41" t="s">
        <v>986</v>
      </c>
      <c r="D14" s="140">
        <f>'Historical Financials'!AX19</f>
        <v>6.5088757396449815E-2</v>
      </c>
      <c r="E14" s="140">
        <f>'Historical Financials'!AY19</f>
        <v>1.2573099415204668E-2</v>
      </c>
      <c r="F14" s="140">
        <f>'Historical Financials'!AZ19</f>
        <v>0.31417845798440641</v>
      </c>
      <c r="G14" s="140">
        <f>'Historical Financials'!BA19</f>
        <v>0.2485168094924193</v>
      </c>
      <c r="H14" s="140">
        <f>'Historical Financials'!BB19</f>
        <v>0.33544526575149586</v>
      </c>
      <c r="I14" s="140">
        <f>'Historical Financials'!BC19</f>
        <v>-8.6715867158671564E-2</v>
      </c>
      <c r="J14" s="119">
        <v>0.29580174695556183</v>
      </c>
      <c r="K14" s="119">
        <v>0.21140360575656553</v>
      </c>
      <c r="L14" s="34">
        <f t="shared" ref="L14:U14" ca="1" si="14">L13+L15</f>
        <v>0.20012777996092601</v>
      </c>
      <c r="M14" s="34">
        <f t="shared" ca="1" si="14"/>
        <v>0.16882784794389383</v>
      </c>
      <c r="N14" s="34">
        <f t="shared" ca="1" si="14"/>
        <v>0.15287156761526188</v>
      </c>
      <c r="O14" s="34">
        <f t="shared" ca="1" si="14"/>
        <v>0.15311650975344704</v>
      </c>
      <c r="P14" s="34">
        <f t="shared" ca="1" si="14"/>
        <v>0.1572403081082745</v>
      </c>
      <c r="Q14" s="34">
        <f t="shared" ca="1" si="14"/>
        <v>0.15495887238825801</v>
      </c>
      <c r="R14" s="34">
        <f t="shared" ca="1" si="14"/>
        <v>0.15414852088352382</v>
      </c>
      <c r="S14" s="34">
        <f t="shared" ca="1" si="14"/>
        <v>0.15406865702243078</v>
      </c>
      <c r="T14" s="34">
        <f t="shared" ca="1" si="14"/>
        <v>0.15417683522703429</v>
      </c>
      <c r="U14" s="34">
        <f t="shared" ca="1" si="14"/>
        <v>0.15429124294564045</v>
      </c>
      <c r="V14" s="47"/>
      <c r="W14" s="202"/>
      <c r="X14" s="202"/>
      <c r="AA14" s="652">
        <f ca="1">+((1+H14)*(1+I14)*(1+J14)*(1+K14)*(1+L14))^0.2-1</f>
        <v>0.18102035669460248</v>
      </c>
    </row>
    <row r="15" spans="1:27" ht="11.25" hidden="1" customHeight="1" outlineLevel="1">
      <c r="B15" s="539" t="s">
        <v>777</v>
      </c>
      <c r="D15" s="140">
        <f>FX!AX15/FX!AW15-1</f>
        <v>9.1220335725639146E-3</v>
      </c>
      <c r="E15" s="140">
        <f>FX!AY15/FX!AX15-1</f>
        <v>-2.4296342932516035E-2</v>
      </c>
      <c r="F15" s="140">
        <f>FX!AZ15/FX!AY15-1</f>
        <v>4.8981893089085071E-2</v>
      </c>
      <c r="G15" s="140">
        <f>FX!BA15/FX!AZ15-1</f>
        <v>5.4218743861880192E-2</v>
      </c>
      <c r="H15" s="140">
        <f>FX!BB15/FX!BA15-1</f>
        <v>-6.2374057290440987E-2</v>
      </c>
      <c r="I15" s="140">
        <f>FX!BC15/FX!BB15-1</f>
        <v>-4.3652633641973693E-2</v>
      </c>
      <c r="J15" s="140">
        <f>FX!BD15/FX!BC15-1</f>
        <v>-3.0035397447024548E-2</v>
      </c>
      <c r="K15" s="140">
        <f>FX!BE15/FX!BD15-1</f>
        <v>-1.5846714430660214E-2</v>
      </c>
      <c r="L15" s="140">
        <f>FX!BF15/FX!BE15-1</f>
        <v>0</v>
      </c>
      <c r="M15" s="140">
        <f>FX!BG15/FX!BF15-1</f>
        <v>0</v>
      </c>
      <c r="N15" s="140">
        <f>FX!BH15/FX!BG15-1</f>
        <v>0</v>
      </c>
      <c r="O15" s="140">
        <f>FX!BI15/FX!BH15-1</f>
        <v>0</v>
      </c>
      <c r="P15" s="140">
        <f>FX!BJ15/FX!BI15-1</f>
        <v>0</v>
      </c>
      <c r="Q15" s="140">
        <f>FX!BK15/FX!BJ15-1</f>
        <v>0</v>
      </c>
      <c r="R15" s="140">
        <f>FX!BL15/FX!BK15-1</f>
        <v>0</v>
      </c>
      <c r="S15" s="140">
        <f>FX!BM15/FX!BL15-1</f>
        <v>0</v>
      </c>
      <c r="T15" s="140">
        <f>FX!BN15/FX!BM15-1</f>
        <v>0</v>
      </c>
      <c r="U15" s="140">
        <f>FX!BO15/FX!BN15-1</f>
        <v>0</v>
      </c>
      <c r="V15" s="47"/>
      <c r="W15" s="202"/>
      <c r="X15" s="202"/>
    </row>
    <row r="16" spans="1:27" ht="11.25" customHeight="1" collapsed="1">
      <c r="A16" s="2" t="s">
        <v>293</v>
      </c>
      <c r="B16" s="36" t="s">
        <v>64</v>
      </c>
      <c r="D16" s="43"/>
      <c r="E16" s="34"/>
      <c r="F16" s="34"/>
      <c r="G16" s="34"/>
      <c r="H16" s="34"/>
      <c r="I16" s="95"/>
      <c r="J16" s="95">
        <f>_xll.VAData($A$2,J$1,$A16, "vaactuals.consensus", "CD", "IMPL","","")/1000</f>
        <v>2894.3077000000003</v>
      </c>
      <c r="K16" s="95">
        <f>_xll.VAData($A$2,K$1,$A16, "vaactuals.consensus", "CD", "IMPL","","")/1000</f>
        <v>3670.0190106823843</v>
      </c>
      <c r="L16" s="95">
        <f>_xll.VAData($A$2,L$1,$A16, "vaactuals.consensus", "CD", "IMPL","","")/1000</f>
        <v>4276.1701939550476</v>
      </c>
      <c r="M16" s="95"/>
      <c r="N16" s="95"/>
      <c r="O16" s="34"/>
      <c r="P16" s="34"/>
      <c r="Q16" s="34"/>
      <c r="R16" s="34"/>
      <c r="S16" s="34"/>
      <c r="T16" s="119"/>
      <c r="U16" s="119"/>
      <c r="V16" s="47"/>
      <c r="W16" s="58"/>
    </row>
    <row r="17" spans="1:25" ht="11.25" customHeight="1">
      <c r="B17" s="9"/>
      <c r="E17" s="43"/>
      <c r="F17" s="43"/>
      <c r="G17" s="43"/>
      <c r="H17" s="43"/>
      <c r="I17" s="43"/>
      <c r="J17" s="43"/>
      <c r="K17" s="43"/>
      <c r="L17" s="43"/>
      <c r="M17" s="43"/>
      <c r="N17" s="43"/>
      <c r="O17" s="43"/>
      <c r="P17" s="43"/>
      <c r="Q17" s="43"/>
      <c r="R17" s="43"/>
      <c r="S17" s="43"/>
      <c r="T17" s="43"/>
      <c r="U17" s="43"/>
      <c r="V17" s="43"/>
    </row>
    <row r="18" spans="1:25" ht="11.25" hidden="1" customHeight="1" outlineLevel="1">
      <c r="B18" s="13" t="s">
        <v>122</v>
      </c>
      <c r="D18" s="19">
        <f>D12-D19</f>
        <v>533.6</v>
      </c>
      <c r="E18" s="19">
        <f t="shared" ref="E18:U18" si="15">E12-E19</f>
        <v>577.28300000000002</v>
      </c>
      <c r="F18" s="19">
        <f t="shared" si="15"/>
        <v>628.125</v>
      </c>
      <c r="G18" s="19">
        <f t="shared" si="15"/>
        <v>767.87800000000004</v>
      </c>
      <c r="H18" s="19">
        <f t="shared" si="15"/>
        <v>915.53600000000006</v>
      </c>
      <c r="I18" s="19">
        <f t="shared" si="15"/>
        <v>986.625</v>
      </c>
      <c r="J18" s="19">
        <f t="shared" ca="1" si="15"/>
        <v>1275.5513994319699</v>
      </c>
      <c r="K18" s="19">
        <f t="shared" ca="1" si="15"/>
        <v>1566.2480379169324</v>
      </c>
      <c r="L18" s="19">
        <f t="shared" ca="1" si="15"/>
        <v>1883.6258163810567</v>
      </c>
      <c r="M18" s="19">
        <f t="shared" ca="1" si="15"/>
        <v>2206.2255068851819</v>
      </c>
      <c r="N18" s="19">
        <f t="shared" ca="1" si="15"/>
        <v>2548.7877198017127</v>
      </c>
      <c r="O18" s="19">
        <f t="shared" ca="1" si="15"/>
        <v>2945.1527157780974</v>
      </c>
      <c r="P18" s="19">
        <f t="shared" ca="1" si="15"/>
        <v>3415.3126712215135</v>
      </c>
      <c r="Q18" s="19">
        <f t="shared" ca="1" si="15"/>
        <v>3952.7034175251138</v>
      </c>
      <c r="R18" s="19">
        <f t="shared" ca="1" si="15"/>
        <v>4571.4220532126164</v>
      </c>
      <c r="S18" s="19">
        <f t="shared" ca="1" si="15"/>
        <v>5286.6007550008708</v>
      </c>
      <c r="T18" s="19">
        <f t="shared" ca="1" si="15"/>
        <v>6114.2132355335816</v>
      </c>
      <c r="U18" s="19">
        <f t="shared" ca="1" si="15"/>
        <v>7072.0588852862602</v>
      </c>
      <c r="V18" s="43"/>
    </row>
    <row r="19" spans="1:25" s="5" customFormat="1" ht="11.25" customHeight="1" collapsed="1">
      <c r="A19" s="2"/>
      <c r="B19" s="182" t="s">
        <v>137</v>
      </c>
      <c r="C19" s="147"/>
      <c r="D19" s="148">
        <f>'Historical Financials'!AX29</f>
        <v>497.87355700000001</v>
      </c>
      <c r="E19" s="148">
        <f>'Historical Financials'!AY29</f>
        <v>492.70244800000012</v>
      </c>
      <c r="F19" s="148">
        <f>'Historical Financials'!AZ29</f>
        <v>711.12981100000002</v>
      </c>
      <c r="G19" s="148">
        <f>'Historical Financials'!BA29</f>
        <v>819.53703699999971</v>
      </c>
      <c r="H19" s="148">
        <f>'Historical Financials'!BB29</f>
        <v>1348.3552920000002</v>
      </c>
      <c r="I19" s="148">
        <f>'Historical Financials'!BC29</f>
        <v>1175.1109999999999</v>
      </c>
      <c r="J19" s="148">
        <f ca="1">'Historical Financials'!BD29</f>
        <v>1611.438786739388</v>
      </c>
      <c r="K19" s="148">
        <f ca="1">'Historical Financials'!BE29</f>
        <v>1987.0368156386971</v>
      </c>
      <c r="L19" s="149">
        <f t="shared" ref="L19:U19" ca="1" si="16">L29+L25</f>
        <v>2380.7700464854447</v>
      </c>
      <c r="M19" s="149">
        <f t="shared" ca="1" si="16"/>
        <v>2778.1191322899149</v>
      </c>
      <c r="N19" s="149">
        <f t="shared" ca="1" si="16"/>
        <v>3197.5214978988083</v>
      </c>
      <c r="O19" s="149">
        <f t="shared" ca="1" si="16"/>
        <v>3681.0113133007876</v>
      </c>
      <c r="P19" s="149">
        <f t="shared" ca="1" si="16"/>
        <v>4252.7514313657002</v>
      </c>
      <c r="Q19" s="149">
        <f t="shared" ca="1" si="16"/>
        <v>4903.5952517998958</v>
      </c>
      <c r="R19" s="149">
        <f t="shared" ca="1" si="16"/>
        <v>5650.0619564915633</v>
      </c>
      <c r="S19" s="149">
        <f t="shared" ca="1" si="16"/>
        <v>6509.6935688546837</v>
      </c>
      <c r="T19" s="149">
        <f t="shared" ca="1" si="16"/>
        <v>7500.7964145806509</v>
      </c>
      <c r="U19" s="149">
        <f t="shared" ca="1" si="16"/>
        <v>8643.6275264609867</v>
      </c>
      <c r="V19" s="44"/>
      <c r="W19" s="113"/>
      <c r="X19" s="112"/>
    </row>
    <row r="20" spans="1:25" s="18" customFormat="1" ht="11.25" customHeight="1">
      <c r="B20" s="36" t="s">
        <v>249</v>
      </c>
      <c r="D20" s="274">
        <f>'Historical Financials'!AX30</f>
        <v>6.1588457356729354E-3</v>
      </c>
      <c r="E20" s="211">
        <f>IF(AND(E19&gt;0,D19&gt;0),E19/D19-1,"n/m")</f>
        <v>-1.0386390133187762E-2</v>
      </c>
      <c r="F20" s="211">
        <f t="shared" ref="F20:K20" si="17">IF(AND(F19&gt;0,E19&gt;0),F19/E19-1,"n/m")</f>
        <v>0.44332510196904851</v>
      </c>
      <c r="G20" s="211">
        <f t="shared" si="17"/>
        <v>0.1524436527946369</v>
      </c>
      <c r="H20" s="211">
        <f t="shared" si="17"/>
        <v>0.64526462029805809</v>
      </c>
      <c r="I20" s="211">
        <f t="shared" si="17"/>
        <v>-0.12848563952534275</v>
      </c>
      <c r="J20" s="211">
        <f t="shared" ca="1" si="17"/>
        <v>0.37130772049567073</v>
      </c>
      <c r="K20" s="211">
        <f t="shared" ca="1" si="17"/>
        <v>0.23308240560555227</v>
      </c>
      <c r="L20" s="211">
        <f t="shared" ref="L20" ca="1" si="18">IF(AND(L19&gt;0,K19&gt;0),L19/K19-1,"n/m")</f>
        <v>0.19815094906542496</v>
      </c>
      <c r="M20" s="211">
        <f t="shared" ref="M20" ca="1" si="19">IF(AND(M19&gt;0,L19&gt;0),M19/L19-1,"n/m")</f>
        <v>0.16689939727318359</v>
      </c>
      <c r="N20" s="211">
        <f t="shared" ref="N20" ca="1" si="20">IF(AND(N19&gt;0,M19&gt;0),N19/M19-1,"n/m")</f>
        <v>0.15096629972926801</v>
      </c>
      <c r="O20" s="211">
        <f t="shared" ref="O20" ca="1" si="21">IF(AND(O19&gt;0,N19&gt;0),O19/N19-1,"n/m")</f>
        <v>0.15120768248773175</v>
      </c>
      <c r="P20" s="211">
        <f t="shared" ref="P20" ca="1" si="22">IF(AND(P19&gt;0,O19&gt;0),P19/O19-1,"n/m")</f>
        <v>0.15532147809462438</v>
      </c>
      <c r="Q20" s="211">
        <f t="shared" ref="Q20" ca="1" si="23">IF(AND(Q19&gt;0,P19&gt;0),Q19/P19-1,"n/m")</f>
        <v>0.15304064461279543</v>
      </c>
      <c r="R20" s="211">
        <f t="shared" ref="R20" ca="1" si="24">IF(AND(R19&gt;0,Q19&gt;0),R19/Q19-1,"n/m")</f>
        <v>0.15222845001688756</v>
      </c>
      <c r="S20" s="211">
        <f t="shared" ref="S20" ca="1" si="25">IF(AND(S19&gt;0,R19&gt;0),S19/R19-1,"n/m")</f>
        <v>0.15214551963902956</v>
      </c>
      <c r="T20" s="211">
        <f t="shared" ref="T20" ca="1" si="26">IF(AND(T19&gt;0,S19&gt;0),T19/S19-1,"n/m")</f>
        <v>0.15225030721382193</v>
      </c>
      <c r="U20" s="211">
        <f t="shared" ref="U20" ca="1" si="27">IF(AND(U19&gt;0,T19&gt;0),U19/T19-1,"n/m")</f>
        <v>0.15236130254899449</v>
      </c>
      <c r="V20" s="67"/>
      <c r="W20" s="54"/>
      <c r="X20" s="54"/>
    </row>
    <row r="21" spans="1:25" s="18" customFormat="1" ht="11.25" customHeight="1">
      <c r="B21" s="36" t="s">
        <v>17</v>
      </c>
      <c r="D21" s="120">
        <f>IFERROR(D19/D12,"n/a")</f>
        <v>0.48268184251668605</v>
      </c>
      <c r="E21" s="120">
        <f t="shared" ref="E21:U21" si="28">IFERROR(E19/E12,"n/a")</f>
        <v>0.46047584004151809</v>
      </c>
      <c r="F21" s="120">
        <f t="shared" si="28"/>
        <v>0.5309891778316711</v>
      </c>
      <c r="G21" s="120">
        <f t="shared" si="28"/>
        <v>0.51627143368177619</v>
      </c>
      <c r="H21" s="120">
        <f t="shared" si="28"/>
        <v>0.59559188940066832</v>
      </c>
      <c r="I21" s="120">
        <f t="shared" si="28"/>
        <v>0.54359598026771072</v>
      </c>
      <c r="J21" s="120">
        <f t="shared" ca="1" si="28"/>
        <v>0.5581725890368997</v>
      </c>
      <c r="K21" s="120">
        <f t="shared" ca="1" si="28"/>
        <v>0.55921123623127178</v>
      </c>
      <c r="L21" s="120">
        <f t="shared" ca="1" si="28"/>
        <v>0.55829011260814454</v>
      </c>
      <c r="M21" s="120">
        <f t="shared" ca="1" si="28"/>
        <v>0.55736898898501741</v>
      </c>
      <c r="N21" s="120">
        <f t="shared" ca="1" si="28"/>
        <v>0.55644786536189028</v>
      </c>
      <c r="O21" s="120">
        <f t="shared" ca="1" si="28"/>
        <v>0.55552674173876304</v>
      </c>
      <c r="P21" s="120">
        <f t="shared" ca="1" si="28"/>
        <v>0.5546056181156358</v>
      </c>
      <c r="Q21" s="120">
        <f t="shared" ca="1" si="28"/>
        <v>0.55368449449250878</v>
      </c>
      <c r="R21" s="120">
        <f t="shared" ca="1" si="28"/>
        <v>0.55276337086938143</v>
      </c>
      <c r="S21" s="120">
        <f t="shared" ca="1" si="28"/>
        <v>0.5518422472462543</v>
      </c>
      <c r="T21" s="120">
        <f t="shared" ca="1" si="28"/>
        <v>0.55092112362312706</v>
      </c>
      <c r="U21" s="120">
        <f t="shared" ca="1" si="28"/>
        <v>0.55000000000000004</v>
      </c>
      <c r="V21" s="67"/>
      <c r="W21" s="54"/>
      <c r="X21" s="54"/>
    </row>
    <row r="22" spans="1:25" s="18" customFormat="1" ht="11.25" customHeight="1">
      <c r="B22" s="187" t="s">
        <v>295</v>
      </c>
      <c r="D22" s="120"/>
      <c r="E22" s="120">
        <f>IF(E12&gt;D12,(E19-D19)/(E12-D12),"n/a")</f>
        <v>-0.1342730482904585</v>
      </c>
      <c r="F22" s="120">
        <f t="shared" ref="F22:U22" si="29">IF(F12&gt;E12,(F19-E19)/(F12-E12),"n/a")</f>
        <v>0.81118535197039843</v>
      </c>
      <c r="G22" s="120">
        <f t="shared" si="29"/>
        <v>0.43684367856757111</v>
      </c>
      <c r="H22" s="120">
        <f t="shared" si="29"/>
        <v>0.78172478500372511</v>
      </c>
      <c r="I22" s="120" t="str">
        <f t="shared" si="29"/>
        <v>n/a</v>
      </c>
      <c r="J22" s="120">
        <f t="shared" ca="1" si="29"/>
        <v>0.60162050086574148</v>
      </c>
      <c r="K22" s="120">
        <f t="shared" ca="1" si="29"/>
        <v>0.56371159381152725</v>
      </c>
      <c r="L22" s="120">
        <f t="shared" ca="1" si="29"/>
        <v>0.55368743514224195</v>
      </c>
      <c r="M22" s="120">
        <f t="shared" ca="1" si="29"/>
        <v>0.5519129955908868</v>
      </c>
      <c r="N22" s="120">
        <f t="shared" ca="1" si="29"/>
        <v>0.55042239157695882</v>
      </c>
      <c r="O22" s="120">
        <f t="shared" ca="1" si="29"/>
        <v>0.54951090696947258</v>
      </c>
      <c r="P22" s="120">
        <f t="shared" ca="1" si="29"/>
        <v>0.54874755516594365</v>
      </c>
      <c r="Q22" s="120">
        <f t="shared" ca="1" si="29"/>
        <v>0.54774018418016268</v>
      </c>
      <c r="R22" s="120">
        <f t="shared" ca="1" si="29"/>
        <v>0.54678781159805145</v>
      </c>
      <c r="S22" s="120">
        <f t="shared" ca="1" si="29"/>
        <v>0.5458635904517517</v>
      </c>
      <c r="T22" s="120">
        <f t="shared" ca="1" si="29"/>
        <v>0.54494666175425488</v>
      </c>
      <c r="U22" s="120">
        <f t="shared" ca="1" si="29"/>
        <v>0.54402996822411032</v>
      </c>
      <c r="W22" s="118">
        <f ca="1">(J19-D19)/(J12-D12)</f>
        <v>0.60013756397143547</v>
      </c>
      <c r="X22" s="118">
        <f ca="1">(U19-J19)/(U12-J12)</f>
        <v>0.54816082757512796</v>
      </c>
    </row>
    <row r="23" spans="1:25" s="18" customFormat="1" ht="11.25" customHeight="1">
      <c r="A23" s="18" t="s">
        <v>294</v>
      </c>
      <c r="B23" s="36" t="s">
        <v>64</v>
      </c>
      <c r="E23" s="67"/>
      <c r="F23" s="67"/>
      <c r="G23" s="67"/>
      <c r="H23" s="67"/>
      <c r="I23" s="144"/>
      <c r="J23" s="144">
        <f>_xll.VAData($A$2,J$1,$A23, "vaactuals.consensus", "CD", "IMPL","","")/1000</f>
        <v>1624.353564</v>
      </c>
      <c r="K23" s="144">
        <f>_xll.VAData($A$2,K$1,$A23, "vaactuals.consensus", "CD", "IMPL","","")/1000</f>
        <v>2130.4106971538022</v>
      </c>
      <c r="L23" s="144">
        <f>_xll.VAData($A$2,L$1,$A23, "vaactuals.consensus", "CD", "IMPL","","")/1000</f>
        <v>2441.8575743305523</v>
      </c>
      <c r="M23" s="144"/>
      <c r="N23" s="144"/>
      <c r="O23" s="136"/>
      <c r="P23" s="136"/>
      <c r="Q23" s="136"/>
      <c r="R23" s="136"/>
      <c r="S23" s="136"/>
      <c r="T23" s="142"/>
      <c r="U23" s="142"/>
      <c r="W23" s="143"/>
      <c r="X23" s="143"/>
    </row>
    <row r="24" spans="1:25" s="18" customFormat="1" ht="11.25" customHeight="1">
      <c r="B24" s="35"/>
      <c r="E24" s="67"/>
      <c r="F24" s="67"/>
      <c r="G24" s="67"/>
      <c r="H24" s="67"/>
      <c r="I24" s="144"/>
      <c r="J24" s="144"/>
      <c r="K24" s="604"/>
      <c r="L24" s="604"/>
      <c r="M24" s="604"/>
      <c r="N24" s="144"/>
      <c r="O24" s="136"/>
      <c r="P24" s="136"/>
      <c r="Q24" s="136"/>
      <c r="R24" s="136"/>
      <c r="S24" s="136"/>
      <c r="T24" s="142"/>
      <c r="U24" s="142"/>
      <c r="W24" s="143"/>
      <c r="X24" s="143"/>
    </row>
    <row r="25" spans="1:25" ht="11.25" customHeight="1">
      <c r="B25" s="13" t="s">
        <v>123</v>
      </c>
      <c r="D25" s="19">
        <f>D19-D29</f>
        <v>114.25</v>
      </c>
      <c r="E25" s="19">
        <f t="shared" ref="E25:I25" si="30">E19-E29</f>
        <v>120.00099999999998</v>
      </c>
      <c r="F25" s="19">
        <f t="shared" si="30"/>
        <v>144.346</v>
      </c>
      <c r="G25" s="19">
        <f t="shared" si="30"/>
        <v>169.55600000000004</v>
      </c>
      <c r="H25" s="19">
        <f t="shared" si="30"/>
        <v>227.07600000000002</v>
      </c>
      <c r="I25" s="19">
        <f t="shared" si="30"/>
        <v>253.64499999999998</v>
      </c>
      <c r="J25" s="19">
        <f ca="1">J19-J29</f>
        <v>306.05509985799245</v>
      </c>
      <c r="K25" s="19">
        <f ca="1">K19-K29</f>
        <v>373.09490962334121</v>
      </c>
      <c r="L25" s="19">
        <f ca="1">L12*L27</f>
        <v>445.62936766954948</v>
      </c>
      <c r="M25" s="19">
        <f t="shared" ref="M25:U25" ca="1" si="31">M12*M27</f>
        <v>518.37184247421021</v>
      </c>
      <c r="N25" s="19">
        <f t="shared" ca="1" si="31"/>
        <v>594.74300403200402</v>
      </c>
      <c r="O25" s="19">
        <f t="shared" ca="1" si="31"/>
        <v>682.49489499512538</v>
      </c>
      <c r="P25" s="19">
        <f t="shared" ca="1" si="31"/>
        <v>785.97657051518968</v>
      </c>
      <c r="Q25" s="19">
        <f t="shared" ca="1" si="31"/>
        <v>903.34246427115113</v>
      </c>
      <c r="R25" s="19">
        <f t="shared" ca="1" si="31"/>
        <v>1037.4806269849744</v>
      </c>
      <c r="S25" s="19">
        <f t="shared" ca="1" si="31"/>
        <v>1191.4257267094113</v>
      </c>
      <c r="T25" s="19">
        <f t="shared" ca="1" si="31"/>
        <v>1368.3084698364805</v>
      </c>
      <c r="U25" s="19">
        <f t="shared" ca="1" si="31"/>
        <v>1571.5686411747247</v>
      </c>
      <c r="V25" s="43"/>
    </row>
    <row r="26" spans="1:25" ht="11.25" customHeight="1">
      <c r="B26" s="35" t="s">
        <v>249</v>
      </c>
      <c r="D26" s="274">
        <f>+'Historical Financials'!AX42</f>
        <v>4.5603887724564585E-2</v>
      </c>
      <c r="E26" s="211">
        <f>IF(AND(E25&gt;0,D25&gt;0),E25/D25-1,"n/m")</f>
        <v>5.0336980306345591E-2</v>
      </c>
      <c r="F26" s="211">
        <f t="shared" ref="F26" si="32">IF(AND(F25&gt;0,E25&gt;0),F25/E25-1,"n/m")</f>
        <v>0.20287330938908865</v>
      </c>
      <c r="G26" s="211">
        <f t="shared" ref="G26" si="33">IF(AND(G25&gt;0,F25&gt;0),G25/F25-1,"n/m")</f>
        <v>0.17464979978662409</v>
      </c>
      <c r="H26" s="211">
        <f t="shared" ref="H26" si="34">IF(AND(H25&gt;0,G25&gt;0),H25/G25-1,"n/m")</f>
        <v>0.33923895350208766</v>
      </c>
      <c r="I26" s="211">
        <f t="shared" ref="I26" si="35">IF(AND(I25&gt;0,H25&gt;0),I25/H25-1,"n/m")</f>
        <v>0.11700487942362892</v>
      </c>
      <c r="J26" s="211">
        <f t="shared" ref="J26" ca="1" si="36">IF(AND(J25&gt;0,I25&gt;0),J25/I25-1,"n/m")</f>
        <v>0.20662776659501447</v>
      </c>
      <c r="K26" s="211">
        <f t="shared" ref="K26" ca="1" si="37">IF(AND(K25&gt;0,J25&gt;0),K25/J25-1,"n/m")</f>
        <v>0.21904490334078663</v>
      </c>
      <c r="L26" s="211">
        <f t="shared" ref="L26" ca="1" si="38">IF(AND(L25&gt;0,K25&gt;0),L25/K25-1,"n/m")</f>
        <v>0.19441288577063576</v>
      </c>
      <c r="M26" s="211">
        <f t="shared" ref="M26" ca="1" si="39">IF(AND(M25&gt;0,L25&gt;0),M25/L25-1,"n/m")</f>
        <v>0.16323537020253553</v>
      </c>
      <c r="N26" s="211">
        <f t="shared" ref="N26" ca="1" si="40">IF(AND(N25&gt;0,M25&gt;0),N25/M25-1,"n/m")</f>
        <v>0.14732891584788077</v>
      </c>
      <c r="O26" s="211">
        <f t="shared" ref="O26" ca="1" si="41">IF(AND(O25&gt;0,N25&gt;0),O25/N25-1,"n/m")</f>
        <v>0.14754589859521783</v>
      </c>
      <c r="P26" s="211">
        <f t="shared" ref="P26" ca="1" si="42">IF(AND(P25&gt;0,O25&gt;0),P25/O25-1,"n/m")</f>
        <v>0.15162263670969045</v>
      </c>
      <c r="Q26" s="211">
        <f t="shared" ref="Q26" ca="1" si="43">IF(AND(Q25&gt;0,P25&gt;0),Q25/P25-1,"n/m")</f>
        <v>0.14932492666929087</v>
      </c>
      <c r="R26" s="211">
        <f t="shared" ref="R26" ca="1" si="44">IF(AND(R25&gt;0,Q25&gt;0),R25/Q25-1,"n/m")</f>
        <v>0.14849093009487913</v>
      </c>
      <c r="S26" s="211">
        <f t="shared" ref="S26" ca="1" si="45">IF(AND(S25&gt;0,R25&gt;0),S25/R25-1,"n/m")</f>
        <v>0.14838358974645849</v>
      </c>
      <c r="T26" s="211">
        <f t="shared" ref="T26" ca="1" si="46">IF(AND(T25&gt;0,S25&gt;0),T25/S25-1,"n/m")</f>
        <v>0.14846308851798939</v>
      </c>
      <c r="U26" s="211">
        <f t="shared" ref="U26" ca="1" si="47">IF(AND(U25&gt;0,T25&gt;0),U25/T25-1,"n/m")</f>
        <v>0.14854850044342327</v>
      </c>
      <c r="V26" s="43"/>
    </row>
    <row r="27" spans="1:25" ht="11.25" customHeight="1">
      <c r="B27" s="35" t="s">
        <v>602</v>
      </c>
      <c r="D27" s="120">
        <f>IFERROR(D25/D12,"n/a")</f>
        <v>0.11076386711482125</v>
      </c>
      <c r="E27" s="120">
        <f t="shared" ref="E27:K27" si="48">IFERROR(E25/E12,"n/a")</f>
        <v>0.11215199255681836</v>
      </c>
      <c r="F27" s="120">
        <f t="shared" si="48"/>
        <v>0.10778083365048297</v>
      </c>
      <c r="G27" s="120">
        <f t="shared" si="48"/>
        <v>0.10681264574665868</v>
      </c>
      <c r="H27" s="120">
        <f t="shared" si="48"/>
        <v>0.10030340273069967</v>
      </c>
      <c r="I27" s="120">
        <f t="shared" si="48"/>
        <v>0.11733393901938072</v>
      </c>
      <c r="J27" s="120">
        <f t="shared" ca="1" si="48"/>
        <v>0.1060118255074063</v>
      </c>
      <c r="K27" s="120">
        <f t="shared" ca="1" si="48"/>
        <v>0.10500000000000002</v>
      </c>
      <c r="L27" s="142">
        <f t="shared" ref="L27" ca="1" si="49">K27+(($U27-$K27)/COUNTA($L27:$U27))</f>
        <v>0.10450000000000002</v>
      </c>
      <c r="M27" s="142">
        <f t="shared" ref="M27" ca="1" si="50">L27+(($U27-$K27)/COUNTA($L27:$U27))</f>
        <v>0.10400000000000002</v>
      </c>
      <c r="N27" s="142">
        <f t="shared" ref="N27" ca="1" si="51">M27+(($U27-$K27)/COUNTA($L27:$U27))</f>
        <v>0.10350000000000002</v>
      </c>
      <c r="O27" s="142">
        <f t="shared" ref="O27" ca="1" si="52">N27+(($U27-$K27)/COUNTA($L27:$U27))</f>
        <v>0.10300000000000002</v>
      </c>
      <c r="P27" s="142">
        <f t="shared" ref="P27" ca="1" si="53">O27+(($U27-$K27)/COUNTA($L27:$U27))</f>
        <v>0.10250000000000002</v>
      </c>
      <c r="Q27" s="142">
        <f t="shared" ref="Q27" ca="1" si="54">P27+(($U27-$K27)/COUNTA($L27:$U27))</f>
        <v>0.10200000000000002</v>
      </c>
      <c r="R27" s="142">
        <f t="shared" ref="R27" ca="1" si="55">Q27+(($U27-$K27)/COUNTA($L27:$U27))</f>
        <v>0.10150000000000002</v>
      </c>
      <c r="S27" s="142">
        <f t="shared" ref="S27" ca="1" si="56">R27+(($U27-$K27)/COUNTA($L27:$U27))</f>
        <v>0.10100000000000002</v>
      </c>
      <c r="T27" s="142">
        <f t="shared" ref="T27" ca="1" si="57">S27+(($U27-$K27)/COUNTA($L27:$U27))</f>
        <v>0.10050000000000002</v>
      </c>
      <c r="U27" s="142">
        <v>0.1</v>
      </c>
      <c r="V27" s="43"/>
    </row>
    <row r="28" spans="1:25" ht="11.25" customHeight="1">
      <c r="B28" s="13"/>
      <c r="D28" s="19"/>
      <c r="E28" s="19"/>
      <c r="F28" s="19"/>
      <c r="G28" s="19"/>
      <c r="H28" s="19"/>
      <c r="I28" s="19"/>
      <c r="J28" s="19"/>
      <c r="K28" s="19"/>
      <c r="L28" s="19"/>
      <c r="M28" s="19"/>
      <c r="N28" s="19"/>
      <c r="O28" s="19"/>
      <c r="P28" s="19"/>
      <c r="Q28" s="19"/>
      <c r="R28" s="19"/>
      <c r="S28" s="19"/>
      <c r="T28" s="19"/>
      <c r="U28" s="19"/>
      <c r="V28" s="43"/>
    </row>
    <row r="29" spans="1:25" s="5" customFormat="1" ht="11.25" customHeight="1">
      <c r="A29" s="2"/>
      <c r="B29" s="182" t="s">
        <v>250</v>
      </c>
      <c r="C29" s="147"/>
      <c r="D29" s="148">
        <f>'Historical Financials'!AX50</f>
        <v>383.62355700000001</v>
      </c>
      <c r="E29" s="148">
        <f>'Historical Financials'!AY50</f>
        <v>372.70144800000014</v>
      </c>
      <c r="F29" s="148">
        <f>'Historical Financials'!AZ50</f>
        <v>566.78381100000001</v>
      </c>
      <c r="G29" s="148">
        <f>'Historical Financials'!BA50</f>
        <v>649.98103699999967</v>
      </c>
      <c r="H29" s="148">
        <f>'Historical Financials'!BB50</f>
        <v>1121.2792920000002</v>
      </c>
      <c r="I29" s="148">
        <f>'Historical Financials'!BC50</f>
        <v>921.46599999999989</v>
      </c>
      <c r="J29" s="148">
        <f ca="1">'Historical Financials'!BD50</f>
        <v>1305.3836868813955</v>
      </c>
      <c r="K29" s="148">
        <f ca="1">'Historical Financials'!BE50</f>
        <v>1613.9419060153559</v>
      </c>
      <c r="L29" s="149">
        <f t="shared" ref="L29:U29" ca="1" si="58">L141</f>
        <v>1935.1406788158954</v>
      </c>
      <c r="M29" s="149">
        <f t="shared" ca="1" si="58"/>
        <v>2259.7472898157048</v>
      </c>
      <c r="N29" s="149">
        <f t="shared" ca="1" si="58"/>
        <v>2602.7784938668042</v>
      </c>
      <c r="O29" s="149">
        <f t="shared" ca="1" si="58"/>
        <v>2998.5164183056627</v>
      </c>
      <c r="P29" s="149">
        <f t="shared" ca="1" si="58"/>
        <v>3466.7748608505112</v>
      </c>
      <c r="Q29" s="149">
        <f t="shared" ca="1" si="58"/>
        <v>4000.2527875287442</v>
      </c>
      <c r="R29" s="149">
        <f t="shared" ca="1" si="58"/>
        <v>4612.5813295065891</v>
      </c>
      <c r="S29" s="149">
        <f t="shared" ca="1" si="58"/>
        <v>5318.267842145272</v>
      </c>
      <c r="T29" s="149">
        <f t="shared" ca="1" si="58"/>
        <v>6132.4879447441708</v>
      </c>
      <c r="U29" s="149">
        <f t="shared" ca="1" si="58"/>
        <v>7072.0588852862611</v>
      </c>
      <c r="V29" s="44"/>
      <c r="W29" s="113"/>
      <c r="X29" s="112"/>
    </row>
    <row r="30" spans="1:25" s="18" customFormat="1" ht="11.25" customHeight="1">
      <c r="B30" s="36" t="s">
        <v>249</v>
      </c>
      <c r="D30" s="274">
        <f>'Historical Financials'!AX51/1000</f>
        <v>-5.019836134028566E-6</v>
      </c>
      <c r="E30" s="211">
        <f>IF(AND(E29&gt;0,D29&gt;0),E29/D29-1,"n/m")</f>
        <v>-2.8470902791821628E-2</v>
      </c>
      <c r="F30" s="211">
        <f t="shared" ref="F30:K30" si="59">IF(AND(F29&gt;0,E29&gt;0),F29/E29-1,"n/m")</f>
        <v>0.52074485903258361</v>
      </c>
      <c r="G30" s="211">
        <f t="shared" si="59"/>
        <v>0.14678828926537513</v>
      </c>
      <c r="H30" s="211">
        <f t="shared" si="59"/>
        <v>0.72509539228296083</v>
      </c>
      <c r="I30" s="211">
        <f t="shared" si="59"/>
        <v>-0.17820117915813627</v>
      </c>
      <c r="J30" s="211">
        <f t="shared" ca="1" si="59"/>
        <v>0.41663793008249428</v>
      </c>
      <c r="K30" s="211">
        <f t="shared" ca="1" si="59"/>
        <v>0.23637358290505084</v>
      </c>
      <c r="L30" s="211">
        <f t="shared" ref="L30" ca="1" si="60">IF(AND(L29&gt;0,K29&gt;0),L29/K29-1,"n/m")</f>
        <v>0.19901507706280697</v>
      </c>
      <c r="M30" s="211">
        <f t="shared" ref="M30" ca="1" si="61">IF(AND(M29&gt;0,L29&gt;0),M29/L29-1,"n/m")</f>
        <v>0.16774315922004956</v>
      </c>
      <c r="N30" s="211">
        <f t="shared" ref="N30" ca="1" si="62">IF(AND(N29&gt;0,M29&gt;0),N29/M29-1,"n/m")</f>
        <v>0.15180069275758501</v>
      </c>
      <c r="O30" s="211">
        <f t="shared" ref="O30" ca="1" si="63">IF(AND(O29&gt;0,N29&gt;0),O29/N29-1,"n/m")</f>
        <v>0.15204441152844028</v>
      </c>
      <c r="P30" s="211">
        <f t="shared" ref="P30" ca="1" si="64">IF(AND(P29&gt;0,O29&gt;0),P29/O29-1,"n/m")</f>
        <v>0.15616337455622209</v>
      </c>
      <c r="Q30" s="211">
        <f t="shared" ref="Q30" ca="1" si="65">IF(AND(Q29&gt;0,P29&gt;0),Q29/P29-1,"n/m")</f>
        <v>0.15388306079597958</v>
      </c>
      <c r="R30" s="211">
        <f t="shared" ref="R30" ca="1" si="66">IF(AND(R29&gt;0,Q29&gt;0),R29/Q29-1,"n/m")</f>
        <v>0.15307246179212752</v>
      </c>
      <c r="S30" s="211">
        <f t="shared" ref="S30" ca="1" si="67">IF(AND(S29&gt;0,R29&gt;0),S29/R29-1,"n/m")</f>
        <v>0.15299166827139077</v>
      </c>
      <c r="T30" s="211">
        <f t="shared" ref="T30" ca="1" si="68">IF(AND(T29&gt;0,S29&gt;0),T29/S29-1,"n/m")</f>
        <v>0.15309873943288665</v>
      </c>
      <c r="U30" s="211">
        <f t="shared" ref="U30" ca="1" si="69">IF(AND(U29&gt;0,T29&gt;0),U29/T29-1,"n/m")</f>
        <v>0.15321203221399671</v>
      </c>
      <c r="V30" s="67"/>
      <c r="W30" s="54"/>
      <c r="X30" s="54"/>
    </row>
    <row r="31" spans="1:25" s="18" customFormat="1" ht="11.25" customHeight="1">
      <c r="B31" s="41" t="s">
        <v>986</v>
      </c>
      <c r="D31" s="698">
        <f>(1+D14)/(1+D13)*(1+D30)-1</f>
        <v>9.2964357602758341E-3</v>
      </c>
      <c r="E31" s="698">
        <f t="shared" ref="E31:I31" si="70">(1+E14)/(1+E13)*(1+E30)-1</f>
        <v>-5.1663589352710315E-2</v>
      </c>
      <c r="F31" s="698">
        <f t="shared" si="70"/>
        <v>0.59670746972498878</v>
      </c>
      <c r="G31" s="698">
        <f t="shared" si="70"/>
        <v>0.20795392283787129</v>
      </c>
      <c r="H31" s="698">
        <f t="shared" si="70"/>
        <v>0.61537786999321198</v>
      </c>
      <c r="I31" s="698">
        <f t="shared" si="70"/>
        <v>-0.21399675303968568</v>
      </c>
      <c r="J31" s="696">
        <v>0.37453174476997542</v>
      </c>
      <c r="K31" s="696">
        <v>0.2168971165270499</v>
      </c>
      <c r="L31" s="698">
        <f t="shared" ref="L31" ca="1" si="71">(1+L14)/(1+L13)*(1+L30)-1</f>
        <v>0.19901507706280697</v>
      </c>
      <c r="M31" s="698">
        <f t="shared" ref="M31" ca="1" si="72">(1+M14)/(1+M13)*(1+M30)-1</f>
        <v>0.16774315922004956</v>
      </c>
      <c r="N31" s="698">
        <f t="shared" ref="N31" ca="1" si="73">(1+N14)/(1+N13)*(1+N30)-1</f>
        <v>0.15180069275758501</v>
      </c>
      <c r="O31" s="698">
        <f t="shared" ref="O31" ca="1" si="74">(1+O14)/(1+O13)*(1+O30)-1</f>
        <v>0.15204441152844028</v>
      </c>
      <c r="P31" s="698">
        <f t="shared" ref="P31" ca="1" si="75">(1+P14)/(1+P13)*(1+P30)-1</f>
        <v>0.15616337455622209</v>
      </c>
      <c r="Q31" s="698">
        <f t="shared" ref="Q31" ca="1" si="76">(1+Q14)/(1+Q13)*(1+Q30)-1</f>
        <v>0.15388306079597958</v>
      </c>
      <c r="R31" s="698">
        <f t="shared" ref="R31" ca="1" si="77">(1+R14)/(1+R13)*(1+R30)-1</f>
        <v>0.15307246179212752</v>
      </c>
      <c r="S31" s="698">
        <f t="shared" ref="S31" ca="1" si="78">(1+S14)/(1+S13)*(1+S30)-1</f>
        <v>0.15299166827139077</v>
      </c>
      <c r="T31" s="698">
        <f t="shared" ref="T31" ca="1" si="79">(1+T14)/(1+T13)*(1+T30)-1</f>
        <v>0.15309873943288665</v>
      </c>
      <c r="U31" s="698">
        <f t="shared" ref="U31" ca="1" si="80">(1+U14)/(1+U13)*(1+U30)-1</f>
        <v>0.15321203221399671</v>
      </c>
      <c r="V31" s="67"/>
      <c r="W31" s="54"/>
      <c r="X31" s="54"/>
    </row>
    <row r="32" spans="1:25" s="18" customFormat="1" ht="11.25" customHeight="1">
      <c r="B32" s="36" t="s">
        <v>17</v>
      </c>
      <c r="D32" s="120">
        <f>IFERROR(D29/D12,"n/a")</f>
        <v>0.37191797540186483</v>
      </c>
      <c r="E32" s="120">
        <f t="shared" ref="E32:U32" si="81">IFERROR(E29/E12,"n/a")</f>
        <v>0.34832384748469969</v>
      </c>
      <c r="F32" s="120">
        <f t="shared" si="81"/>
        <v>0.42320834418118808</v>
      </c>
      <c r="G32" s="120">
        <f t="shared" si="81"/>
        <v>0.40945878793511753</v>
      </c>
      <c r="H32" s="120">
        <f t="shared" si="81"/>
        <v>0.49528848666996861</v>
      </c>
      <c r="I32" s="120">
        <f t="shared" si="81"/>
        <v>0.42626204124833</v>
      </c>
      <c r="J32" s="120">
        <f t="shared" ca="1" si="81"/>
        <v>0.45216076352949341</v>
      </c>
      <c r="K32" s="120">
        <f t="shared" ref="K32" ca="1" si="82">IFERROR(K29/K12,"n/a")</f>
        <v>0.45421123623127174</v>
      </c>
      <c r="L32" s="120">
        <f t="shared" ca="1" si="81"/>
        <v>0.45379011260814456</v>
      </c>
      <c r="M32" s="120">
        <f t="shared" ca="1" si="81"/>
        <v>0.45336898898501737</v>
      </c>
      <c r="N32" s="120">
        <f t="shared" ca="1" si="81"/>
        <v>0.45294786536189019</v>
      </c>
      <c r="O32" s="120">
        <f t="shared" ca="1" si="81"/>
        <v>0.45252674173876306</v>
      </c>
      <c r="P32" s="120">
        <f t="shared" ca="1" si="81"/>
        <v>0.45210561811563588</v>
      </c>
      <c r="Q32" s="120">
        <f t="shared" ca="1" si="81"/>
        <v>0.45168449449250869</v>
      </c>
      <c r="R32" s="120">
        <f t="shared" ca="1" si="81"/>
        <v>0.4512633708693814</v>
      </c>
      <c r="S32" s="120">
        <f t="shared" ca="1" si="81"/>
        <v>0.45084224724625427</v>
      </c>
      <c r="T32" s="120">
        <f t="shared" ca="1" si="81"/>
        <v>0.45042112362312708</v>
      </c>
      <c r="U32" s="120">
        <f t="shared" ca="1" si="81"/>
        <v>0.45</v>
      </c>
      <c r="V32" s="67"/>
      <c r="W32" s="54"/>
      <c r="Y32" s="118" t="str">
        <f ca="1">TEXT(MIN(K32:U32),"#%")&amp;"-"&amp;TEXT(MAX(K32:U32),"#%")</f>
        <v>45%-45%</v>
      </c>
    </row>
    <row r="33" spans="1:24" s="18" customFormat="1" ht="11.25" customHeight="1">
      <c r="B33" s="187" t="s">
        <v>295</v>
      </c>
      <c r="D33" s="120"/>
      <c r="E33" s="120">
        <f>IF(E12&gt;D12,(E29-D29)/(E12-D12),"n/a")</f>
        <v>-0.28360354987502001</v>
      </c>
      <c r="F33" s="120">
        <f t="shared" ref="F33:K33" si="83">IF(F12&gt;E12,(F29-E29)/(F12-E12),"n/a")</f>
        <v>0.72077402656461875</v>
      </c>
      <c r="G33" s="120">
        <f t="shared" si="83"/>
        <v>0.33525608571939225</v>
      </c>
      <c r="H33" s="120">
        <f t="shared" si="83"/>
        <v>0.696695932069338</v>
      </c>
      <c r="I33" s="120" t="str">
        <f t="shared" si="83"/>
        <v>n/a</v>
      </c>
      <c r="J33" s="120">
        <f t="shared" ca="1" si="83"/>
        <v>0.52935604399350034</v>
      </c>
      <c r="K33" s="120">
        <f t="shared" ca="1" si="83"/>
        <v>0.46309573562293849</v>
      </c>
      <c r="L33" s="120">
        <f t="shared" ref="L33" ca="1" si="84">IF(L12&gt;K12,(L29-K29)/(L12-K12),"n/a")</f>
        <v>0.45168583891256148</v>
      </c>
      <c r="M33" s="120">
        <f t="shared" ref="M33" ca="1" si="85">IF(M12&gt;L12,(M29-L29)/(M12-L12),"n/a")</f>
        <v>0.45087459230664984</v>
      </c>
      <c r="N33" s="120">
        <f t="shared" ref="N33" ca="1" si="86">IF(N12&gt;M12,(N29-M29)/(N12-M12),"n/a")</f>
        <v>0.45019311096447978</v>
      </c>
      <c r="O33" s="120">
        <f t="shared" ref="O33" ca="1" si="87">IF(O12&gt;N12,(O29-N29)/(O12-N12),"n/a")</f>
        <v>0.44977639415178361</v>
      </c>
      <c r="P33" s="120">
        <f t="shared" ref="P33" ca="1" si="88">IF(P12&gt;O12,(P29-O29)/(P12-O12),"n/a")</f>
        <v>0.44942740138995224</v>
      </c>
      <c r="Q33" s="120">
        <f t="shared" ref="Q33" ca="1" si="89">IF(Q12&gt;P12,(Q29-P29)/(Q12-P12),"n/a")</f>
        <v>0.44896684679259491</v>
      </c>
      <c r="R33" s="120">
        <f t="shared" ref="R33" ca="1" si="90">IF(R12&gt;Q12,(R29-Q29)/(R12-Q12),"n/a")</f>
        <v>0.44853143662367129</v>
      </c>
      <c r="S33" s="120">
        <f t="shared" ref="S33" ca="1" si="91">IF(S12&gt;R12,(S29-R29)/(S12-R12),"n/a")</f>
        <v>0.44810889686035577</v>
      </c>
      <c r="T33" s="120">
        <f t="shared" ref="T33" ca="1" si="92">IF(T12&gt;S12,(T29-S29)/(T12-S12),"n/a")</f>
        <v>0.44768969109302559</v>
      </c>
      <c r="U33" s="120">
        <f t="shared" ref="U33" ca="1" si="93">IF(U12&gt;T12,(U29-T29)/(U12-T12),"n/a")</f>
        <v>0.4472705928406096</v>
      </c>
      <c r="W33" s="118">
        <f ca="1">(J29-D29)/(J12-D12)</f>
        <v>0.49676737755405509</v>
      </c>
      <c r="X33" s="118">
        <f ca="1">(U29-J29)/(U12-J12)</f>
        <v>0.44951373834140318</v>
      </c>
    </row>
    <row r="34" spans="1:24" s="18" customFormat="1" ht="11.25" customHeight="1">
      <c r="A34" s="18" t="s">
        <v>296</v>
      </c>
      <c r="B34" s="36" t="s">
        <v>64</v>
      </c>
      <c r="E34" s="67"/>
      <c r="F34" s="67"/>
      <c r="G34" s="67"/>
      <c r="H34" s="67"/>
      <c r="I34" s="144"/>
      <c r="J34" s="144">
        <f>_xll.VAData($A$2,J$1,$A34, "vaactuals.consensus", "CD", "IMPL","","")/1000</f>
        <v>1322.05305</v>
      </c>
      <c r="K34" s="144">
        <f>_xll.VAData($A$2,K$1,$A34, "vaactuals.consensus", "CD", "IMPL","","")/1000</f>
        <v>1755.7221274762885</v>
      </c>
      <c r="L34" s="144">
        <f>_xll.VAData($A$2,L$1,$A34, "vaactuals.consensus", "CD", "IMPL","","")/1000</f>
        <v>2007.8591717601887</v>
      </c>
      <c r="M34" s="144"/>
      <c r="N34" s="144"/>
      <c r="O34" s="136"/>
      <c r="P34" s="136"/>
      <c r="Q34" s="136"/>
      <c r="R34" s="136"/>
      <c r="S34" s="136"/>
      <c r="T34" s="142"/>
      <c r="U34" s="142"/>
      <c r="W34" s="143"/>
      <c r="X34" s="143"/>
    </row>
    <row r="35" spans="1:24" ht="11.25" customHeight="1">
      <c r="B35" s="12"/>
      <c r="D35" s="47"/>
      <c r="E35" s="47"/>
      <c r="J35" s="179"/>
      <c r="K35" s="47"/>
      <c r="L35" s="47"/>
      <c r="M35" s="47"/>
      <c r="N35" s="47"/>
      <c r="O35" s="47"/>
      <c r="P35" s="47"/>
      <c r="Q35" s="47"/>
      <c r="R35" s="47"/>
      <c r="S35" s="47"/>
      <c r="T35" s="47"/>
      <c r="U35" s="47"/>
      <c r="V35" s="47"/>
    </row>
    <row r="36" spans="1:24" ht="11.25" customHeight="1">
      <c r="B36" s="13" t="s">
        <v>297</v>
      </c>
      <c r="D36" s="49">
        <f>-'Historical Financials'!AX56</f>
        <v>-11.643000000000001</v>
      </c>
      <c r="E36" s="49">
        <f>-'Historical Financials'!AY56</f>
        <v>-12.939</v>
      </c>
      <c r="F36" s="49">
        <f>-'Historical Financials'!AZ56</f>
        <v>-6.9370000000000003</v>
      </c>
      <c r="G36" s="49">
        <f>-'Historical Financials'!BA56</f>
        <v>-0.29399999999999998</v>
      </c>
      <c r="H36" s="49">
        <f>-'Historical Financials'!BB56</f>
        <v>-10.672000000000001</v>
      </c>
      <c r="I36" s="49">
        <f>-'Historical Financials'!BC56</f>
        <v>-48.293999999999997</v>
      </c>
      <c r="J36" s="49">
        <f>-'Historical Financials'!BD56</f>
        <v>-77.548677962169123</v>
      </c>
      <c r="K36" s="69">
        <f t="shared" ref="K36:U36" ca="1" si="94">IFERROR(MAX(0,(AVERAGE(J84:K84)*K37)),"n/a")</f>
        <v>0</v>
      </c>
      <c r="L36" s="69">
        <f t="shared" ca="1" si="94"/>
        <v>0</v>
      </c>
      <c r="M36" s="69">
        <f t="shared" ca="1" si="94"/>
        <v>0</v>
      </c>
      <c r="N36" s="69">
        <f t="shared" ca="1" si="94"/>
        <v>0</v>
      </c>
      <c r="O36" s="69">
        <f t="shared" ca="1" si="94"/>
        <v>0</v>
      </c>
      <c r="P36" s="69">
        <f t="shared" ca="1" si="94"/>
        <v>0</v>
      </c>
      <c r="Q36" s="69">
        <f t="shared" ca="1" si="94"/>
        <v>0</v>
      </c>
      <c r="R36" s="69">
        <f t="shared" ca="1" si="94"/>
        <v>0</v>
      </c>
      <c r="S36" s="69">
        <f t="shared" ca="1" si="94"/>
        <v>0</v>
      </c>
      <c r="T36" s="69">
        <f t="shared" ca="1" si="94"/>
        <v>0</v>
      </c>
      <c r="U36" s="69">
        <f t="shared" ca="1" si="94"/>
        <v>0</v>
      </c>
      <c r="V36" s="47"/>
    </row>
    <row r="37" spans="1:24" ht="11.25" customHeight="1">
      <c r="B37" s="9" t="s">
        <v>299</v>
      </c>
      <c r="D37" s="109"/>
      <c r="E37" s="163">
        <f t="shared" ref="E37:J37" si="95">E36/(AVERAGE(D84:E84))</f>
        <v>2.8047380759613855E-2</v>
      </c>
      <c r="F37" s="163">
        <f t="shared" si="95"/>
        <v>1.6241356341726378E-2</v>
      </c>
      <c r="G37" s="163">
        <f t="shared" si="95"/>
        <v>6.4964551230846227E-4</v>
      </c>
      <c r="H37" s="163">
        <f t="shared" si="95"/>
        <v>1.8293832688226604E-2</v>
      </c>
      <c r="I37" s="163">
        <f t="shared" si="95"/>
        <v>6.560401225847115E-2</v>
      </c>
      <c r="J37" s="163">
        <f t="shared" ca="1" si="95"/>
        <v>7.2805733689611574E-2</v>
      </c>
      <c r="K37" s="164">
        <v>0.06</v>
      </c>
      <c r="L37" s="164">
        <f>K37</f>
        <v>0.06</v>
      </c>
      <c r="M37" s="164">
        <f t="shared" ref="M37:U37" si="96">L37</f>
        <v>0.06</v>
      </c>
      <c r="N37" s="164">
        <f t="shared" si="96"/>
        <v>0.06</v>
      </c>
      <c r="O37" s="164">
        <f t="shared" si="96"/>
        <v>0.06</v>
      </c>
      <c r="P37" s="164">
        <f t="shared" si="96"/>
        <v>0.06</v>
      </c>
      <c r="Q37" s="164">
        <f t="shared" si="96"/>
        <v>0.06</v>
      </c>
      <c r="R37" s="164">
        <f t="shared" si="96"/>
        <v>0.06</v>
      </c>
      <c r="S37" s="164">
        <f t="shared" si="96"/>
        <v>0.06</v>
      </c>
      <c r="T37" s="164">
        <f t="shared" si="96"/>
        <v>0.06</v>
      </c>
      <c r="U37" s="164">
        <f t="shared" si="96"/>
        <v>0.06</v>
      </c>
      <c r="V37" s="47"/>
    </row>
    <row r="38" spans="1:24" ht="11.25" customHeight="1">
      <c r="B38" s="9"/>
      <c r="D38" s="109"/>
      <c r="E38" s="109"/>
      <c r="F38" s="109"/>
      <c r="G38" s="109"/>
      <c r="H38" s="109"/>
      <c r="I38" s="109"/>
      <c r="J38" s="180"/>
      <c r="K38" s="93"/>
      <c r="L38" s="93"/>
      <c r="M38" s="93"/>
      <c r="N38" s="93"/>
      <c r="O38" s="93"/>
      <c r="P38" s="93"/>
      <c r="Q38" s="93"/>
      <c r="R38" s="93"/>
      <c r="S38" s="93"/>
      <c r="T38" s="93"/>
      <c r="U38" s="93"/>
      <c r="V38" s="47"/>
    </row>
    <row r="39" spans="1:24" ht="11.25" customHeight="1">
      <c r="B39" s="13" t="s">
        <v>298</v>
      </c>
      <c r="D39" s="49">
        <f>-('Historical Financials'!AX55+'Historical Financials'!AX57)</f>
        <v>-2.2429999999999999</v>
      </c>
      <c r="E39" s="49">
        <f>-('Historical Financials'!AY55+'Historical Financials'!AY57)</f>
        <v>-4.2050000000000001</v>
      </c>
      <c r="F39" s="49">
        <f>-('Historical Financials'!AZ55+'Historical Financials'!AZ57)</f>
        <v>-11.056000000000001</v>
      </c>
      <c r="G39" s="49">
        <f>-('Historical Financials'!BA55+'Historical Financials'!BA57)</f>
        <v>-12.850999999999999</v>
      </c>
      <c r="H39" s="49">
        <f>-('Historical Financials'!BB55+'Historical Financials'!BB57)</f>
        <v>-12.24</v>
      </c>
      <c r="I39" s="49">
        <f>-('Historical Financials'!BC55+'Historical Financials'!BC57)</f>
        <v>-9.4110000000000014</v>
      </c>
      <c r="J39" s="49">
        <f ca="1">-('Historical Financials'!BD55+'Historical Financials'!BD57)</f>
        <v>-7.5028913011865228</v>
      </c>
      <c r="K39" s="49">
        <f ca="1">-('Historical Financials'!BE55+'Historical Financials'!BE57)</f>
        <v>-6.9833723668249519</v>
      </c>
      <c r="L39" s="69">
        <f t="shared" ref="L39:U39" ca="1" si="97">L40*L12</f>
        <v>0</v>
      </c>
      <c r="M39" s="69">
        <f t="shared" ca="1" si="97"/>
        <v>0</v>
      </c>
      <c r="N39" s="69">
        <f t="shared" ca="1" si="97"/>
        <v>0</v>
      </c>
      <c r="O39" s="69">
        <f t="shared" ca="1" si="97"/>
        <v>0</v>
      </c>
      <c r="P39" s="69">
        <f t="shared" ca="1" si="97"/>
        <v>0</v>
      </c>
      <c r="Q39" s="69">
        <f t="shared" ca="1" si="97"/>
        <v>0</v>
      </c>
      <c r="R39" s="69">
        <f t="shared" ca="1" si="97"/>
        <v>0</v>
      </c>
      <c r="S39" s="69">
        <f t="shared" ca="1" si="97"/>
        <v>0</v>
      </c>
      <c r="T39" s="69">
        <f t="shared" ca="1" si="97"/>
        <v>0</v>
      </c>
      <c r="U39" s="69">
        <f t="shared" ca="1" si="97"/>
        <v>0</v>
      </c>
      <c r="V39" s="47"/>
    </row>
    <row r="40" spans="1:24" ht="11.25" customHeight="1">
      <c r="B40" s="9" t="s">
        <v>259</v>
      </c>
      <c r="D40" s="163">
        <f t="shared" ref="D40:K40" si="98">D39/D12</f>
        <v>-2.1745588966174535E-3</v>
      </c>
      <c r="E40" s="163">
        <f t="shared" si="98"/>
        <v>-3.9299599895119318E-3</v>
      </c>
      <c r="F40" s="163">
        <f t="shared" si="98"/>
        <v>-8.2553371540585799E-3</v>
      </c>
      <c r="G40" s="163">
        <f t="shared" si="98"/>
        <v>-8.095551384146301E-3</v>
      </c>
      <c r="H40" s="163">
        <f t="shared" si="98"/>
        <v>-5.4066200277605907E-3</v>
      </c>
      <c r="I40" s="163">
        <f t="shared" si="98"/>
        <v>-4.3534455641206895E-3</v>
      </c>
      <c r="J40" s="163">
        <f t="shared" ca="1" si="98"/>
        <v>-2.5988627661864823E-3</v>
      </c>
      <c r="K40" s="163">
        <f t="shared" ca="1" si="98"/>
        <v>-1.9653286056807327E-3</v>
      </c>
      <c r="L40" s="316">
        <v>0</v>
      </c>
      <c r="M40" s="316">
        <f t="shared" ref="M40:U40" si="99">L40</f>
        <v>0</v>
      </c>
      <c r="N40" s="316">
        <f t="shared" si="99"/>
        <v>0</v>
      </c>
      <c r="O40" s="316">
        <f t="shared" si="99"/>
        <v>0</v>
      </c>
      <c r="P40" s="316">
        <f t="shared" si="99"/>
        <v>0</v>
      </c>
      <c r="Q40" s="316">
        <f t="shared" si="99"/>
        <v>0</v>
      </c>
      <c r="R40" s="316">
        <f t="shared" si="99"/>
        <v>0</v>
      </c>
      <c r="S40" s="316">
        <f t="shared" si="99"/>
        <v>0</v>
      </c>
      <c r="T40" s="316">
        <f t="shared" si="99"/>
        <v>0</v>
      </c>
      <c r="U40" s="316">
        <f t="shared" si="99"/>
        <v>0</v>
      </c>
      <c r="V40" s="47"/>
    </row>
    <row r="41" spans="1:24" ht="11.25" customHeight="1">
      <c r="B41" s="9"/>
      <c r="D41" s="109"/>
      <c r="E41" s="109"/>
      <c r="F41" s="109"/>
      <c r="G41" s="109"/>
      <c r="H41" s="109"/>
      <c r="I41" s="109"/>
      <c r="J41" s="180"/>
      <c r="K41" s="93"/>
      <c r="L41" s="93"/>
      <c r="M41" s="93"/>
      <c r="N41" s="93"/>
      <c r="O41" s="93"/>
      <c r="P41" s="93"/>
      <c r="Q41" s="93"/>
      <c r="R41" s="93"/>
      <c r="S41" s="93"/>
      <c r="T41" s="93"/>
      <c r="U41" s="93"/>
      <c r="V41" s="47"/>
    </row>
    <row r="42" spans="1:24" ht="11.25" customHeight="1">
      <c r="B42" s="13" t="s">
        <v>254</v>
      </c>
      <c r="D42" s="49">
        <f>'Historical Financials'!AX59</f>
        <v>59.626433550000002</v>
      </c>
      <c r="E42" s="49">
        <f>'Historical Financials'!AY59</f>
        <v>58.476817200000021</v>
      </c>
      <c r="F42" s="49">
        <f>'Historical Financials'!AZ59</f>
        <v>87.716521650000033</v>
      </c>
      <c r="G42" s="49">
        <f>'Historical Financials'!BA59</f>
        <v>99.468905550000002</v>
      </c>
      <c r="H42" s="49">
        <f>'Historical Financials'!BB59</f>
        <v>171.62869380000004</v>
      </c>
      <c r="I42" s="49">
        <f>'Historical Financials'!BC59</f>
        <v>146.87564999999998</v>
      </c>
      <c r="J42" s="49">
        <f ca="1">'Historical Financials'!BD59</f>
        <v>208.56528842171258</v>
      </c>
      <c r="K42" s="53">
        <f t="shared" ref="K42:U42" ca="1" si="100">(K29-K36-K39)*K43</f>
        <v>243.138791757327</v>
      </c>
      <c r="L42" s="53">
        <f t="shared" ca="1" si="100"/>
        <v>290.27110182238414</v>
      </c>
      <c r="M42" s="53">
        <f t="shared" ca="1" si="100"/>
        <v>338.96209347235549</v>
      </c>
      <c r="N42" s="53">
        <f t="shared" ca="1" si="100"/>
        <v>390.41677408002039</v>
      </c>
      <c r="O42" s="53">
        <f t="shared" ca="1" si="100"/>
        <v>449.77746274584916</v>
      </c>
      <c r="P42" s="53">
        <f t="shared" ca="1" si="100"/>
        <v>520.01622912757637</v>
      </c>
      <c r="Q42" s="53">
        <f t="shared" ca="1" si="100"/>
        <v>600.03791812931127</v>
      </c>
      <c r="R42" s="53">
        <f t="shared" ca="1" si="100"/>
        <v>691.887199425988</v>
      </c>
      <c r="S42" s="53">
        <f t="shared" ca="1" si="100"/>
        <v>797.74017632179027</v>
      </c>
      <c r="T42" s="53">
        <f t="shared" ca="1" si="100"/>
        <v>919.87319171162505</v>
      </c>
      <c r="U42" s="53">
        <f t="shared" ca="1" si="100"/>
        <v>1060.8088327929386</v>
      </c>
      <c r="V42" s="47"/>
    </row>
    <row r="43" spans="1:24" ht="11.25" customHeight="1">
      <c r="B43" s="9" t="s">
        <v>300</v>
      </c>
      <c r="D43" s="211">
        <f t="shared" ref="D43:J43" si="101">D42/(D29-D36-D39)</f>
        <v>0.15</v>
      </c>
      <c r="E43" s="211">
        <f t="shared" si="101"/>
        <v>0.15</v>
      </c>
      <c r="F43" s="211">
        <f t="shared" si="101"/>
        <v>0.15000000000000005</v>
      </c>
      <c r="G43" s="211">
        <f t="shared" si="101"/>
        <v>0.15000000000000008</v>
      </c>
      <c r="H43" s="211">
        <f t="shared" si="101"/>
        <v>0.15</v>
      </c>
      <c r="I43" s="211">
        <f t="shared" si="101"/>
        <v>0.15</v>
      </c>
      <c r="J43" s="211">
        <f t="shared" ca="1" si="101"/>
        <v>0.14999999999999991</v>
      </c>
      <c r="K43" s="142">
        <f t="shared" ref="K43:U43" ca="1" si="102">J43</f>
        <v>0.14999999999999991</v>
      </c>
      <c r="L43" s="142">
        <f t="shared" ca="1" si="102"/>
        <v>0.14999999999999991</v>
      </c>
      <c r="M43" s="142">
        <f t="shared" ca="1" si="102"/>
        <v>0.14999999999999991</v>
      </c>
      <c r="N43" s="142">
        <f t="shared" ca="1" si="102"/>
        <v>0.14999999999999991</v>
      </c>
      <c r="O43" s="142">
        <f t="shared" ca="1" si="102"/>
        <v>0.14999999999999991</v>
      </c>
      <c r="P43" s="142">
        <f t="shared" ca="1" si="102"/>
        <v>0.14999999999999991</v>
      </c>
      <c r="Q43" s="142">
        <f t="shared" ca="1" si="102"/>
        <v>0.14999999999999991</v>
      </c>
      <c r="R43" s="142">
        <f t="shared" ca="1" si="102"/>
        <v>0.14999999999999991</v>
      </c>
      <c r="S43" s="142">
        <f t="shared" ca="1" si="102"/>
        <v>0.14999999999999991</v>
      </c>
      <c r="T43" s="142">
        <f t="shared" ca="1" si="102"/>
        <v>0.14999999999999991</v>
      </c>
      <c r="U43" s="142">
        <f t="shared" ca="1" si="102"/>
        <v>0.14999999999999991</v>
      </c>
      <c r="V43" s="47"/>
    </row>
    <row r="44" spans="1:24" s="18" customFormat="1" ht="11.25" customHeight="1">
      <c r="B44" s="35"/>
      <c r="E44" s="67"/>
      <c r="F44" s="67"/>
      <c r="G44" s="67"/>
      <c r="H44" s="67"/>
      <c r="I44" s="144"/>
      <c r="J44" s="144"/>
      <c r="K44" s="142"/>
      <c r="L44" s="136"/>
      <c r="M44" s="136"/>
      <c r="N44" s="136"/>
      <c r="O44" s="136"/>
      <c r="P44" s="136"/>
      <c r="Q44" s="136"/>
      <c r="R44" s="136"/>
      <c r="S44" s="136"/>
      <c r="T44" s="142"/>
      <c r="U44" s="142"/>
      <c r="W44" s="143"/>
      <c r="X44" s="143"/>
    </row>
    <row r="45" spans="1:24" ht="11.25" customHeight="1">
      <c r="B45" s="128" t="s">
        <v>301</v>
      </c>
      <c r="C45" s="5"/>
      <c r="D45" s="92">
        <f t="shared" ref="D45:U45" si="103">D29-D36-D39-D42</f>
        <v>337.88312345000003</v>
      </c>
      <c r="E45" s="92">
        <f t="shared" si="103"/>
        <v>331.36863080000012</v>
      </c>
      <c r="F45" s="92">
        <f t="shared" si="103"/>
        <v>497.06028935000006</v>
      </c>
      <c r="G45" s="92">
        <f t="shared" si="103"/>
        <v>563.65713144999961</v>
      </c>
      <c r="H45" s="92">
        <f t="shared" si="103"/>
        <v>972.56259820000014</v>
      </c>
      <c r="I45" s="92">
        <f t="shared" si="103"/>
        <v>832.29534999999987</v>
      </c>
      <c r="J45" s="92">
        <f t="shared" ca="1" si="103"/>
        <v>1181.8699677230388</v>
      </c>
      <c r="K45" s="92">
        <f t="shared" ca="1" si="103"/>
        <v>1377.786486624854</v>
      </c>
      <c r="L45" s="92">
        <f t="shared" ca="1" si="103"/>
        <v>1644.8695769935111</v>
      </c>
      <c r="M45" s="92">
        <f t="shared" ca="1" si="103"/>
        <v>1920.7851963433493</v>
      </c>
      <c r="N45" s="92">
        <f t="shared" ca="1" si="103"/>
        <v>2212.3617197867839</v>
      </c>
      <c r="O45" s="92">
        <f t="shared" ca="1" si="103"/>
        <v>2548.7389555598133</v>
      </c>
      <c r="P45" s="92">
        <f t="shared" ca="1" si="103"/>
        <v>2946.7586317229348</v>
      </c>
      <c r="Q45" s="92">
        <f t="shared" ca="1" si="103"/>
        <v>3400.2148693994332</v>
      </c>
      <c r="R45" s="92">
        <f t="shared" ca="1" si="103"/>
        <v>3920.6941300806011</v>
      </c>
      <c r="S45" s="92">
        <f t="shared" ca="1" si="103"/>
        <v>4520.5276658234816</v>
      </c>
      <c r="T45" s="92">
        <f t="shared" ca="1" si="103"/>
        <v>5212.6147530325461</v>
      </c>
      <c r="U45" s="92">
        <f t="shared" ca="1" si="103"/>
        <v>6011.2500524933221</v>
      </c>
      <c r="V45" s="181"/>
    </row>
    <row r="46" spans="1:24" ht="11.25" customHeight="1">
      <c r="B46" s="9" t="s">
        <v>249</v>
      </c>
      <c r="D46" s="47"/>
      <c r="E46" s="211">
        <f>IF(AND(E45&gt;0,D45&gt;0),E45/D45-1,"n/m")</f>
        <v>-1.9280313806392058E-2</v>
      </c>
      <c r="F46" s="211">
        <f t="shared" ref="F46:K46" si="104">IF(AND(F45&gt;0,E45&gt;0),F45/E45-1,"n/m")</f>
        <v>0.50002216006380018</v>
      </c>
      <c r="G46" s="211">
        <f t="shared" si="104"/>
        <v>0.13398141739926039</v>
      </c>
      <c r="H46" s="211">
        <f t="shared" si="104"/>
        <v>0.72545071096341363</v>
      </c>
      <c r="I46" s="211">
        <f t="shared" si="104"/>
        <v>-0.14422439075860427</v>
      </c>
      <c r="J46" s="211">
        <f t="shared" ca="1" si="104"/>
        <v>0.42001270068736907</v>
      </c>
      <c r="K46" s="211">
        <f t="shared" ca="1" si="104"/>
        <v>0.16576825222089631</v>
      </c>
      <c r="L46" s="211">
        <f t="shared" ref="L46" ca="1" si="105">IF(AND(L45&gt;0,K45&gt;0),L45/K45-1,"n/m")</f>
        <v>0.19384940479633195</v>
      </c>
      <c r="M46" s="211">
        <f t="shared" ref="M46" ca="1" si="106">IF(AND(M45&gt;0,L45&gt;0),M45/L45-1,"n/m")</f>
        <v>0.16774315922004956</v>
      </c>
      <c r="N46" s="211">
        <f t="shared" ref="N46" ca="1" si="107">IF(AND(N45&gt;0,M45&gt;0),N45/M45-1,"n/m")</f>
        <v>0.15180069275758501</v>
      </c>
      <c r="O46" s="211">
        <f t="shared" ref="O46" ca="1" si="108">IF(AND(O45&gt;0,N45&gt;0),O45/N45-1,"n/m")</f>
        <v>0.15204441152844028</v>
      </c>
      <c r="P46" s="211">
        <f t="shared" ref="P46" ca="1" si="109">IF(AND(P45&gt;0,O45&gt;0),P45/O45-1,"n/m")</f>
        <v>0.15616337455622209</v>
      </c>
      <c r="Q46" s="211">
        <f t="shared" ref="Q46" ca="1" si="110">IF(AND(Q45&gt;0,P45&gt;0),Q45/P45-1,"n/m")</f>
        <v>0.1538830607959798</v>
      </c>
      <c r="R46" s="211">
        <f t="shared" ref="R46" ca="1" si="111">IF(AND(R45&gt;0,Q45&gt;0),R45/Q45-1,"n/m")</f>
        <v>0.1530724617921273</v>
      </c>
      <c r="S46" s="211">
        <f t="shared" ref="S46" ca="1" si="112">IF(AND(S45&gt;0,R45&gt;0),S45/R45-1,"n/m")</f>
        <v>0.15299166827139077</v>
      </c>
      <c r="T46" s="211">
        <f t="shared" ref="T46" ca="1" si="113">IF(AND(T45&gt;0,S45&gt;0),T45/S45-1,"n/m")</f>
        <v>0.15309873943288665</v>
      </c>
      <c r="U46" s="211">
        <f t="shared" ref="U46" ca="1" si="114">IF(AND(U45&gt;0,T45&gt;0),U45/T45-1,"n/m")</f>
        <v>0.15321203221399649</v>
      </c>
      <c r="V46" s="47"/>
      <c r="W46" s="114"/>
      <c r="X46" s="114"/>
    </row>
    <row r="47" spans="1:24" ht="11.25" customHeight="1">
      <c r="B47" s="41"/>
      <c r="D47" s="47"/>
      <c r="E47" s="127"/>
      <c r="F47" s="127"/>
      <c r="G47" s="127"/>
      <c r="H47" s="127"/>
      <c r="I47" s="127"/>
      <c r="J47" s="127"/>
      <c r="K47" s="141"/>
      <c r="L47" s="141"/>
      <c r="M47" s="141"/>
      <c r="N47" s="141"/>
      <c r="O47" s="141"/>
      <c r="P47" s="141"/>
      <c r="Q47" s="141"/>
      <c r="R47" s="141"/>
      <c r="S47" s="141"/>
      <c r="T47" s="141"/>
      <c r="U47" s="141"/>
      <c r="V47" s="47"/>
      <c r="W47" s="114"/>
      <c r="X47" s="114"/>
    </row>
    <row r="48" spans="1:24" ht="11.25" customHeight="1">
      <c r="B48" s="161" t="s">
        <v>21</v>
      </c>
      <c r="D48" s="47"/>
      <c r="E48" s="127"/>
      <c r="F48" s="127"/>
      <c r="G48" s="127"/>
      <c r="H48" s="127"/>
      <c r="I48" s="127"/>
      <c r="J48" s="127"/>
      <c r="K48" s="141"/>
      <c r="L48" s="141"/>
      <c r="M48" s="141"/>
      <c r="N48" s="141"/>
      <c r="O48" s="141"/>
      <c r="P48" s="141"/>
      <c r="Q48" s="141"/>
      <c r="R48" s="141"/>
      <c r="S48" s="141"/>
      <c r="T48" s="141"/>
      <c r="U48" s="141"/>
      <c r="V48" s="47"/>
      <c r="W48" s="114"/>
      <c r="X48" s="114"/>
    </row>
    <row r="49" spans="1:25" ht="11.25" customHeight="1">
      <c r="B49" s="13" t="s">
        <v>101</v>
      </c>
      <c r="D49" s="19">
        <f t="shared" ref="D49:U49" si="115">D29</f>
        <v>383.62355700000001</v>
      </c>
      <c r="E49" s="19">
        <f t="shared" si="115"/>
        <v>372.70144800000014</v>
      </c>
      <c r="F49" s="19">
        <f t="shared" si="115"/>
        <v>566.78381100000001</v>
      </c>
      <c r="G49" s="19">
        <f t="shared" si="115"/>
        <v>649.98103699999967</v>
      </c>
      <c r="H49" s="19">
        <f t="shared" si="115"/>
        <v>1121.2792920000002</v>
      </c>
      <c r="I49" s="19">
        <f t="shared" si="115"/>
        <v>921.46599999999989</v>
      </c>
      <c r="J49" s="19">
        <f t="shared" ca="1" si="115"/>
        <v>1305.3836868813955</v>
      </c>
      <c r="K49" s="19">
        <f t="shared" ca="1" si="115"/>
        <v>1613.9419060153559</v>
      </c>
      <c r="L49" s="19">
        <f t="shared" ca="1" si="115"/>
        <v>1935.1406788158954</v>
      </c>
      <c r="M49" s="19">
        <f t="shared" ca="1" si="115"/>
        <v>2259.7472898157048</v>
      </c>
      <c r="N49" s="19">
        <f t="shared" ca="1" si="115"/>
        <v>2602.7784938668042</v>
      </c>
      <c r="O49" s="19">
        <f t="shared" ca="1" si="115"/>
        <v>2998.5164183056627</v>
      </c>
      <c r="P49" s="19">
        <f t="shared" ca="1" si="115"/>
        <v>3466.7748608505112</v>
      </c>
      <c r="Q49" s="19">
        <f t="shared" ca="1" si="115"/>
        <v>4000.2527875287442</v>
      </c>
      <c r="R49" s="19">
        <f t="shared" ca="1" si="115"/>
        <v>4612.5813295065891</v>
      </c>
      <c r="S49" s="19">
        <f t="shared" ca="1" si="115"/>
        <v>5318.267842145272</v>
      </c>
      <c r="T49" s="19">
        <f t="shared" ca="1" si="115"/>
        <v>6132.4879447441708</v>
      </c>
      <c r="U49" s="19">
        <f t="shared" ca="1" si="115"/>
        <v>7072.0588852862611</v>
      </c>
      <c r="V49" s="19"/>
    </row>
    <row r="50" spans="1:25" s="5" customFormat="1" ht="11.25" customHeight="1">
      <c r="B50" s="60"/>
      <c r="D50" s="44"/>
      <c r="E50" s="44"/>
      <c r="F50" s="44"/>
      <c r="G50" s="44"/>
      <c r="H50" s="44"/>
      <c r="I50" s="44"/>
      <c r="J50" s="44"/>
      <c r="K50" s="44"/>
      <c r="L50" s="44"/>
      <c r="M50" s="44"/>
      <c r="N50" s="44"/>
      <c r="O50" s="44"/>
      <c r="P50" s="44"/>
      <c r="Q50" s="44"/>
      <c r="R50" s="44"/>
      <c r="S50" s="44"/>
      <c r="T50" s="44"/>
      <c r="U50" s="44"/>
      <c r="V50" s="44"/>
    </row>
    <row r="51" spans="1:25" s="18" customFormat="1" ht="11.25" customHeight="1">
      <c r="B51" s="30" t="s">
        <v>72</v>
      </c>
      <c r="D51" s="57">
        <f>'Historical Financials'!AX70</f>
        <v>292.54599999999999</v>
      </c>
      <c r="E51" s="57">
        <f>'Historical Financials'!AY70</f>
        <v>286.88400000000001</v>
      </c>
      <c r="F51" s="57">
        <f>'Historical Financials'!AZ70</f>
        <v>331.72500000000002</v>
      </c>
      <c r="G51" s="57">
        <f>'Historical Financials'!BA70</f>
        <v>422.39499999999998</v>
      </c>
      <c r="H51" s="57">
        <f>'Historical Financials'!BB70</f>
        <v>437.25400000000002</v>
      </c>
      <c r="I51" s="57">
        <f>'Historical Financials'!BC70</f>
        <v>532.19100000000003</v>
      </c>
      <c r="J51" s="57">
        <f ca="1">'Historical Financials'!BD70</f>
        <v>690.48107587941229</v>
      </c>
      <c r="K51" s="57">
        <f ca="1">'D&amp;A Build (A)'!S57</f>
        <v>809.73824913179931</v>
      </c>
      <c r="L51" s="57">
        <f ca="1">'D&amp;A Build (A)'!T57</f>
        <v>890.32920797869042</v>
      </c>
      <c r="M51" s="57">
        <f ca="1">'D&amp;A Build (A)'!U57</f>
        <v>1081.0151476881192</v>
      </c>
      <c r="N51" s="57">
        <f ca="1">'D&amp;A Build (A)'!V57</f>
        <v>1317.2844646100009</v>
      </c>
      <c r="O51" s="57">
        <f ca="1">'D&amp;A Build (A)'!W57</f>
        <v>1445.0508315307336</v>
      </c>
      <c r="P51" s="57">
        <f ca="1">'D&amp;A Build (A)'!X57</f>
        <v>1697.0942550787613</v>
      </c>
      <c r="Q51" s="57">
        <f ca="1">'D&amp;A Build (A)'!Y57</f>
        <v>1972.184847897089</v>
      </c>
      <c r="R51" s="57">
        <f ca="1">'D&amp;A Build (A)'!Z57</f>
        <v>2280.5427306784945</v>
      </c>
      <c r="S51" s="57">
        <f ca="1">'D&amp;A Build (A)'!AA57</f>
        <v>2632.9276877240868</v>
      </c>
      <c r="T51" s="57">
        <f ca="1">'D&amp;A Build (A)'!AB57</f>
        <v>3039.9914449588368</v>
      </c>
      <c r="U51" s="57">
        <f ca="1">'D&amp;A Build (A)'!AC57</f>
        <v>3510.1418268578659</v>
      </c>
      <c r="V51" s="67"/>
    </row>
    <row r="52" spans="1:25" ht="11.25" customHeight="1">
      <c r="B52" s="35" t="s">
        <v>249</v>
      </c>
      <c r="D52" s="274">
        <f>+'Historical Financials'!AX70/'Historical Financials'!AW70-1</f>
        <v>0.12455841594815165</v>
      </c>
      <c r="E52" s="211">
        <f>IF(AND(E51&gt;0,D51&gt;0),E51/D51-1,"n/m")</f>
        <v>-1.9354221216492329E-2</v>
      </c>
      <c r="F52" s="211">
        <f t="shared" ref="F52" si="116">IF(AND(F51&gt;0,E51&gt;0),F51/E51-1,"n/m")</f>
        <v>0.15630359308988995</v>
      </c>
      <c r="G52" s="211">
        <f t="shared" ref="G52" si="117">IF(AND(G51&gt;0,F51&gt;0),G51/F51-1,"n/m")</f>
        <v>0.27332881151556254</v>
      </c>
      <c r="H52" s="211">
        <f t="shared" ref="H52" si="118">IF(AND(H51&gt;0,G51&gt;0),H51/G51-1,"n/m")</f>
        <v>3.5177973224114867E-2</v>
      </c>
      <c r="I52" s="211">
        <f t="shared" ref="I52" si="119">IF(AND(I51&gt;0,H51&gt;0),I51/H51-1,"n/m")</f>
        <v>0.21712094114633596</v>
      </c>
      <c r="J52" s="211">
        <f t="shared" ref="J52" ca="1" si="120">IF(AND(J51&gt;0,I51&gt;0),J51/I51-1,"n/m")</f>
        <v>0.29743095219462989</v>
      </c>
      <c r="K52" s="211">
        <f t="shared" ref="K52" ca="1" si="121">IF(AND(K51&gt;0,J51&gt;0),K51/J51-1,"n/m")</f>
        <v>0.17271606336277712</v>
      </c>
      <c r="L52" s="211">
        <f t="shared" ref="L52" ca="1" si="122">IF(AND(L51&gt;0,K51&gt;0),L51/K51-1,"n/m")</f>
        <v>9.9527173050427908E-2</v>
      </c>
      <c r="M52" s="211">
        <f t="shared" ref="M52" ca="1" si="123">IF(AND(M51&gt;0,L51&gt;0),M51/L51-1,"n/m")</f>
        <v>0.21417464236890771</v>
      </c>
      <c r="N52" s="211">
        <f t="shared" ref="N52" ca="1" si="124">IF(AND(N51&gt;0,M51&gt;0),N51/M51-1,"n/m")</f>
        <v>0.21856244792422386</v>
      </c>
      <c r="O52" s="211">
        <f t="shared" ref="O52" ca="1" si="125">IF(AND(O51&gt;0,N51&gt;0),O51/N51-1,"n/m")</f>
        <v>9.6992236949032584E-2</v>
      </c>
      <c r="P52" s="211">
        <f t="shared" ref="P52" ca="1" si="126">IF(AND(P51&gt;0,O51&gt;0),P51/O51-1,"n/m")</f>
        <v>0.17441837895836487</v>
      </c>
      <c r="Q52" s="211">
        <f t="shared" ref="Q52" ca="1" si="127">IF(AND(Q51&gt;0,P51&gt;0),Q51/P51-1,"n/m")</f>
        <v>0.16209505865398199</v>
      </c>
      <c r="R52" s="211">
        <f t="shared" ref="R52" ca="1" si="128">IF(AND(R51&gt;0,Q51&gt;0),R51/Q51-1,"n/m")</f>
        <v>0.15635343873075747</v>
      </c>
      <c r="S52" s="211">
        <f t="shared" ref="S52" ca="1" si="129">IF(AND(S51&gt;0,R51&gt;0),S51/R51-1,"n/m")</f>
        <v>0.15451802428659289</v>
      </c>
      <c r="T52" s="211">
        <f t="shared" ref="T52" ca="1" si="130">IF(AND(T51&gt;0,S51&gt;0),T51/S51-1,"n/m")</f>
        <v>0.15460498939361966</v>
      </c>
      <c r="U52" s="211">
        <f t="shared" ref="U52" ca="1" si="131">IF(AND(U51&gt;0,T51&gt;0),U51/T51-1,"n/m")</f>
        <v>0.1546551661119544</v>
      </c>
      <c r="V52" s="43"/>
    </row>
    <row r="53" spans="1:25" s="18" customFormat="1" ht="11.25" customHeight="1">
      <c r="B53" s="35" t="s">
        <v>259</v>
      </c>
      <c r="D53" s="120">
        <f t="shared" ref="D53:U53" si="132">D51/D12</f>
        <v>0.28361948594286646</v>
      </c>
      <c r="E53" s="120">
        <f t="shared" si="132"/>
        <v>0.26811953427613344</v>
      </c>
      <c r="F53" s="120">
        <f t="shared" si="132"/>
        <v>0.24769371539707691</v>
      </c>
      <c r="G53" s="120">
        <f t="shared" si="132"/>
        <v>0.2660898316789726</v>
      </c>
      <c r="H53" s="120">
        <f t="shared" si="132"/>
        <v>0.19314266614529652</v>
      </c>
      <c r="I53" s="120">
        <f t="shared" si="132"/>
        <v>0.24618686093028938</v>
      </c>
      <c r="J53" s="120">
        <f t="shared" ca="1" si="132"/>
        <v>0.23916987289628031</v>
      </c>
      <c r="K53" s="120">
        <f t="shared" ca="1" si="132"/>
        <v>0.22788441751905331</v>
      </c>
      <c r="L53" s="120">
        <f t="shared" ca="1" si="132"/>
        <v>0.20878202601486825</v>
      </c>
      <c r="M53" s="120">
        <f t="shared" ca="1" si="132"/>
        <v>0.21688210305357736</v>
      </c>
      <c r="N53" s="120">
        <f t="shared" ca="1" si="132"/>
        <v>0.22924009389406538</v>
      </c>
      <c r="O53" s="120">
        <f t="shared" ca="1" si="132"/>
        <v>0.21808256257906319</v>
      </c>
      <c r="P53" s="120">
        <f t="shared" ca="1" si="132"/>
        <v>0.2213197793307648</v>
      </c>
      <c r="Q53" s="120">
        <f t="shared" ca="1" si="132"/>
        <v>0.22268725587677146</v>
      </c>
      <c r="R53" s="120">
        <f t="shared" ca="1" si="132"/>
        <v>0.22311268388360916</v>
      </c>
      <c r="S53" s="120">
        <f t="shared" ca="1" si="132"/>
        <v>0.22319955872917968</v>
      </c>
      <c r="T53" s="120">
        <f t="shared" ca="1" si="132"/>
        <v>0.22328235697822885</v>
      </c>
      <c r="U53" s="120">
        <f t="shared" ca="1" si="132"/>
        <v>0.22335275309604588</v>
      </c>
      <c r="V53" s="67"/>
    </row>
    <row r="54" spans="1:25" s="18" customFormat="1" ht="11.25" customHeight="1">
      <c r="B54" s="30"/>
      <c r="D54" s="210"/>
      <c r="E54" s="210"/>
      <c r="F54" s="210"/>
      <c r="G54" s="210"/>
      <c r="H54" s="210"/>
      <c r="I54" s="210"/>
      <c r="J54" s="210"/>
      <c r="K54" s="21"/>
      <c r="L54" s="21"/>
      <c r="M54" s="21"/>
      <c r="N54" s="21"/>
      <c r="O54" s="21"/>
      <c r="P54" s="21"/>
      <c r="Q54" s="21"/>
      <c r="R54" s="21"/>
      <c r="S54" s="21"/>
      <c r="T54" s="21"/>
      <c r="U54" s="21"/>
      <c r="V54" s="67"/>
    </row>
    <row r="55" spans="1:25" s="5" customFormat="1" ht="11.25" customHeight="1">
      <c r="B55" s="48" t="s">
        <v>18</v>
      </c>
      <c r="D55" s="92">
        <f>D49+D51</f>
        <v>676.16955699999994</v>
      </c>
      <c r="E55" s="92">
        <f t="shared" ref="E55:U55" si="133">E49+E51</f>
        <v>659.58544800000016</v>
      </c>
      <c r="F55" s="92">
        <f t="shared" si="133"/>
        <v>898.50881100000004</v>
      </c>
      <c r="G55" s="92">
        <f t="shared" si="133"/>
        <v>1072.3760369999995</v>
      </c>
      <c r="H55" s="92">
        <f t="shared" si="133"/>
        <v>1558.5332920000001</v>
      </c>
      <c r="I55" s="92">
        <f t="shared" si="133"/>
        <v>1453.6569999999999</v>
      </c>
      <c r="J55" s="92">
        <f t="shared" ca="1" si="133"/>
        <v>1995.8647627608079</v>
      </c>
      <c r="K55" s="92">
        <f t="shared" ca="1" si="133"/>
        <v>2423.6801551471553</v>
      </c>
      <c r="L55" s="92">
        <f t="shared" ca="1" si="133"/>
        <v>2825.4698867945858</v>
      </c>
      <c r="M55" s="92">
        <f t="shared" ca="1" si="133"/>
        <v>3340.762437503824</v>
      </c>
      <c r="N55" s="92">
        <f t="shared" ca="1" si="133"/>
        <v>3920.0629584768049</v>
      </c>
      <c r="O55" s="92">
        <f t="shared" ca="1" si="133"/>
        <v>4443.5672498363965</v>
      </c>
      <c r="P55" s="92">
        <f t="shared" ca="1" si="133"/>
        <v>5163.8691159292721</v>
      </c>
      <c r="Q55" s="92">
        <f t="shared" ca="1" si="133"/>
        <v>5972.4376354258329</v>
      </c>
      <c r="R55" s="92">
        <f t="shared" ca="1" si="133"/>
        <v>6893.1240601850841</v>
      </c>
      <c r="S55" s="92">
        <f t="shared" ca="1" si="133"/>
        <v>7951.1955298693592</v>
      </c>
      <c r="T55" s="92">
        <f t="shared" ca="1" si="133"/>
        <v>9172.4793897030067</v>
      </c>
      <c r="U55" s="92">
        <f t="shared" ca="1" si="133"/>
        <v>10582.200712144127</v>
      </c>
      <c r="V55" s="61"/>
      <c r="W55" s="275"/>
      <c r="X55" s="275"/>
    </row>
    <row r="56" spans="1:25" ht="11.25" customHeight="1">
      <c r="B56" s="9" t="s">
        <v>249</v>
      </c>
      <c r="D56" s="67"/>
      <c r="E56" s="211">
        <f>IF(AND(E55&gt;0,D55&gt;0),E55/D55-1,"n/m")</f>
        <v>-2.4526553773848492E-2</v>
      </c>
      <c r="F56" s="211">
        <f t="shared" ref="F56" si="134">IF(AND(F55&gt;0,E55&gt;0),F55/E55-1,"n/m")</f>
        <v>0.36223261705434084</v>
      </c>
      <c r="G56" s="211">
        <f t="shared" ref="G56" si="135">IF(AND(G55&gt;0,F55&gt;0),G55/F55-1,"n/m")</f>
        <v>0.19350642294369158</v>
      </c>
      <c r="H56" s="211">
        <f t="shared" ref="H56" si="136">IF(AND(H55&gt;0,G55&gt;0),H55/G55-1,"n/m")</f>
        <v>0.45334587703026119</v>
      </c>
      <c r="I56" s="211">
        <f t="shared" ref="I56" si="137">IF(AND(I55&gt;0,H55&gt;0),I55/H55-1,"n/m")</f>
        <v>-6.7291659753650035E-2</v>
      </c>
      <c r="J56" s="211">
        <f t="shared" ref="J56" ca="1" si="138">IF(AND(J55&gt;0,I55&gt;0),J55/I55-1,"n/m")</f>
        <v>0.37299566731409683</v>
      </c>
      <c r="K56" s="211">
        <f t="shared" ref="K56" ca="1" si="139">IF(AND(K55&gt;0,J55&gt;0),K55/J55-1,"n/m")</f>
        <v>0.21435089208878355</v>
      </c>
      <c r="L56" s="211">
        <f t="shared" ref="L56" ca="1" si="140">IF(AND(L55&gt;0,K55&gt;0),L55/K55-1,"n/m")</f>
        <v>0.16577671389277659</v>
      </c>
      <c r="M56" s="211">
        <f t="shared" ref="M56" ca="1" si="141">IF(AND(M55&gt;0,L55&gt;0),M55/L55-1,"n/m")</f>
        <v>0.18237410815013955</v>
      </c>
      <c r="N56" s="211">
        <f t="shared" ref="N56" ca="1" si="142">IF(AND(N55&gt;0,M55&gt;0),N55/M55-1,"n/m")</f>
        <v>0.17340368607766887</v>
      </c>
      <c r="O56" s="211">
        <f t="shared" ref="O56" ca="1" si="143">IF(AND(O55&gt;0,N55&gt;0),O55/N55-1,"n/m")</f>
        <v>0.13354486825971956</v>
      </c>
      <c r="P56" s="211">
        <f t="shared" ref="P56" ca="1" si="144">IF(AND(P55&gt;0,O55&gt;0),P55/O55-1,"n/m")</f>
        <v>0.16209991333413387</v>
      </c>
      <c r="Q56" s="211">
        <f t="shared" ref="Q56" ca="1" si="145">IF(AND(Q55&gt;0,P55&gt;0),Q55/P55-1,"n/m")</f>
        <v>0.156581915874344</v>
      </c>
      <c r="R56" s="211">
        <f t="shared" ref="R56" ca="1" si="146">IF(AND(R55&gt;0,Q55&gt;0),R55/Q55-1,"n/m")</f>
        <v>0.1541558875890392</v>
      </c>
      <c r="S56" s="211">
        <f t="shared" ref="S56" ca="1" si="147">IF(AND(S55&gt;0,R55&gt;0),S55/R55-1,"n/m")</f>
        <v>0.15349665267099022</v>
      </c>
      <c r="T56" s="211">
        <f t="shared" ref="T56" ca="1" si="148">IF(AND(T55&gt;0,S55&gt;0),T55/S55-1,"n/m")</f>
        <v>0.1535975131344447</v>
      </c>
      <c r="U56" s="211">
        <f t="shared" ref="U56" ca="1" si="149">IF(AND(U55&gt;0,T55&gt;0),U55/T55-1,"n/m")</f>
        <v>0.15369032325367438</v>
      </c>
      <c r="V56" s="67"/>
    </row>
    <row r="57" spans="1:25" ht="11.25" customHeight="1">
      <c r="B57" s="35" t="s">
        <v>17</v>
      </c>
      <c r="D57" s="211">
        <f t="shared" ref="D57:U57" si="150">IFERROR(D55/D12,"n/a")</f>
        <v>0.65553746134473123</v>
      </c>
      <c r="E57" s="211">
        <f t="shared" si="150"/>
        <v>0.61644338176083313</v>
      </c>
      <c r="F57" s="211">
        <f t="shared" si="150"/>
        <v>0.67090205957826499</v>
      </c>
      <c r="G57" s="211">
        <f t="shared" si="150"/>
        <v>0.67554861961409007</v>
      </c>
      <c r="H57" s="211">
        <f t="shared" si="150"/>
        <v>0.68843115281526512</v>
      </c>
      <c r="I57" s="211">
        <f t="shared" si="150"/>
        <v>0.67244890217861941</v>
      </c>
      <c r="J57" s="211">
        <f t="shared" ca="1" si="150"/>
        <v>0.69133063642577375</v>
      </c>
      <c r="K57" s="211">
        <f t="shared" ca="1" si="150"/>
        <v>0.6820956537503251</v>
      </c>
      <c r="L57" s="211">
        <f t="shared" ca="1" si="150"/>
        <v>0.66257213862301279</v>
      </c>
      <c r="M57" s="211">
        <f t="shared" ca="1" si="150"/>
        <v>0.67025109203859468</v>
      </c>
      <c r="N57" s="211">
        <f t="shared" ca="1" si="150"/>
        <v>0.68218795925595554</v>
      </c>
      <c r="O57" s="211">
        <f t="shared" ca="1" si="150"/>
        <v>0.67060930431782628</v>
      </c>
      <c r="P57" s="211">
        <f t="shared" ca="1" si="150"/>
        <v>0.67342539744640062</v>
      </c>
      <c r="Q57" s="211">
        <f t="shared" ca="1" si="150"/>
        <v>0.6743717503692801</v>
      </c>
      <c r="R57" s="211">
        <f t="shared" ca="1" si="150"/>
        <v>0.67437605475299067</v>
      </c>
      <c r="S57" s="211">
        <f t="shared" ca="1" si="150"/>
        <v>0.67404180597543406</v>
      </c>
      <c r="T57" s="211">
        <f t="shared" ca="1" si="150"/>
        <v>0.67370348060135588</v>
      </c>
      <c r="U57" s="211">
        <f t="shared" ca="1" si="150"/>
        <v>0.67335275309604592</v>
      </c>
      <c r="V57" s="67"/>
    </row>
    <row r="58" spans="1:25" ht="11.25" customHeight="1">
      <c r="B58" s="12"/>
      <c r="D58" s="47"/>
      <c r="E58" s="47"/>
      <c r="J58" s="47"/>
      <c r="K58" s="47"/>
      <c r="L58" s="47"/>
      <c r="M58" s="47"/>
      <c r="N58" s="47"/>
      <c r="O58" s="47"/>
      <c r="P58" s="47"/>
      <c r="Q58" s="47"/>
      <c r="R58" s="47"/>
      <c r="S58" s="47"/>
      <c r="T58" s="47"/>
      <c r="U58" s="47"/>
      <c r="V58" s="47"/>
    </row>
    <row r="59" spans="1:25" s="18" customFormat="1" ht="11.25" customHeight="1">
      <c r="B59" s="30" t="s">
        <v>69</v>
      </c>
      <c r="D59" s="57">
        <f>'Historical Financials'!AX72</f>
        <v>315.58199999999999</v>
      </c>
      <c r="E59" s="57">
        <f>'Historical Financials'!AY72</f>
        <v>460.42200000000003</v>
      </c>
      <c r="F59" s="57">
        <f>'Historical Financials'!AZ72</f>
        <v>507.23899999999998</v>
      </c>
      <c r="G59" s="57">
        <f>'Historical Financials'!BA72</f>
        <v>839.19600000000003</v>
      </c>
      <c r="H59" s="57">
        <f>'Historical Financials'!BB72</f>
        <v>1082.672</v>
      </c>
      <c r="I59" s="57">
        <f>'Historical Financials'!BC72</f>
        <v>949.81700000000001</v>
      </c>
      <c r="J59" s="57">
        <f ca="1">'Historical Financials'!BD72</f>
        <v>990.18415175882456</v>
      </c>
      <c r="K59" s="19">
        <f t="shared" ref="K59:U59" ca="1" si="151">K60*K12</f>
        <v>1243.6496987444702</v>
      </c>
      <c r="L59" s="19">
        <f t="shared" ca="1" si="151"/>
        <v>1492.5385520032753</v>
      </c>
      <c r="M59" s="19">
        <f t="shared" ca="1" si="151"/>
        <v>1744.5206237112839</v>
      </c>
      <c r="N59" s="19">
        <f t="shared" ca="1" si="151"/>
        <v>2011.2082261951823</v>
      </c>
      <c r="O59" s="19">
        <f t="shared" ca="1" si="151"/>
        <v>2319.1574101776096</v>
      </c>
      <c r="P59" s="19">
        <f t="shared" ca="1" si="151"/>
        <v>2683.8224359055248</v>
      </c>
      <c r="Q59" s="19">
        <f t="shared" ca="1" si="151"/>
        <v>3099.704534263753</v>
      </c>
      <c r="R59" s="19">
        <f t="shared" ca="1" si="151"/>
        <v>3577.5194033964626</v>
      </c>
      <c r="S59" s="19">
        <f t="shared" ca="1" si="151"/>
        <v>4128.7030133494436</v>
      </c>
      <c r="T59" s="19">
        <f t="shared" ca="1" si="151"/>
        <v>4765.2533775399806</v>
      </c>
      <c r="U59" s="19">
        <f t="shared" ca="1" si="151"/>
        <v>5500.4902441115364</v>
      </c>
      <c r="W59" s="629"/>
    </row>
    <row r="60" spans="1:25" s="18" customFormat="1" ht="11.25" customHeight="1">
      <c r="B60" s="35" t="s">
        <v>259</v>
      </c>
      <c r="D60" s="67">
        <f t="shared" ref="D60:J60" si="152">D59/D12</f>
        <v>0.30595258391098046</v>
      </c>
      <c r="E60" s="67">
        <f t="shared" si="152"/>
        <v>0.43030678675173906</v>
      </c>
      <c r="F60" s="67">
        <f t="shared" si="152"/>
        <v>0.37874719271775681</v>
      </c>
      <c r="G60" s="67">
        <f t="shared" si="152"/>
        <v>0.5286556952276118</v>
      </c>
      <c r="H60" s="67">
        <f t="shared" si="152"/>
        <v>0.47823497701761553</v>
      </c>
      <c r="I60" s="67">
        <f t="shared" si="152"/>
        <v>0.43937696369954521</v>
      </c>
      <c r="J60" s="67">
        <f t="shared" ca="1" si="152"/>
        <v>0.34298147479052499</v>
      </c>
      <c r="K60" s="142">
        <v>0.35</v>
      </c>
      <c r="L60" s="142">
        <f>+K60-($K60-$U60)/10</f>
        <v>0.35</v>
      </c>
      <c r="M60" s="142">
        <f t="shared" ref="M60:T60" si="153">+L60-($K60-$U60)/10</f>
        <v>0.35</v>
      </c>
      <c r="N60" s="142">
        <f t="shared" si="153"/>
        <v>0.35</v>
      </c>
      <c r="O60" s="142">
        <f t="shared" si="153"/>
        <v>0.35</v>
      </c>
      <c r="P60" s="142">
        <f t="shared" si="153"/>
        <v>0.35</v>
      </c>
      <c r="Q60" s="142">
        <f t="shared" si="153"/>
        <v>0.35</v>
      </c>
      <c r="R60" s="142">
        <f t="shared" si="153"/>
        <v>0.35</v>
      </c>
      <c r="S60" s="142">
        <f t="shared" si="153"/>
        <v>0.35</v>
      </c>
      <c r="T60" s="142">
        <f t="shared" si="153"/>
        <v>0.35</v>
      </c>
      <c r="U60" s="142">
        <v>0.35</v>
      </c>
      <c r="V60" s="67"/>
      <c r="Y60" s="562">
        <f ca="1">U65-U32</f>
        <v>-0.12664724690395412</v>
      </c>
    </row>
    <row r="61" spans="1:25" ht="11.25" customHeight="1">
      <c r="A61" s="628" t="s">
        <v>970</v>
      </c>
      <c r="B61" s="35" t="s">
        <v>64</v>
      </c>
      <c r="D61" s="43"/>
      <c r="E61" s="34"/>
      <c r="F61" s="34"/>
      <c r="G61" s="34"/>
      <c r="H61" s="34"/>
      <c r="I61" s="95"/>
      <c r="J61" s="95">
        <f>_xll.VAData($A$2,J$1,$A61, "vaactuals.consensus", "CD", "IMPL","","")/1000</f>
        <v>956.00653599999998</v>
      </c>
      <c r="K61" s="95">
        <f>_xll.VAData($A$2,K$1,$A61, "vaactuals.consensus", "CD", "IMPL","","")/1000</f>
        <v>1282.1009226037993</v>
      </c>
      <c r="L61" s="95">
        <f>_xll.VAData($A$2,L$1,$A61, "vaactuals.consensus", "CD", "IMPL","","")/1000</f>
        <v>1398.0392415341614</v>
      </c>
      <c r="M61" s="47"/>
      <c r="N61" s="47"/>
      <c r="O61" s="47"/>
      <c r="P61" s="47"/>
      <c r="Q61" s="47"/>
      <c r="R61" s="47"/>
      <c r="S61" s="47"/>
      <c r="T61" s="47"/>
      <c r="U61" s="47"/>
      <c r="V61" s="47"/>
    </row>
    <row r="62" spans="1:25" ht="11.25" customHeight="1">
      <c r="B62" s="36"/>
      <c r="D62" s="43"/>
      <c r="E62" s="34"/>
      <c r="F62" s="34"/>
      <c r="G62" s="34"/>
      <c r="H62" s="34"/>
      <c r="I62" s="95"/>
      <c r="J62" s="95"/>
      <c r="K62" s="95"/>
      <c r="L62" s="95"/>
      <c r="M62" s="47"/>
      <c r="N62" s="47"/>
      <c r="O62" s="47"/>
      <c r="P62" s="47"/>
      <c r="Q62" s="47"/>
      <c r="R62" s="47"/>
      <c r="S62" s="47"/>
      <c r="T62" s="47"/>
      <c r="U62" s="47"/>
      <c r="V62" s="47"/>
    </row>
    <row r="63" spans="1:25" s="5" customFormat="1" ht="11.25" customHeight="1">
      <c r="B63" s="48" t="s">
        <v>30</v>
      </c>
      <c r="D63" s="44">
        <f>D55-D59</f>
        <v>360.58755699999995</v>
      </c>
      <c r="E63" s="44">
        <f t="shared" ref="E63:U63" si="154">E55-E59</f>
        <v>199.16344800000013</v>
      </c>
      <c r="F63" s="44">
        <f t="shared" si="154"/>
        <v>391.26981100000006</v>
      </c>
      <c r="G63" s="44">
        <f t="shared" si="154"/>
        <v>233.18003699999952</v>
      </c>
      <c r="H63" s="44">
        <f t="shared" si="154"/>
        <v>475.86129200000005</v>
      </c>
      <c r="I63" s="44">
        <f t="shared" si="154"/>
        <v>503.83999999999992</v>
      </c>
      <c r="J63" s="44">
        <f t="shared" ca="1" si="154"/>
        <v>1005.6806110019834</v>
      </c>
      <c r="K63" s="44">
        <f t="shared" ca="1" si="154"/>
        <v>1180.0304564026851</v>
      </c>
      <c r="L63" s="44">
        <f t="shared" ca="1" si="154"/>
        <v>1332.9313347913105</v>
      </c>
      <c r="M63" s="44">
        <f t="shared" ca="1" si="154"/>
        <v>1596.2418137925401</v>
      </c>
      <c r="N63" s="44">
        <f t="shared" ca="1" si="154"/>
        <v>1908.8547322816225</v>
      </c>
      <c r="O63" s="44">
        <f t="shared" ca="1" si="154"/>
        <v>2124.409839658787</v>
      </c>
      <c r="P63" s="44">
        <f t="shared" ca="1" si="154"/>
        <v>2480.0466800237473</v>
      </c>
      <c r="Q63" s="44">
        <f t="shared" ca="1" si="154"/>
        <v>2872.7331011620799</v>
      </c>
      <c r="R63" s="44">
        <f t="shared" ca="1" si="154"/>
        <v>3315.6046567886215</v>
      </c>
      <c r="S63" s="44">
        <f t="shared" ca="1" si="154"/>
        <v>3822.4925165199156</v>
      </c>
      <c r="T63" s="44">
        <f t="shared" ca="1" si="154"/>
        <v>4407.2260121630261</v>
      </c>
      <c r="U63" s="44">
        <f t="shared" ca="1" si="154"/>
        <v>5081.7104680325911</v>
      </c>
      <c r="V63" s="44"/>
    </row>
    <row r="64" spans="1:25" ht="11.25" customHeight="1">
      <c r="B64" s="9" t="s">
        <v>249</v>
      </c>
      <c r="D64" s="67"/>
      <c r="E64" s="211">
        <f>IF(AND(E63&gt;0,D63&gt;0),E63/D63-1,"n/m")</f>
        <v>-0.44766965988235652</v>
      </c>
      <c r="F64" s="211">
        <f t="shared" ref="F64:K64" si="155">IF(AND(F63&gt;0,E63&gt;0),F63/E63-1,"n/m")</f>
        <v>0.96456636460722356</v>
      </c>
      <c r="G64" s="211">
        <f t="shared" si="155"/>
        <v>-0.40404286135942269</v>
      </c>
      <c r="H64" s="211">
        <f t="shared" si="155"/>
        <v>1.0407462753769141</v>
      </c>
      <c r="I64" s="211">
        <f t="shared" si="155"/>
        <v>5.8795931651444144E-2</v>
      </c>
      <c r="J64" s="211">
        <f t="shared" ca="1" si="155"/>
        <v>0.99603169855903362</v>
      </c>
      <c r="K64" s="211">
        <f t="shared" ca="1" si="155"/>
        <v>0.17336502612593163</v>
      </c>
      <c r="L64" s="211">
        <f t="shared" ref="L64" ca="1" si="156">IF(AND(L63&gt;0,K63&gt;0),L63/K63-1,"n/m")</f>
        <v>0.12957367122094698</v>
      </c>
      <c r="M64" s="211">
        <f t="shared" ref="M64" ca="1" si="157">IF(AND(M63&gt;0,L63&gt;0),M63/L63-1,"n/m")</f>
        <v>0.19754241807396222</v>
      </c>
      <c r="N64" s="211">
        <f t="shared" ref="N64" ca="1" si="158">IF(AND(N63&gt;0,M63&gt;0),N63/M63-1,"n/m")</f>
        <v>0.19584308328970512</v>
      </c>
      <c r="O64" s="211">
        <f t="shared" ref="O64" ca="1" si="159">IF(AND(O63&gt;0,N63&gt;0),O63/N63-1,"n/m")</f>
        <v>0.11292378813945425</v>
      </c>
      <c r="P64" s="211">
        <f t="shared" ref="P64" ca="1" si="160">IF(AND(P63&gt;0,O63&gt;0),P63/O63-1,"n/m")</f>
        <v>0.1674050052517555</v>
      </c>
      <c r="Q64" s="211">
        <f t="shared" ref="Q64" ca="1" si="161">IF(AND(Q63&gt;0,P63&gt;0),Q63/P63-1,"n/m")</f>
        <v>0.1583383185088163</v>
      </c>
      <c r="R64" s="211">
        <f t="shared" ref="R64" ca="1" si="162">IF(AND(R63&gt;0,Q63&gt;0),R63/Q63-1,"n/m")</f>
        <v>0.15416383632972752</v>
      </c>
      <c r="S64" s="211">
        <f t="shared" ref="S64" ca="1" si="163">IF(AND(S63&gt;0,R63&gt;0),S63/R63-1,"n/m")</f>
        <v>0.15287946308479605</v>
      </c>
      <c r="T64" s="211">
        <f t="shared" ref="T64" ca="1" si="164">IF(AND(T63&gt;0,S63&gt;0),T63/S63-1,"n/m")</f>
        <v>0.15297178297041247</v>
      </c>
      <c r="U64" s="211">
        <f t="shared" ref="U64" ca="1" si="165">IF(AND(U63&gt;0,T63&gt;0),U63/T63-1,"n/m")</f>
        <v>0.15304058698331513</v>
      </c>
      <c r="V64" s="67"/>
    </row>
    <row r="65" spans="2:22" ht="11.25" customHeight="1">
      <c r="B65" s="35" t="s">
        <v>17</v>
      </c>
      <c r="D65" s="211">
        <f t="shared" ref="D65:U65" si="166">IFERROR(D63/D12,"n/a")</f>
        <v>0.34958487743375077</v>
      </c>
      <c r="E65" s="211">
        <f t="shared" si="166"/>
        <v>0.1861365950090941</v>
      </c>
      <c r="F65" s="211">
        <f t="shared" si="166"/>
        <v>0.29215486686050818</v>
      </c>
      <c r="G65" s="211">
        <f t="shared" si="166"/>
        <v>0.14689292438647825</v>
      </c>
      <c r="H65" s="211">
        <f t="shared" si="166"/>
        <v>0.21019617579764957</v>
      </c>
      <c r="I65" s="211">
        <f t="shared" si="166"/>
        <v>0.2330719384790742</v>
      </c>
      <c r="J65" s="211">
        <f t="shared" ca="1" si="166"/>
        <v>0.34834916163524882</v>
      </c>
      <c r="K65" s="211">
        <f t="shared" ca="1" si="166"/>
        <v>0.33209565375032513</v>
      </c>
      <c r="L65" s="211">
        <f t="shared" ca="1" si="166"/>
        <v>0.31257213862301286</v>
      </c>
      <c r="M65" s="211">
        <f t="shared" ca="1" si="166"/>
        <v>0.32025109203859475</v>
      </c>
      <c r="N65" s="211">
        <f t="shared" ca="1" si="166"/>
        <v>0.33218795925595557</v>
      </c>
      <c r="O65" s="211">
        <f t="shared" ca="1" si="166"/>
        <v>0.32060930431782636</v>
      </c>
      <c r="P65" s="211">
        <f t="shared" ca="1" si="166"/>
        <v>0.32342539744640064</v>
      </c>
      <c r="Q65" s="211">
        <f t="shared" ca="1" si="166"/>
        <v>0.32437175036928012</v>
      </c>
      <c r="R65" s="211">
        <f t="shared" ca="1" si="166"/>
        <v>0.32437605475299064</v>
      </c>
      <c r="S65" s="211">
        <f t="shared" ca="1" si="166"/>
        <v>0.32404180597543403</v>
      </c>
      <c r="T65" s="211">
        <f t="shared" ca="1" si="166"/>
        <v>0.3237034806013559</v>
      </c>
      <c r="U65" s="211">
        <f t="shared" ca="1" si="166"/>
        <v>0.32335275309604589</v>
      </c>
      <c r="V65" s="67"/>
    </row>
    <row r="66" spans="2:22" ht="11.25" customHeight="1">
      <c r="B66" s="35"/>
      <c r="D66" s="211"/>
      <c r="E66" s="211"/>
      <c r="F66" s="211"/>
      <c r="G66" s="211"/>
      <c r="H66" s="211"/>
      <c r="I66" s="211"/>
      <c r="J66" s="211"/>
      <c r="K66" s="211"/>
      <c r="L66" s="211"/>
      <c r="M66" s="211"/>
      <c r="N66" s="211"/>
      <c r="O66" s="211"/>
      <c r="P66" s="211"/>
      <c r="Q66" s="211"/>
      <c r="R66" s="211"/>
      <c r="S66" s="211"/>
      <c r="T66" s="211"/>
      <c r="U66" s="211"/>
      <c r="V66" s="67"/>
    </row>
    <row r="67" spans="2:22" ht="11.25" customHeight="1">
      <c r="B67" s="35" t="s">
        <v>775</v>
      </c>
      <c r="D67" s="211"/>
      <c r="E67" s="211"/>
      <c r="F67" s="211"/>
      <c r="G67" s="211"/>
      <c r="H67" s="211"/>
      <c r="I67" s="211"/>
      <c r="J67" s="211"/>
      <c r="K67" s="211"/>
      <c r="L67" s="211"/>
      <c r="M67" s="211"/>
      <c r="N67" s="211"/>
      <c r="O67" s="211"/>
      <c r="P67" s="211"/>
      <c r="Q67" s="211"/>
      <c r="R67" s="211"/>
      <c r="S67" s="211"/>
      <c r="T67" s="211"/>
      <c r="U67" s="211"/>
      <c r="V67" s="67"/>
    </row>
    <row r="68" spans="2:22" ht="11.25" customHeight="1">
      <c r="B68" s="35" t="s">
        <v>776</v>
      </c>
      <c r="D68" s="538">
        <f>D158</f>
        <v>1156.0029999999999</v>
      </c>
      <c r="E68" s="538">
        <f t="shared" ref="E68:U68" si="167">E158</f>
        <v>1336.5605</v>
      </c>
      <c r="F68" s="538">
        <f t="shared" si="167"/>
        <v>1592.1025</v>
      </c>
      <c r="G68" s="538">
        <f t="shared" si="167"/>
        <v>1939.4894999999999</v>
      </c>
      <c r="H68" s="538">
        <f t="shared" si="167"/>
        <v>2470.7885000000001</v>
      </c>
      <c r="I68" s="538">
        <f t="shared" si="167"/>
        <v>2958.3029999999999</v>
      </c>
      <c r="J68" s="538">
        <f t="shared" ca="1" si="167"/>
        <v>3355.2073333712879</v>
      </c>
      <c r="K68" s="538">
        <f t="shared" ca="1" si="167"/>
        <v>3799.3227226948807</v>
      </c>
      <c r="L68" s="538">
        <f t="shared" ca="1" si="167"/>
        <v>4398.046997308853</v>
      </c>
      <c r="M68" s="538">
        <f t="shared" ca="1" si="167"/>
        <v>5135.7892950356927</v>
      </c>
      <c r="N68" s="538">
        <f t="shared" ca="1" si="167"/>
        <v>5915.4056678791003</v>
      </c>
      <c r="O68" s="538">
        <f t="shared" ca="1" si="167"/>
        <v>6814.8100416037778</v>
      </c>
      <c r="P68" s="538">
        <f t="shared" ca="1" si="167"/>
        <v>7879.0337746602518</v>
      </c>
      <c r="Q68" s="538">
        <f t="shared" ca="1" si="167"/>
        <v>9091.4836080198729</v>
      </c>
      <c r="R68" s="538">
        <f t="shared" ca="1" si="167"/>
        <v>10483.139385242248</v>
      </c>
      <c r="S68" s="538">
        <f t="shared" ca="1" si="167"/>
        <v>12086.972368511982</v>
      </c>
      <c r="T68" s="538">
        <f t="shared" ca="1" si="167"/>
        <v>13937.472601691297</v>
      </c>
      <c r="U68" s="538">
        <f t="shared" ca="1" si="167"/>
        <v>16072.86110292332</v>
      </c>
      <c r="V68" s="67"/>
    </row>
    <row r="69" spans="2:22" ht="11.25" customHeight="1">
      <c r="B69" s="36" t="s">
        <v>249</v>
      </c>
      <c r="D69" s="211"/>
      <c r="E69" s="211">
        <f>IF(AND(E68&gt;0,D68&gt;0),E68/D68-1,"n/m")</f>
        <v>0.156191203656046</v>
      </c>
      <c r="F69" s="211">
        <f t="shared" ref="F69:U69" si="168">IF(AND(F68&gt;0,E68&gt;0),F68/E68-1,"n/m")</f>
        <v>0.19119373945287177</v>
      </c>
      <c r="G69" s="211">
        <f t="shared" si="168"/>
        <v>0.21819386628687543</v>
      </c>
      <c r="H69" s="211">
        <f t="shared" si="168"/>
        <v>0.2739375490302991</v>
      </c>
      <c r="I69" s="211">
        <f t="shared" si="168"/>
        <v>0.19731130365873062</v>
      </c>
      <c r="J69" s="211">
        <f t="shared" ca="1" si="168"/>
        <v>0.13416622075943141</v>
      </c>
      <c r="K69" s="211">
        <f t="shared" ca="1" si="168"/>
        <v>0.13236600460018333</v>
      </c>
      <c r="L69" s="211">
        <f t="shared" ca="1" si="168"/>
        <v>0.15758710652231556</v>
      </c>
      <c r="M69" s="211">
        <f t="shared" ca="1" si="168"/>
        <v>0.16774315922004956</v>
      </c>
      <c r="N69" s="211">
        <f t="shared" ca="1" si="168"/>
        <v>0.15180069275758501</v>
      </c>
      <c r="O69" s="211">
        <f t="shared" ca="1" si="168"/>
        <v>0.15204441152844028</v>
      </c>
      <c r="P69" s="211">
        <f t="shared" ca="1" si="168"/>
        <v>0.15616337455622209</v>
      </c>
      <c r="Q69" s="211">
        <f t="shared" ca="1" si="168"/>
        <v>0.1538830607959798</v>
      </c>
      <c r="R69" s="211">
        <f t="shared" ca="1" si="168"/>
        <v>0.15307246179212752</v>
      </c>
      <c r="S69" s="211">
        <f t="shared" ca="1" si="168"/>
        <v>0.15299166827139099</v>
      </c>
      <c r="T69" s="211">
        <f t="shared" ca="1" si="168"/>
        <v>0.15309873943288643</v>
      </c>
      <c r="U69" s="211">
        <f t="shared" ca="1" si="168"/>
        <v>0.15321203221399671</v>
      </c>
      <c r="V69" s="67"/>
    </row>
    <row r="70" spans="2:22" ht="11.25" customHeight="1">
      <c r="B70" s="35" t="s">
        <v>546</v>
      </c>
      <c r="D70" s="211">
        <f t="shared" ref="D70:U70" si="169">D160</f>
        <v>0.33185342685096841</v>
      </c>
      <c r="E70" s="211">
        <f t="shared" si="169"/>
        <v>0.27885116161969481</v>
      </c>
      <c r="F70" s="211">
        <f t="shared" si="169"/>
        <v>0.35599706111886642</v>
      </c>
      <c r="G70" s="211">
        <f t="shared" si="169"/>
        <v>0.33512995919802591</v>
      </c>
      <c r="H70" s="211">
        <f t="shared" si="169"/>
        <v>0.45381435602440279</v>
      </c>
      <c r="I70" s="211">
        <f t="shared" si="169"/>
        <v>0.31148465860326002</v>
      </c>
      <c r="J70" s="211">
        <f t="shared" ca="1" si="169"/>
        <v>0.38906200338139924</v>
      </c>
      <c r="K70" s="211">
        <f t="shared" ca="1" si="169"/>
        <v>0.4247972662007975</v>
      </c>
      <c r="L70" s="211">
        <f t="shared" si="169"/>
        <v>0.44</v>
      </c>
      <c r="M70" s="211">
        <f t="shared" si="169"/>
        <v>0.44</v>
      </c>
      <c r="N70" s="211">
        <f t="shared" si="169"/>
        <v>0.44</v>
      </c>
      <c r="O70" s="211">
        <f t="shared" si="169"/>
        <v>0.44</v>
      </c>
      <c r="P70" s="211">
        <f t="shared" si="169"/>
        <v>0.44</v>
      </c>
      <c r="Q70" s="211">
        <f t="shared" si="169"/>
        <v>0.44</v>
      </c>
      <c r="R70" s="211">
        <f t="shared" si="169"/>
        <v>0.44</v>
      </c>
      <c r="S70" s="211">
        <f t="shared" si="169"/>
        <v>0.44</v>
      </c>
      <c r="T70" s="211">
        <f t="shared" si="169"/>
        <v>0.44</v>
      </c>
      <c r="U70" s="211">
        <f t="shared" si="169"/>
        <v>0.44</v>
      </c>
      <c r="V70" s="67"/>
    </row>
    <row r="71" spans="2:22" ht="11.25" customHeight="1">
      <c r="B71" s="35"/>
      <c r="D71" s="72"/>
      <c r="E71" s="72"/>
      <c r="F71" s="72"/>
      <c r="G71" s="72"/>
      <c r="H71" s="72"/>
      <c r="I71" s="72"/>
      <c r="J71" s="72"/>
      <c r="K71" s="72"/>
      <c r="L71" s="72"/>
      <c r="M71" s="72"/>
      <c r="N71" s="72"/>
      <c r="O71" s="72"/>
      <c r="P71" s="72"/>
      <c r="Q71" s="72"/>
      <c r="R71" s="72"/>
      <c r="S71" s="72"/>
      <c r="T71" s="72"/>
      <c r="U71" s="72"/>
      <c r="V71" s="67"/>
    </row>
    <row r="72" spans="2:22" ht="11.25" customHeight="1">
      <c r="B72" s="30" t="s">
        <v>280</v>
      </c>
      <c r="D72" s="19">
        <f t="shared" ref="D72:U72" si="170">-D36</f>
        <v>11.643000000000001</v>
      </c>
      <c r="E72" s="19">
        <f t="shared" si="170"/>
        <v>12.939</v>
      </c>
      <c r="F72" s="19">
        <f t="shared" si="170"/>
        <v>6.9370000000000003</v>
      </c>
      <c r="G72" s="19">
        <f t="shared" si="170"/>
        <v>0.29399999999999998</v>
      </c>
      <c r="H72" s="19">
        <f t="shared" si="170"/>
        <v>10.672000000000001</v>
      </c>
      <c r="I72" s="19">
        <f t="shared" si="170"/>
        <v>48.293999999999997</v>
      </c>
      <c r="J72" s="19">
        <f t="shared" si="170"/>
        <v>77.548677962169123</v>
      </c>
      <c r="K72" s="19">
        <f t="shared" ca="1" si="170"/>
        <v>0</v>
      </c>
      <c r="L72" s="19">
        <f t="shared" ca="1" si="170"/>
        <v>0</v>
      </c>
      <c r="M72" s="19">
        <f t="shared" ca="1" si="170"/>
        <v>0</v>
      </c>
      <c r="N72" s="19">
        <f t="shared" ca="1" si="170"/>
        <v>0</v>
      </c>
      <c r="O72" s="19">
        <f t="shared" ca="1" si="170"/>
        <v>0</v>
      </c>
      <c r="P72" s="19">
        <f t="shared" ca="1" si="170"/>
        <v>0</v>
      </c>
      <c r="Q72" s="19">
        <f t="shared" ca="1" si="170"/>
        <v>0</v>
      </c>
      <c r="R72" s="19">
        <f t="shared" ca="1" si="170"/>
        <v>0</v>
      </c>
      <c r="S72" s="19">
        <f t="shared" ca="1" si="170"/>
        <v>0</v>
      </c>
      <c r="T72" s="19">
        <f t="shared" ca="1" si="170"/>
        <v>0</v>
      </c>
      <c r="U72" s="19">
        <f t="shared" ca="1" si="170"/>
        <v>0</v>
      </c>
      <c r="V72" s="67"/>
    </row>
    <row r="73" spans="2:22" ht="11.25" customHeight="1">
      <c r="B73" s="13" t="s">
        <v>254</v>
      </c>
      <c r="D73" s="19">
        <f t="shared" ref="D73:U73" si="171">-D42</f>
        <v>-59.626433550000002</v>
      </c>
      <c r="E73" s="19">
        <f t="shared" si="171"/>
        <v>-58.476817200000021</v>
      </c>
      <c r="F73" s="19">
        <f t="shared" si="171"/>
        <v>-87.716521650000033</v>
      </c>
      <c r="G73" s="19">
        <f t="shared" si="171"/>
        <v>-99.468905550000002</v>
      </c>
      <c r="H73" s="19">
        <f t="shared" si="171"/>
        <v>-171.62869380000004</v>
      </c>
      <c r="I73" s="19">
        <f t="shared" si="171"/>
        <v>-146.87564999999998</v>
      </c>
      <c r="J73" s="19">
        <f t="shared" ca="1" si="171"/>
        <v>-208.56528842171258</v>
      </c>
      <c r="K73" s="19">
        <f t="shared" ca="1" si="171"/>
        <v>-243.138791757327</v>
      </c>
      <c r="L73" s="19">
        <f t="shared" ca="1" si="171"/>
        <v>-290.27110182238414</v>
      </c>
      <c r="M73" s="19">
        <f t="shared" ca="1" si="171"/>
        <v>-338.96209347235549</v>
      </c>
      <c r="N73" s="19">
        <f t="shared" ca="1" si="171"/>
        <v>-390.41677408002039</v>
      </c>
      <c r="O73" s="19">
        <f t="shared" ca="1" si="171"/>
        <v>-449.77746274584916</v>
      </c>
      <c r="P73" s="19">
        <f t="shared" ca="1" si="171"/>
        <v>-520.01622912757637</v>
      </c>
      <c r="Q73" s="19">
        <f t="shared" ca="1" si="171"/>
        <v>-600.03791812931127</v>
      </c>
      <c r="R73" s="19">
        <f t="shared" ca="1" si="171"/>
        <v>-691.887199425988</v>
      </c>
      <c r="S73" s="19">
        <f t="shared" ca="1" si="171"/>
        <v>-797.74017632179027</v>
      </c>
      <c r="T73" s="19">
        <f t="shared" ca="1" si="171"/>
        <v>-919.87319171162505</v>
      </c>
      <c r="U73" s="19">
        <f t="shared" ca="1" si="171"/>
        <v>-1060.8088327929386</v>
      </c>
      <c r="V73" s="67"/>
    </row>
    <row r="74" spans="2:22" s="5" customFormat="1" ht="11.25" customHeight="1">
      <c r="B74" s="182" t="s">
        <v>31</v>
      </c>
      <c r="C74" s="147"/>
      <c r="D74" s="150">
        <f t="shared" ref="D74:U74" si="172">D63+SUM(D72:D73)</f>
        <v>312.60412344999997</v>
      </c>
      <c r="E74" s="150">
        <f t="shared" si="172"/>
        <v>153.62563080000012</v>
      </c>
      <c r="F74" s="150">
        <f t="shared" si="172"/>
        <v>310.49028935000001</v>
      </c>
      <c r="G74" s="150">
        <f t="shared" si="172"/>
        <v>134.00513144999951</v>
      </c>
      <c r="H74" s="150">
        <f t="shared" si="172"/>
        <v>314.90459820000001</v>
      </c>
      <c r="I74" s="150">
        <f t="shared" si="172"/>
        <v>405.25834999999995</v>
      </c>
      <c r="J74" s="150">
        <f t="shared" ca="1" si="172"/>
        <v>874.66400054243991</v>
      </c>
      <c r="K74" s="150">
        <f t="shared" ca="1" si="172"/>
        <v>936.89166464535811</v>
      </c>
      <c r="L74" s="150">
        <f t="shared" ca="1" si="172"/>
        <v>1042.6602329689263</v>
      </c>
      <c r="M74" s="150">
        <f t="shared" ca="1" si="172"/>
        <v>1257.2797203201847</v>
      </c>
      <c r="N74" s="150">
        <f t="shared" ca="1" si="172"/>
        <v>1518.4379582016022</v>
      </c>
      <c r="O74" s="150">
        <f t="shared" ca="1" si="172"/>
        <v>1674.6323769129378</v>
      </c>
      <c r="P74" s="150">
        <f t="shared" ca="1" si="172"/>
        <v>1960.0304508961708</v>
      </c>
      <c r="Q74" s="150">
        <f t="shared" ca="1" si="172"/>
        <v>2272.6951830327689</v>
      </c>
      <c r="R74" s="150">
        <f t="shared" ca="1" si="172"/>
        <v>2623.7174573626335</v>
      </c>
      <c r="S74" s="150">
        <f t="shared" ca="1" si="172"/>
        <v>3024.7523401981252</v>
      </c>
      <c r="T74" s="150">
        <f t="shared" ca="1" si="172"/>
        <v>3487.3528204514009</v>
      </c>
      <c r="U74" s="150">
        <f t="shared" ca="1" si="172"/>
        <v>4020.9016352396525</v>
      </c>
      <c r="V74" s="61"/>
    </row>
    <row r="75" spans="2:22" ht="11.25" customHeight="1">
      <c r="B75" s="36" t="s">
        <v>249</v>
      </c>
      <c r="D75" s="67"/>
      <c r="E75" s="211">
        <f>IF(AND(E74&gt;0,D74&gt;0),E74/D74-1,"n/m")</f>
        <v>-0.50856172623528417</v>
      </c>
      <c r="F75" s="211">
        <f t="shared" ref="F75:K75" si="173">IF(AND(F74&gt;0,E74&gt;0),F74/E74-1,"n/m")</f>
        <v>1.0210839020359601</v>
      </c>
      <c r="G75" s="211">
        <f t="shared" si="173"/>
        <v>-0.56840797910126484</v>
      </c>
      <c r="H75" s="211">
        <f t="shared" si="173"/>
        <v>1.3499443252103998</v>
      </c>
      <c r="I75" s="211">
        <f t="shared" si="173"/>
        <v>0.28692420598639568</v>
      </c>
      <c r="J75" s="211">
        <f t="shared" ca="1" si="173"/>
        <v>1.1582874246574808</v>
      </c>
      <c r="K75" s="211">
        <f t="shared" ca="1" si="173"/>
        <v>7.1144649904793633E-2</v>
      </c>
      <c r="L75" s="211">
        <f t="shared" ref="L75" ca="1" si="174">IF(AND(L74&gt;0,K74&gt;0),L74/K74-1,"n/m")</f>
        <v>0.11289306150845602</v>
      </c>
      <c r="M75" s="211">
        <f t="shared" ref="M75" ca="1" si="175">IF(AND(M74&gt;0,L74&gt;0),M74/L74-1,"n/m")</f>
        <v>0.20583837434764285</v>
      </c>
      <c r="N75" s="211">
        <f t="shared" ref="N75" ca="1" si="176">IF(AND(N74&gt;0,M74&gt;0),N74/M74-1,"n/m")</f>
        <v>0.20771689359223089</v>
      </c>
      <c r="O75" s="211">
        <f t="shared" ref="O75" ca="1" si="177">IF(AND(O74&gt;0,N74&gt;0),O74/N74-1,"n/m")</f>
        <v>0.10286519634712521</v>
      </c>
      <c r="P75" s="211">
        <f t="shared" ref="P75" ca="1" si="178">IF(AND(P74&gt;0,O74&gt;0),P74/O74-1,"n/m")</f>
        <v>0.17042431396754876</v>
      </c>
      <c r="Q75" s="211">
        <f t="shared" ref="Q75" ca="1" si="179">IF(AND(Q74&gt;0,P74&gt;0),Q74/P74-1,"n/m")</f>
        <v>0.15952034418324512</v>
      </c>
      <c r="R75" s="211">
        <f t="shared" ref="R75" ca="1" si="180">IF(AND(R74&gt;0,Q74&gt;0),R74/Q74-1,"n/m")</f>
        <v>0.15445198148457706</v>
      </c>
      <c r="S75" s="211">
        <f t="shared" ref="S75" ca="1" si="181">IF(AND(S74&gt;0,R74&gt;0),S74/R74-1,"n/m")</f>
        <v>0.15284987402516004</v>
      </c>
      <c r="T75" s="211">
        <f t="shared" ref="T75" ca="1" si="182">IF(AND(T74&gt;0,S74&gt;0),T74/S74-1,"n/m")</f>
        <v>0.15293829980902651</v>
      </c>
      <c r="U75" s="211">
        <f t="shared" ref="U75" ca="1" si="183">IF(AND(U74&gt;0,T74&gt;0),U74/T74-1,"n/m")</f>
        <v>0.15299536417975323</v>
      </c>
      <c r="V75" s="67"/>
    </row>
    <row r="76" spans="2:22" ht="11.25" customHeight="1">
      <c r="B76" s="35"/>
      <c r="D76" s="47"/>
      <c r="E76" s="47"/>
      <c r="J76" s="191"/>
      <c r="K76" s="191"/>
      <c r="L76" s="191"/>
      <c r="M76" s="191"/>
      <c r="N76" s="191"/>
      <c r="O76" s="191"/>
      <c r="P76" s="191"/>
      <c r="Q76" s="191"/>
      <c r="R76" s="191"/>
      <c r="S76" s="191"/>
      <c r="T76" s="191"/>
      <c r="U76" s="191"/>
      <c r="V76" s="47"/>
    </row>
    <row r="77" spans="2:22" ht="11.25" customHeight="1">
      <c r="B77" s="13" t="s">
        <v>32</v>
      </c>
      <c r="D77" s="49">
        <f>'Historical Financials'!AX84</f>
        <v>0</v>
      </c>
      <c r="E77" s="49">
        <f>'Historical Financials'!AY84</f>
        <v>2.8180000000000002E-3</v>
      </c>
      <c r="F77" s="49">
        <f>'Historical Financials'!AZ84</f>
        <v>6.6119999999999998E-3</v>
      </c>
      <c r="G77" s="49">
        <f>'Historical Financials'!BA84</f>
        <v>7.7880000000000007E-3</v>
      </c>
      <c r="H77" s="49">
        <f>'Historical Financials'!BB84</f>
        <v>0.30234800000000001</v>
      </c>
      <c r="I77" s="49">
        <f>'Historical Financials'!BC84</f>
        <v>0.48305000000000003</v>
      </c>
      <c r="J77" s="49">
        <f>'Historical Financials'!BD84</f>
        <v>1.0598379650710756</v>
      </c>
      <c r="K77" s="49">
        <f>'Historical Financials'!BE84</f>
        <v>0</v>
      </c>
      <c r="L77" s="50">
        <v>0</v>
      </c>
      <c r="M77" s="50">
        <v>0</v>
      </c>
      <c r="N77" s="50">
        <v>0</v>
      </c>
      <c r="O77" s="50">
        <v>0</v>
      </c>
      <c r="P77" s="50">
        <v>0</v>
      </c>
      <c r="Q77" s="50">
        <v>0</v>
      </c>
      <c r="R77" s="50">
        <v>0</v>
      </c>
      <c r="S77" s="50">
        <v>0</v>
      </c>
      <c r="T77" s="50">
        <v>0</v>
      </c>
      <c r="U77" s="50">
        <v>0</v>
      </c>
      <c r="V77" s="67"/>
    </row>
    <row r="78" spans="2:22" ht="11.25" customHeight="1">
      <c r="B78" s="13" t="s">
        <v>34</v>
      </c>
      <c r="D78" s="49">
        <f>'Historical Financials'!AX85</f>
        <v>-55.715000000000032</v>
      </c>
      <c r="E78" s="49">
        <f>'Historical Financials'!AY85</f>
        <v>13.529000000000035</v>
      </c>
      <c r="F78" s="49">
        <f>'Historical Financials'!AZ85</f>
        <v>7.0419999999999519</v>
      </c>
      <c r="G78" s="49">
        <f>'Historical Financials'!BA85</f>
        <v>-24.788999999999973</v>
      </c>
      <c r="H78" s="49">
        <f>'Historical Financials'!BB85</f>
        <v>164.34700000000001</v>
      </c>
      <c r="I78" s="49">
        <f>'Historical Financials'!BC85</f>
        <v>-19.525999999999996</v>
      </c>
      <c r="J78" s="49">
        <f ca="1">'Historical Financials'!BD85</f>
        <v>34.086927778524199</v>
      </c>
      <c r="K78" s="49">
        <f ca="1">'Historical Financials'!BE85</f>
        <v>44.953211478280039</v>
      </c>
      <c r="L78" s="50">
        <f t="shared" ref="L78:U78" ca="1" si="184">-(L147-K147)</f>
        <v>-8.9672633708091922</v>
      </c>
      <c r="M78" s="50">
        <f t="shared" ca="1" si="184"/>
        <v>21.59846328925785</v>
      </c>
      <c r="N78" s="50">
        <f t="shared" ca="1" si="184"/>
        <v>22.85893735576272</v>
      </c>
      <c r="O78" s="50">
        <f t="shared" ca="1" si="184"/>
        <v>26.395644341350959</v>
      </c>
      <c r="P78" s="50">
        <f t="shared" ca="1" si="184"/>
        <v>31.257002205249847</v>
      </c>
      <c r="Q78" s="50">
        <f t="shared" ca="1" si="184"/>
        <v>35.647037002133885</v>
      </c>
      <c r="R78" s="50">
        <f t="shared" ca="1" si="184"/>
        <v>40.955560211375087</v>
      </c>
      <c r="S78" s="50">
        <f t="shared" ca="1" si="184"/>
        <v>47.244309424541257</v>
      </c>
      <c r="T78" s="50">
        <f t="shared" ca="1" si="184"/>
        <v>54.561459787760327</v>
      </c>
      <c r="U78" s="50">
        <f t="shared" ca="1" si="184"/>
        <v>63.020302848990411</v>
      </c>
      <c r="V78" s="67"/>
    </row>
    <row r="79" spans="2:22" ht="13.5" customHeight="1">
      <c r="B79" s="30" t="s">
        <v>854</v>
      </c>
      <c r="D79" s="59">
        <f>'Historical Financials'!AX86</f>
        <v>13.125876550000044</v>
      </c>
      <c r="E79" s="59">
        <f>'Historical Financials'!AY86</f>
        <v>0.49855119999980957</v>
      </c>
      <c r="F79" s="59">
        <f>'Historical Financials'!AZ86</f>
        <v>4.8260986500002332</v>
      </c>
      <c r="G79" s="59">
        <f>'Historical Financials'!BA86</f>
        <v>164.03508055000026</v>
      </c>
      <c r="H79" s="59">
        <f>'Historical Financials'!BB86</f>
        <v>59.045053800000119</v>
      </c>
      <c r="I79" s="59">
        <f>'Historical Financials'!BC86</f>
        <v>-45.771399999999858</v>
      </c>
      <c r="J79" s="59">
        <f>'Historical Financials'!BD86</f>
        <v>-76.181361061142212</v>
      </c>
      <c r="K79" s="59">
        <f>'Historical Financials'!BE86</f>
        <v>-44.233407184284488</v>
      </c>
      <c r="L79" s="51">
        <v>0</v>
      </c>
      <c r="M79" s="51">
        <v>0</v>
      </c>
      <c r="N79" s="51">
        <v>0</v>
      </c>
      <c r="O79" s="51">
        <v>0</v>
      </c>
      <c r="P79" s="51">
        <v>0</v>
      </c>
      <c r="Q79" s="51">
        <v>0</v>
      </c>
      <c r="R79" s="51">
        <v>0</v>
      </c>
      <c r="S79" s="51">
        <v>0</v>
      </c>
      <c r="T79" s="51">
        <v>0</v>
      </c>
      <c r="U79" s="51">
        <v>0</v>
      </c>
      <c r="V79" s="67"/>
    </row>
    <row r="80" spans="2:22" ht="11.25" customHeight="1">
      <c r="B80" s="60" t="s">
        <v>33</v>
      </c>
      <c r="D80" s="92">
        <f t="shared" ref="D80:K80" si="185">D74+SUM(D77:D79)</f>
        <v>270.01499999999999</v>
      </c>
      <c r="E80" s="92">
        <f t="shared" si="185"/>
        <v>167.65599999999998</v>
      </c>
      <c r="F80" s="92">
        <f t="shared" si="185"/>
        <v>322.36500000000018</v>
      </c>
      <c r="G80" s="92">
        <f t="shared" si="185"/>
        <v>273.25899999999979</v>
      </c>
      <c r="H80" s="92">
        <f t="shared" si="185"/>
        <v>538.59900000000016</v>
      </c>
      <c r="I80" s="92">
        <f t="shared" si="185"/>
        <v>340.44400000000007</v>
      </c>
      <c r="J80" s="92">
        <f t="shared" ca="1" si="185"/>
        <v>833.62940522489293</v>
      </c>
      <c r="K80" s="92">
        <f t="shared" ca="1" si="185"/>
        <v>937.6114689393537</v>
      </c>
      <c r="L80" s="92">
        <f t="shared" ref="L80:U80" ca="1" si="186">L74+SUM(L77:L79)</f>
        <v>1033.6929695981171</v>
      </c>
      <c r="M80" s="92">
        <f t="shared" ca="1" si="186"/>
        <v>1278.8781836094424</v>
      </c>
      <c r="N80" s="92">
        <f t="shared" ca="1" si="186"/>
        <v>1541.2968955573649</v>
      </c>
      <c r="O80" s="92">
        <f t="shared" ca="1" si="186"/>
        <v>1701.0280212542889</v>
      </c>
      <c r="P80" s="92">
        <f t="shared" ca="1" si="186"/>
        <v>1991.2874531014206</v>
      </c>
      <c r="Q80" s="92">
        <f t="shared" ca="1" si="186"/>
        <v>2308.3422200349028</v>
      </c>
      <c r="R80" s="92">
        <f t="shared" ca="1" si="186"/>
        <v>2664.6730175740086</v>
      </c>
      <c r="S80" s="92">
        <f t="shared" ca="1" si="186"/>
        <v>3071.9966496226666</v>
      </c>
      <c r="T80" s="92">
        <f t="shared" ca="1" si="186"/>
        <v>3541.9142802391611</v>
      </c>
      <c r="U80" s="92">
        <f t="shared" ca="1" si="186"/>
        <v>4083.9219380886429</v>
      </c>
      <c r="V80" s="67"/>
    </row>
    <row r="81" spans="2:24" ht="11.25" customHeight="1">
      <c r="B81" s="13"/>
      <c r="D81" s="67"/>
      <c r="E81" s="67"/>
      <c r="F81" s="67"/>
      <c r="G81" s="67"/>
      <c r="H81" s="67"/>
      <c r="I81" s="67"/>
      <c r="J81" s="115"/>
      <c r="K81" s="67"/>
      <c r="L81" s="67"/>
      <c r="M81" s="67"/>
      <c r="N81" s="67"/>
      <c r="O81" s="67"/>
      <c r="P81" s="67"/>
      <c r="Q81" s="67"/>
      <c r="R81" s="67"/>
      <c r="S81" s="67"/>
      <c r="T81" s="67"/>
      <c r="U81" s="67"/>
      <c r="V81" s="67"/>
    </row>
    <row r="82" spans="2:24" ht="11.25" customHeight="1">
      <c r="B82" s="13" t="s">
        <v>406</v>
      </c>
      <c r="D82" s="49">
        <f>'Historical Financials'!AX97</f>
        <v>180.55500000000001</v>
      </c>
      <c r="E82" s="49">
        <f>'Historical Financials'!AY97</f>
        <v>175.422</v>
      </c>
      <c r="F82" s="49">
        <f>'Historical Financials'!AZ97</f>
        <v>345.26400000000001</v>
      </c>
      <c r="G82" s="49">
        <f>'Historical Financials'!BA97</f>
        <v>729.55899999999997</v>
      </c>
      <c r="H82" s="49">
        <f>'Historical Financials'!BB97</f>
        <v>853.65</v>
      </c>
      <c r="I82" s="49">
        <f>'Historical Financials'!BC97</f>
        <v>923.19299999999998</v>
      </c>
      <c r="J82" s="49">
        <f>'Historical Financials'!BD97</f>
        <v>968.5089999999999</v>
      </c>
      <c r="K82" s="53">
        <f t="shared" ref="K82:U82" ca="1" si="187">K84+K83</f>
        <v>0</v>
      </c>
      <c r="L82" s="53">
        <f t="shared" ca="1" si="187"/>
        <v>0</v>
      </c>
      <c r="M82" s="53">
        <f t="shared" ca="1" si="187"/>
        <v>0</v>
      </c>
      <c r="N82" s="53">
        <f t="shared" ca="1" si="187"/>
        <v>0</v>
      </c>
      <c r="O82" s="53">
        <f t="shared" ca="1" si="187"/>
        <v>0</v>
      </c>
      <c r="P82" s="53">
        <f t="shared" ca="1" si="187"/>
        <v>0</v>
      </c>
      <c r="Q82" s="53">
        <f t="shared" ca="1" si="187"/>
        <v>0</v>
      </c>
      <c r="R82" s="53">
        <f t="shared" ca="1" si="187"/>
        <v>0</v>
      </c>
      <c r="S82" s="53">
        <f t="shared" ca="1" si="187"/>
        <v>0</v>
      </c>
      <c r="T82" s="53">
        <f t="shared" ca="1" si="187"/>
        <v>0</v>
      </c>
      <c r="U82" s="53">
        <f t="shared" ca="1" si="187"/>
        <v>0</v>
      </c>
      <c r="V82" s="47"/>
      <c r="X82" s="189"/>
    </row>
    <row r="83" spans="2:24" ht="13.5" customHeight="1">
      <c r="B83" s="30" t="s">
        <v>278</v>
      </c>
      <c r="D83" s="59">
        <f>'Historical Financials'!AX98</f>
        <v>695.18200000000002</v>
      </c>
      <c r="E83" s="59">
        <f>'Historical Financials'!AY98</f>
        <v>583.44799999999998</v>
      </c>
      <c r="F83" s="59">
        <f>'Historical Financials'!AZ98</f>
        <v>791.47700000000009</v>
      </c>
      <c r="G83" s="59">
        <f>'Historical Financials'!BA98</f>
        <v>1188.4549999999999</v>
      </c>
      <c r="H83" s="59">
        <f>'Historical Financials'!BB98</f>
        <v>1561.4860000000001</v>
      </c>
      <c r="I83" s="59">
        <f>'Historical Financials'!BC98</f>
        <v>1687.6450000000002</v>
      </c>
      <c r="J83" s="59">
        <f ca="1">'Historical Financials'!BD98</f>
        <v>2334.3474052248921</v>
      </c>
      <c r="K83" s="51">
        <v>0</v>
      </c>
      <c r="L83" s="51">
        <v>0</v>
      </c>
      <c r="M83" s="51">
        <v>0</v>
      </c>
      <c r="N83" s="51">
        <v>0</v>
      </c>
      <c r="O83" s="51">
        <v>0</v>
      </c>
      <c r="P83" s="51">
        <v>0</v>
      </c>
      <c r="Q83" s="51">
        <v>0</v>
      </c>
      <c r="R83" s="51">
        <v>0</v>
      </c>
      <c r="S83" s="51">
        <v>0</v>
      </c>
      <c r="T83" s="51">
        <v>0</v>
      </c>
      <c r="U83" s="51">
        <v>0</v>
      </c>
      <c r="V83" s="47"/>
      <c r="X83" s="189"/>
    </row>
    <row r="84" spans="2:24" ht="11.25" customHeight="1">
      <c r="B84" s="12" t="s">
        <v>316</v>
      </c>
      <c r="D84" s="53">
        <f t="shared" ref="D84:I84" si="188">D82-D83</f>
        <v>-514.62699999999995</v>
      </c>
      <c r="E84" s="53">
        <f t="shared" si="188"/>
        <v>-408.02599999999995</v>
      </c>
      <c r="F84" s="53">
        <f t="shared" si="188"/>
        <v>-446.21300000000008</v>
      </c>
      <c r="G84" s="53">
        <f t="shared" si="188"/>
        <v>-458.89599999999996</v>
      </c>
      <c r="H84" s="53">
        <f t="shared" si="188"/>
        <v>-707.83600000000013</v>
      </c>
      <c r="I84" s="53">
        <f t="shared" si="188"/>
        <v>-764.45200000000023</v>
      </c>
      <c r="J84" s="53">
        <f ca="1">J82-J83</f>
        <v>-1365.8384052248921</v>
      </c>
      <c r="K84" s="53">
        <f t="shared" ref="K84:U84" ca="1" si="189">K85*K55</f>
        <v>0</v>
      </c>
      <c r="L84" s="53">
        <f t="shared" ca="1" si="189"/>
        <v>0</v>
      </c>
      <c r="M84" s="53">
        <f t="shared" ca="1" si="189"/>
        <v>0</v>
      </c>
      <c r="N84" s="53">
        <f t="shared" ca="1" si="189"/>
        <v>0</v>
      </c>
      <c r="O84" s="53">
        <f t="shared" ca="1" si="189"/>
        <v>0</v>
      </c>
      <c r="P84" s="53">
        <f t="shared" ca="1" si="189"/>
        <v>0</v>
      </c>
      <c r="Q84" s="53">
        <f t="shared" ca="1" si="189"/>
        <v>0</v>
      </c>
      <c r="R84" s="53">
        <f t="shared" ca="1" si="189"/>
        <v>0</v>
      </c>
      <c r="S84" s="53">
        <f t="shared" ca="1" si="189"/>
        <v>0</v>
      </c>
      <c r="T84" s="53">
        <f t="shared" ca="1" si="189"/>
        <v>0</v>
      </c>
      <c r="U84" s="53">
        <f t="shared" ca="1" si="189"/>
        <v>0</v>
      </c>
      <c r="V84" s="47"/>
      <c r="X84" s="27"/>
    </row>
    <row r="85" spans="2:24" ht="11.25" customHeight="1">
      <c r="B85" s="36" t="s">
        <v>53</v>
      </c>
      <c r="D85" s="76"/>
      <c r="E85" s="76">
        <f t="shared" ref="E85:J85" si="190">E84/E55</f>
        <v>-0.61860976653930044</v>
      </c>
      <c r="F85" s="76">
        <f t="shared" si="190"/>
        <v>-0.49661505211438606</v>
      </c>
      <c r="G85" s="76">
        <f t="shared" si="190"/>
        <v>-0.42792451916752422</v>
      </c>
      <c r="H85" s="76">
        <f t="shared" si="190"/>
        <v>-0.45416803326136462</v>
      </c>
      <c r="I85" s="76">
        <f t="shared" si="190"/>
        <v>-0.52588196527791653</v>
      </c>
      <c r="J85" s="76">
        <f t="shared" ca="1" si="190"/>
        <v>-0.68433414463191233</v>
      </c>
      <c r="K85" s="337">
        <v>0</v>
      </c>
      <c r="L85" s="337">
        <f t="shared" ref="L85:U85" si="191">K85</f>
        <v>0</v>
      </c>
      <c r="M85" s="337">
        <f t="shared" si="191"/>
        <v>0</v>
      </c>
      <c r="N85" s="337">
        <f t="shared" si="191"/>
        <v>0</v>
      </c>
      <c r="O85" s="337">
        <f t="shared" si="191"/>
        <v>0</v>
      </c>
      <c r="P85" s="337">
        <f t="shared" si="191"/>
        <v>0</v>
      </c>
      <c r="Q85" s="337">
        <f t="shared" si="191"/>
        <v>0</v>
      </c>
      <c r="R85" s="337">
        <f t="shared" si="191"/>
        <v>0</v>
      </c>
      <c r="S85" s="337">
        <f t="shared" si="191"/>
        <v>0</v>
      </c>
      <c r="T85" s="337">
        <f t="shared" si="191"/>
        <v>0</v>
      </c>
      <c r="U85" s="337">
        <f t="shared" si="191"/>
        <v>0</v>
      </c>
      <c r="V85" s="47"/>
      <c r="X85" s="27"/>
    </row>
    <row r="86" spans="2:24" ht="11.25" customHeight="1">
      <c r="B86" s="35"/>
      <c r="D86" s="47"/>
      <c r="E86" s="47"/>
      <c r="J86" s="47"/>
      <c r="K86" s="53"/>
      <c r="L86" s="47"/>
      <c r="M86" s="47"/>
      <c r="N86" s="47"/>
      <c r="O86" s="47"/>
      <c r="P86" s="47"/>
      <c r="Q86" s="47"/>
      <c r="R86" s="47"/>
      <c r="S86" s="47"/>
      <c r="T86" s="47"/>
      <c r="U86" s="47"/>
      <c r="V86" s="47"/>
      <c r="X86" s="27"/>
    </row>
    <row r="87" spans="2:24" ht="11.25" customHeight="1">
      <c r="B87" s="13" t="s">
        <v>44</v>
      </c>
      <c r="D87" s="19"/>
      <c r="E87" s="19"/>
      <c r="F87" s="19"/>
      <c r="G87" s="19"/>
      <c r="H87" s="19"/>
      <c r="I87" s="19"/>
      <c r="J87" s="53"/>
      <c r="K87" s="53">
        <f t="shared" ref="K87:U87" ca="1" si="192">K80+(K84-J84)</f>
        <v>2303.4498741642456</v>
      </c>
      <c r="L87" s="53">
        <f t="shared" ca="1" si="192"/>
        <v>1033.6929695981171</v>
      </c>
      <c r="M87" s="53">
        <f t="shared" ca="1" si="192"/>
        <v>1278.8781836094424</v>
      </c>
      <c r="N87" s="53">
        <f t="shared" ca="1" si="192"/>
        <v>1541.2968955573649</v>
      </c>
      <c r="O87" s="53">
        <f t="shared" ca="1" si="192"/>
        <v>1701.0280212542889</v>
      </c>
      <c r="P87" s="53">
        <f t="shared" ca="1" si="192"/>
        <v>1991.2874531014206</v>
      </c>
      <c r="Q87" s="53">
        <f t="shared" ca="1" si="192"/>
        <v>2308.3422200349028</v>
      </c>
      <c r="R87" s="53">
        <f t="shared" ca="1" si="192"/>
        <v>2664.6730175740086</v>
      </c>
      <c r="S87" s="53">
        <f t="shared" ca="1" si="192"/>
        <v>3071.9966496226666</v>
      </c>
      <c r="T87" s="53">
        <f t="shared" ca="1" si="192"/>
        <v>3541.9142802391611</v>
      </c>
      <c r="U87" s="53">
        <f t="shared" ca="1" si="192"/>
        <v>4083.9219380886429</v>
      </c>
    </row>
    <row r="88" spans="2:24" ht="11.25" customHeight="1">
      <c r="B88" s="9" t="s">
        <v>302</v>
      </c>
      <c r="J88" s="40"/>
      <c r="K88" s="218">
        <f ca="1">K87/$D$121</f>
        <v>6.8590546081701648E-2</v>
      </c>
      <c r="L88" s="218">
        <f t="shared" ref="L88:U88" ca="1" si="193">L87/$D$121</f>
        <v>3.0780598293364509E-2</v>
      </c>
      <c r="M88" s="218">
        <f t="shared" ca="1" si="193"/>
        <v>3.8081554962238189E-2</v>
      </c>
      <c r="N88" s="218">
        <f t="shared" ca="1" si="193"/>
        <v>4.5895678879779682E-2</v>
      </c>
      <c r="O88" s="218">
        <f t="shared" ca="1" si="193"/>
        <v>5.0652042480603461E-2</v>
      </c>
      <c r="P88" s="218">
        <f t="shared" ca="1" si="193"/>
        <v>5.929518820696001E-2</v>
      </c>
      <c r="Q88" s="218">
        <f t="shared" ca="1" si="193"/>
        <v>6.8736226992171079E-2</v>
      </c>
      <c r="R88" s="218">
        <f t="shared" ca="1" si="193"/>
        <v>7.9346800403412923E-2</v>
      </c>
      <c r="S88" s="218">
        <f t="shared" ca="1" si="193"/>
        <v>9.1475803368730957E-2</v>
      </c>
      <c r="T88" s="218">
        <f t="shared" ca="1" si="193"/>
        <v>0.10546868737238192</v>
      </c>
      <c r="U88" s="218">
        <f t="shared" ca="1" si="193"/>
        <v>0.12160821862475994</v>
      </c>
    </row>
    <row r="89" spans="2:24" ht="11.25" customHeight="1">
      <c r="D89" s="19"/>
      <c r="E89" s="19"/>
      <c r="F89" s="19"/>
      <c r="G89" s="19"/>
      <c r="H89" s="19"/>
      <c r="I89" s="19"/>
    </row>
    <row r="90" spans="2:24" s="18" customFormat="1" ht="11.25" customHeight="1">
      <c r="B90" s="30" t="s">
        <v>45</v>
      </c>
      <c r="J90" s="20"/>
      <c r="K90" s="20">
        <f t="shared" ref="K90:U90" ca="1" si="194">K87+J90</f>
        <v>2303.4498741642456</v>
      </c>
      <c r="L90" s="20">
        <f t="shared" ca="1" si="194"/>
        <v>3337.1428437623626</v>
      </c>
      <c r="M90" s="20">
        <f t="shared" ca="1" si="194"/>
        <v>4616.0210273718048</v>
      </c>
      <c r="N90" s="20">
        <f t="shared" ca="1" si="194"/>
        <v>6157.31792292917</v>
      </c>
      <c r="O90" s="20">
        <f t="shared" ca="1" si="194"/>
        <v>7858.3459441834584</v>
      </c>
      <c r="P90" s="20">
        <f t="shared" ca="1" si="194"/>
        <v>9849.6333972848788</v>
      </c>
      <c r="Q90" s="20">
        <f t="shared" ca="1" si="194"/>
        <v>12157.975617319782</v>
      </c>
      <c r="R90" s="20">
        <f t="shared" ca="1" si="194"/>
        <v>14822.648634893791</v>
      </c>
      <c r="S90" s="20">
        <f t="shared" ca="1" si="194"/>
        <v>17894.645284516457</v>
      </c>
      <c r="T90" s="20">
        <f t="shared" ca="1" si="194"/>
        <v>21436.559564755618</v>
      </c>
      <c r="U90" s="20">
        <f t="shared" ca="1" si="194"/>
        <v>25520.481502844261</v>
      </c>
    </row>
    <row r="91" spans="2:24" ht="11.25" customHeight="1">
      <c r="B91" s="9" t="s">
        <v>302</v>
      </c>
      <c r="J91" s="40"/>
      <c r="K91" s="218">
        <f ca="1">K90/$D$121</f>
        <v>6.8590546081701648E-2</v>
      </c>
      <c r="L91" s="40">
        <f t="shared" ref="L91:U91" ca="1" si="195">L90/$D$121</f>
        <v>9.9371144375066153E-2</v>
      </c>
      <c r="M91" s="40">
        <f t="shared" ca="1" si="195"/>
        <v>0.13745269933730433</v>
      </c>
      <c r="N91" s="40">
        <f t="shared" ca="1" si="195"/>
        <v>0.18334837821708402</v>
      </c>
      <c r="O91" s="219">
        <f t="shared" ca="1" si="195"/>
        <v>0.23400042069768748</v>
      </c>
      <c r="P91" s="40">
        <f t="shared" ca="1" si="195"/>
        <v>0.29329560890464745</v>
      </c>
      <c r="Q91" s="40">
        <f t="shared" ca="1" si="195"/>
        <v>0.36203183589681859</v>
      </c>
      <c r="R91" s="40">
        <f t="shared" ca="1" si="195"/>
        <v>0.4413786363002315</v>
      </c>
      <c r="S91" s="40">
        <f t="shared" ca="1" si="195"/>
        <v>0.5328544396689624</v>
      </c>
      <c r="T91" s="40">
        <f t="shared" ca="1" si="195"/>
        <v>0.63832312704134442</v>
      </c>
      <c r="U91" s="40">
        <f t="shared" ca="1" si="195"/>
        <v>0.75993134566610432</v>
      </c>
    </row>
    <row r="92" spans="2:24" ht="11.25" hidden="1" customHeight="1" outlineLevel="1"/>
    <row r="93" spans="2:24" ht="11.25" hidden="1" customHeight="1" outlineLevel="1">
      <c r="B93" s="25" t="s">
        <v>66</v>
      </c>
    </row>
    <row r="94" spans="2:24" ht="11.25" hidden="1" customHeight="1" outlineLevel="1">
      <c r="B94" s="2" t="s">
        <v>49</v>
      </c>
      <c r="D94" s="19"/>
      <c r="H94" s="19">
        <f>$D$121</f>
        <v>33582.614598526314</v>
      </c>
      <c r="I94" s="19">
        <f t="shared" ref="I94:U94" si="196">$D$121</f>
        <v>33582.614598526314</v>
      </c>
      <c r="J94" s="19">
        <f t="shared" si="196"/>
        <v>33582.614598526314</v>
      </c>
      <c r="K94" s="19">
        <f t="shared" si="196"/>
        <v>33582.614598526314</v>
      </c>
      <c r="L94" s="19">
        <f t="shared" si="196"/>
        <v>33582.614598526314</v>
      </c>
      <c r="M94" s="19">
        <f t="shared" si="196"/>
        <v>33582.614598526314</v>
      </c>
      <c r="N94" s="19">
        <f t="shared" si="196"/>
        <v>33582.614598526314</v>
      </c>
      <c r="O94" s="19">
        <f t="shared" si="196"/>
        <v>33582.614598526314</v>
      </c>
      <c r="P94" s="19">
        <f t="shared" si="196"/>
        <v>33582.614598526314</v>
      </c>
      <c r="Q94" s="19">
        <f t="shared" si="196"/>
        <v>33582.614598526314</v>
      </c>
      <c r="R94" s="19">
        <f t="shared" si="196"/>
        <v>33582.614598526314</v>
      </c>
      <c r="S94" s="19">
        <f t="shared" si="196"/>
        <v>33582.614598526314</v>
      </c>
      <c r="T94" s="19">
        <f t="shared" si="196"/>
        <v>33582.614598526314</v>
      </c>
      <c r="U94" s="19">
        <f t="shared" si="196"/>
        <v>33582.614598526314</v>
      </c>
    </row>
    <row r="95" spans="2:24" ht="13.5" hidden="1" outlineLevel="1">
      <c r="B95" s="178" t="s">
        <v>45</v>
      </c>
      <c r="H95" s="24">
        <f>-H90</f>
        <v>0</v>
      </c>
      <c r="I95" s="24">
        <f t="shared" ref="I95:U95" si="197">-I90</f>
        <v>0</v>
      </c>
      <c r="J95" s="24">
        <f t="shared" si="197"/>
        <v>0</v>
      </c>
      <c r="K95" s="24">
        <f t="shared" ca="1" si="197"/>
        <v>-2303.4498741642456</v>
      </c>
      <c r="L95" s="24">
        <f t="shared" ca="1" si="197"/>
        <v>-3337.1428437623626</v>
      </c>
      <c r="M95" s="24">
        <f t="shared" ca="1" si="197"/>
        <v>-4616.0210273718048</v>
      </c>
      <c r="N95" s="24">
        <f t="shared" ca="1" si="197"/>
        <v>-6157.31792292917</v>
      </c>
      <c r="O95" s="24">
        <f t="shared" ca="1" si="197"/>
        <v>-7858.3459441834584</v>
      </c>
      <c r="P95" s="24">
        <f t="shared" ca="1" si="197"/>
        <v>-9849.6333972848788</v>
      </c>
      <c r="Q95" s="24">
        <f t="shared" ca="1" si="197"/>
        <v>-12157.975617319782</v>
      </c>
      <c r="R95" s="24">
        <f t="shared" ca="1" si="197"/>
        <v>-14822.648634893791</v>
      </c>
      <c r="S95" s="24">
        <f t="shared" ca="1" si="197"/>
        <v>-17894.645284516457</v>
      </c>
      <c r="T95" s="24">
        <f t="shared" ca="1" si="197"/>
        <v>-21436.559564755618</v>
      </c>
      <c r="U95" s="24">
        <f t="shared" ca="1" si="197"/>
        <v>-25520.481502844261</v>
      </c>
    </row>
    <row r="96" spans="2:24" ht="11.25" hidden="1" customHeight="1" outlineLevel="1">
      <c r="B96" s="12" t="s">
        <v>65</v>
      </c>
      <c r="H96" s="19">
        <f>H94+H95</f>
        <v>33582.614598526314</v>
      </c>
      <c r="I96" s="19">
        <f t="shared" ref="I96:U96" si="198">I94+I95</f>
        <v>33582.614598526314</v>
      </c>
      <c r="J96" s="19">
        <f t="shared" si="198"/>
        <v>33582.614598526314</v>
      </c>
      <c r="K96" s="19">
        <f t="shared" ca="1" si="198"/>
        <v>31279.164724362068</v>
      </c>
      <c r="L96" s="19">
        <f t="shared" ca="1" si="198"/>
        <v>30245.471754763952</v>
      </c>
      <c r="M96" s="19">
        <f t="shared" ca="1" si="198"/>
        <v>28966.59357115451</v>
      </c>
      <c r="N96" s="19">
        <f t="shared" ca="1" si="198"/>
        <v>27425.296675597143</v>
      </c>
      <c r="O96" s="19">
        <f t="shared" ca="1" si="198"/>
        <v>25724.268654342857</v>
      </c>
      <c r="P96" s="19">
        <f t="shared" ca="1" si="198"/>
        <v>23732.981201241433</v>
      </c>
      <c r="Q96" s="19">
        <f t="shared" ca="1" si="198"/>
        <v>21424.638981206532</v>
      </c>
      <c r="R96" s="19">
        <f t="shared" ca="1" si="198"/>
        <v>18759.965963632523</v>
      </c>
      <c r="S96" s="19">
        <f t="shared" ca="1" si="198"/>
        <v>15687.969314009857</v>
      </c>
      <c r="T96" s="19">
        <f t="shared" ca="1" si="198"/>
        <v>12146.055033770695</v>
      </c>
      <c r="U96" s="19">
        <f t="shared" ca="1" si="198"/>
        <v>8062.133095682053</v>
      </c>
    </row>
    <row r="97" spans="2:34" ht="11.25" hidden="1" customHeight="1" outlineLevel="1">
      <c r="B97" s="13" t="s">
        <v>316</v>
      </c>
      <c r="H97" s="50">
        <f>SUM($J$122:$J$123)</f>
        <v>-1199.0909999999999</v>
      </c>
      <c r="I97" s="50">
        <f>H97</f>
        <v>-1199.0909999999999</v>
      </c>
      <c r="J97" s="19">
        <f t="shared" ref="J97:U97" ca="1" si="199">J84</f>
        <v>-1365.8384052248921</v>
      </c>
      <c r="K97" s="19">
        <f t="shared" ca="1" si="199"/>
        <v>0</v>
      </c>
      <c r="L97" s="19">
        <f t="shared" ca="1" si="199"/>
        <v>0</v>
      </c>
      <c r="M97" s="19">
        <f t="shared" ca="1" si="199"/>
        <v>0</v>
      </c>
      <c r="N97" s="19">
        <f t="shared" ca="1" si="199"/>
        <v>0</v>
      </c>
      <c r="O97" s="19">
        <f t="shared" ca="1" si="199"/>
        <v>0</v>
      </c>
      <c r="P97" s="19">
        <f t="shared" ca="1" si="199"/>
        <v>0</v>
      </c>
      <c r="Q97" s="19">
        <f t="shared" ca="1" si="199"/>
        <v>0</v>
      </c>
      <c r="R97" s="19">
        <f t="shared" ca="1" si="199"/>
        <v>0</v>
      </c>
      <c r="S97" s="19">
        <f t="shared" ca="1" si="199"/>
        <v>0</v>
      </c>
      <c r="T97" s="19">
        <f t="shared" ca="1" si="199"/>
        <v>0</v>
      </c>
      <c r="U97" s="19">
        <f t="shared" ca="1" si="199"/>
        <v>0</v>
      </c>
    </row>
    <row r="98" spans="2:34" ht="13.5" hidden="1" outlineLevel="1">
      <c r="B98" s="18" t="s">
        <v>279</v>
      </c>
      <c r="H98" s="24">
        <f>$J$124</f>
        <v>31.902999999999999</v>
      </c>
      <c r="I98" s="24">
        <f t="shared" ref="I98:U98" si="200">$J$124</f>
        <v>31.902999999999999</v>
      </c>
      <c r="J98" s="24">
        <f t="shared" si="200"/>
        <v>31.902999999999999</v>
      </c>
      <c r="K98" s="24">
        <f t="shared" si="200"/>
        <v>31.902999999999999</v>
      </c>
      <c r="L98" s="24">
        <f t="shared" si="200"/>
        <v>31.902999999999999</v>
      </c>
      <c r="M98" s="24">
        <f t="shared" si="200"/>
        <v>31.902999999999999</v>
      </c>
      <c r="N98" s="24">
        <f t="shared" si="200"/>
        <v>31.902999999999999</v>
      </c>
      <c r="O98" s="24">
        <f t="shared" si="200"/>
        <v>31.902999999999999</v>
      </c>
      <c r="P98" s="24">
        <f t="shared" si="200"/>
        <v>31.902999999999999</v>
      </c>
      <c r="Q98" s="24">
        <f t="shared" si="200"/>
        <v>31.902999999999999</v>
      </c>
      <c r="R98" s="24">
        <f t="shared" si="200"/>
        <v>31.902999999999999</v>
      </c>
      <c r="S98" s="24">
        <f t="shared" si="200"/>
        <v>31.902999999999999</v>
      </c>
      <c r="T98" s="24">
        <f t="shared" si="200"/>
        <v>31.902999999999999</v>
      </c>
      <c r="U98" s="24">
        <f t="shared" si="200"/>
        <v>31.902999999999999</v>
      </c>
    </row>
    <row r="99" spans="2:34" ht="11.25" hidden="1" customHeight="1" outlineLevel="1">
      <c r="B99" s="12" t="s">
        <v>50</v>
      </c>
      <c r="H99" s="19">
        <f t="shared" ref="H99:U99" si="201">SUM(H96+SUM(H97:H98))</f>
        <v>32415.426598526316</v>
      </c>
      <c r="I99" s="19">
        <f t="shared" si="201"/>
        <v>32415.426598526316</v>
      </c>
      <c r="J99" s="19">
        <f t="shared" ca="1" si="201"/>
        <v>32248.679193301421</v>
      </c>
      <c r="K99" s="19">
        <f t="shared" ca="1" si="201"/>
        <v>31311.067724362067</v>
      </c>
      <c r="L99" s="19">
        <f t="shared" ca="1" si="201"/>
        <v>30277.37475476395</v>
      </c>
      <c r="M99" s="19">
        <f t="shared" ca="1" si="201"/>
        <v>28998.496571154508</v>
      </c>
      <c r="N99" s="19">
        <f t="shared" ca="1" si="201"/>
        <v>27457.199675597141</v>
      </c>
      <c r="O99" s="19">
        <f t="shared" ca="1" si="201"/>
        <v>25756.171654342856</v>
      </c>
      <c r="P99" s="19">
        <f t="shared" ca="1" si="201"/>
        <v>23764.884201241432</v>
      </c>
      <c r="Q99" s="19">
        <f t="shared" ca="1" si="201"/>
        <v>21456.54198120653</v>
      </c>
      <c r="R99" s="19">
        <f t="shared" ca="1" si="201"/>
        <v>18791.868963632522</v>
      </c>
      <c r="S99" s="19">
        <f t="shared" ca="1" si="201"/>
        <v>15719.872314009857</v>
      </c>
      <c r="T99" s="19">
        <f t="shared" ca="1" si="201"/>
        <v>12177.958033770696</v>
      </c>
      <c r="U99" s="19">
        <f t="shared" ca="1" si="201"/>
        <v>8094.0360956820532</v>
      </c>
    </row>
    <row r="100" spans="2:34" ht="11.25" customHeight="1" collapsed="1">
      <c r="J100" s="77"/>
      <c r="K100" s="77"/>
      <c r="L100" s="77"/>
      <c r="M100" s="77"/>
      <c r="N100" s="77"/>
      <c r="O100" s="77"/>
      <c r="P100" s="77"/>
      <c r="Q100" s="77"/>
      <c r="R100" s="77"/>
      <c r="S100" s="77"/>
    </row>
    <row r="101" spans="2:34" ht="11.25" customHeight="1">
      <c r="B101" s="65" t="s">
        <v>448</v>
      </c>
    </row>
    <row r="102" spans="2:34" ht="11.25" customHeight="1">
      <c r="B102" s="2" t="s">
        <v>317</v>
      </c>
      <c r="D102" s="77"/>
      <c r="E102" s="77"/>
      <c r="F102" s="77"/>
      <c r="G102" s="77"/>
      <c r="H102" s="77">
        <f t="shared" ref="H102:U102" si="202">H99/H12</f>
        <v>14.318455445751285</v>
      </c>
      <c r="I102" s="77">
        <f t="shared" si="202"/>
        <v>14.995090334123278</v>
      </c>
      <c r="J102" s="77">
        <f t="shared" ca="1" si="202"/>
        <v>11.170345970614012</v>
      </c>
      <c r="K102" s="77">
        <f t="shared" ca="1" si="202"/>
        <v>8.8118653625617256</v>
      </c>
      <c r="L102" s="77">
        <f t="shared" ca="1" si="202"/>
        <v>7.1000384880806262</v>
      </c>
      <c r="M102" s="77">
        <f t="shared" ca="1" si="202"/>
        <v>5.8179156279116615</v>
      </c>
      <c r="N102" s="77">
        <f t="shared" ca="1" si="202"/>
        <v>4.7782321896322495</v>
      </c>
      <c r="O102" s="77">
        <f t="shared" ca="1" si="202"/>
        <v>3.8870410604554966</v>
      </c>
      <c r="P102" s="77">
        <f t="shared" ca="1" si="202"/>
        <v>3.0992025996787285</v>
      </c>
      <c r="Q102" s="77">
        <f t="shared" ca="1" si="202"/>
        <v>2.4227437197352173</v>
      </c>
      <c r="R102" s="77">
        <f t="shared" ca="1" si="202"/>
        <v>1.8384677749132807</v>
      </c>
      <c r="S102" s="77">
        <f t="shared" ca="1" si="202"/>
        <v>1.3326110626300398</v>
      </c>
      <c r="T102" s="77">
        <f t="shared" ca="1" si="202"/>
        <v>0.89445092928513059</v>
      </c>
      <c r="U102" s="77">
        <f t="shared" ca="1" si="202"/>
        <v>0.51502911699942544</v>
      </c>
    </row>
    <row r="103" spans="2:34" ht="11.25" customHeight="1">
      <c r="B103" s="2" t="s">
        <v>318</v>
      </c>
      <c r="D103" s="77"/>
      <c r="E103" s="77"/>
      <c r="F103" s="77"/>
      <c r="G103" s="77"/>
      <c r="H103" s="77">
        <f t="shared" ref="H103:U103" si="203">H$99/H19</f>
        <v>24.04071596770676</v>
      </c>
      <c r="I103" s="77">
        <f t="shared" si="203"/>
        <v>27.584991203832079</v>
      </c>
      <c r="J103" s="77">
        <f t="shared" ca="1" si="203"/>
        <v>20.012351358722061</v>
      </c>
      <c r="K103" s="77">
        <f t="shared" ca="1" si="203"/>
        <v>15.757668644049602</v>
      </c>
      <c r="L103" s="77">
        <f t="shared" ca="1" si="203"/>
        <v>12.717471307008505</v>
      </c>
      <c r="M103" s="77">
        <f t="shared" ca="1" si="203"/>
        <v>10.438176042958954</v>
      </c>
      <c r="N103" s="77">
        <f t="shared" ca="1" si="203"/>
        <v>8.5870258241078687</v>
      </c>
      <c r="O103" s="77">
        <f t="shared" ca="1" si="203"/>
        <v>6.9970368092259738</v>
      </c>
      <c r="P103" s="77">
        <f t="shared" ca="1" si="203"/>
        <v>5.5881197349005971</v>
      </c>
      <c r="Q103" s="77">
        <f t="shared" ca="1" si="203"/>
        <v>4.3756755766762705</v>
      </c>
      <c r="R103" s="77">
        <f t="shared" ca="1" si="203"/>
        <v>3.3259580352108977</v>
      </c>
      <c r="S103" s="77">
        <f t="shared" ca="1" si="203"/>
        <v>2.4148405985223071</v>
      </c>
      <c r="T103" s="77">
        <f t="shared" ca="1" si="203"/>
        <v>1.6235553347506142</v>
      </c>
      <c r="U103" s="77">
        <f t="shared" ca="1" si="203"/>
        <v>0.93641657636259157</v>
      </c>
    </row>
    <row r="104" spans="2:34" ht="11.25" customHeight="1">
      <c r="B104" s="2" t="s">
        <v>319</v>
      </c>
      <c r="H104" s="77">
        <f t="shared" ref="H104:U104" si="204">H$99/H29</f>
        <v>28.909324224393426</v>
      </c>
      <c r="I104" s="77">
        <f t="shared" si="204"/>
        <v>35.178103802556272</v>
      </c>
      <c r="J104" s="77">
        <f t="shared" ca="1" si="204"/>
        <v>24.7043681619345</v>
      </c>
      <c r="K104" s="77">
        <f t="shared" ca="1" si="204"/>
        <v>19.400368506240493</v>
      </c>
      <c r="L104" s="77">
        <f t="shared" ca="1" si="204"/>
        <v>15.646084590237932</v>
      </c>
      <c r="M104" s="77">
        <f t="shared" ca="1" si="204"/>
        <v>12.832628100427769</v>
      </c>
      <c r="N104" s="77">
        <f t="shared" ca="1" si="204"/>
        <v>10.549188008237111</v>
      </c>
      <c r="O104" s="77">
        <f t="shared" ca="1" si="204"/>
        <v>8.5896383615256635</v>
      </c>
      <c r="P104" s="77">
        <f t="shared" ca="1" si="204"/>
        <v>6.8550411131720113</v>
      </c>
      <c r="Q104" s="77">
        <f t="shared" ca="1" si="204"/>
        <v>5.3637965200848825</v>
      </c>
      <c r="R104" s="77">
        <f t="shared" ca="1" si="204"/>
        <v>4.0740460972300516</v>
      </c>
      <c r="S104" s="77">
        <f t="shared" ca="1" si="204"/>
        <v>2.9558256147679858</v>
      </c>
      <c r="T104" s="77">
        <f t="shared" ca="1" si="204"/>
        <v>1.9858103503012632</v>
      </c>
      <c r="U104" s="77">
        <f t="shared" ca="1" si="204"/>
        <v>1.144509148887612</v>
      </c>
    </row>
    <row r="105" spans="2:34" ht="11.25" customHeight="1">
      <c r="B105" s="2" t="s">
        <v>46</v>
      </c>
      <c r="H105" s="77">
        <f t="shared" ref="H105:U105" si="205">H$99/H63</f>
        <v>68.119485958371058</v>
      </c>
      <c r="I105" s="77">
        <f t="shared" si="205"/>
        <v>64.336746980244371</v>
      </c>
      <c r="J105" s="77">
        <f t="shared" ca="1" si="205"/>
        <v>32.066521757013192</v>
      </c>
      <c r="K105" s="77">
        <f t="shared" ca="1" si="205"/>
        <v>26.534118297093489</v>
      </c>
      <c r="L105" s="77">
        <f t="shared" ca="1" si="205"/>
        <v>22.714879577427226</v>
      </c>
      <c r="M105" s="77">
        <f t="shared" ca="1" si="205"/>
        <v>18.166731582012908</v>
      </c>
      <c r="N105" s="77">
        <f t="shared" ca="1" si="205"/>
        <v>14.384122170877825</v>
      </c>
      <c r="O105" s="77">
        <f t="shared" ca="1" si="205"/>
        <v>12.123918451855642</v>
      </c>
      <c r="P105" s="77">
        <f t="shared" ca="1" si="205"/>
        <v>9.5824342310419226</v>
      </c>
      <c r="Q105" s="77">
        <f t="shared" ca="1" si="205"/>
        <v>7.4690342700221315</v>
      </c>
      <c r="R105" s="77">
        <f t="shared" ca="1" si="205"/>
        <v>5.6677049614937109</v>
      </c>
      <c r="S105" s="77">
        <f t="shared" ca="1" si="205"/>
        <v>4.1124664720917723</v>
      </c>
      <c r="T105" s="77">
        <f t="shared" ca="1" si="205"/>
        <v>2.7631798324302106</v>
      </c>
      <c r="U105" s="77">
        <f t="shared" ca="1" si="205"/>
        <v>1.5927778937031214</v>
      </c>
    </row>
    <row r="106" spans="2:34" ht="11.25" customHeight="1">
      <c r="B106" s="2" t="s">
        <v>70</v>
      </c>
      <c r="H106" s="77">
        <f t="shared" ref="H106:U106" si="206">H$96/H74</f>
        <v>106.64377335385099</v>
      </c>
      <c r="I106" s="77">
        <f t="shared" si="206"/>
        <v>82.86717497252387</v>
      </c>
      <c r="J106" s="77">
        <f t="shared" ca="1" si="206"/>
        <v>38.394874577780044</v>
      </c>
      <c r="K106" s="77">
        <f t="shared" ca="1" si="206"/>
        <v>33.386106318068464</v>
      </c>
      <c r="L106" s="77">
        <f t="shared" ca="1" si="206"/>
        <v>29.007984383025125</v>
      </c>
      <c r="M106" s="77">
        <f t="shared" ca="1" si="206"/>
        <v>23.039100291681905</v>
      </c>
      <c r="N106" s="77">
        <f t="shared" ca="1" si="206"/>
        <v>18.06151942360486</v>
      </c>
      <c r="O106" s="77">
        <f t="shared" ca="1" si="206"/>
        <v>15.361143740552576</v>
      </c>
      <c r="P106" s="77">
        <f t="shared" ca="1" si="206"/>
        <v>12.108475758828222</v>
      </c>
      <c r="Q106" s="77">
        <f t="shared" ca="1" si="206"/>
        <v>9.426974255569414</v>
      </c>
      <c r="R106" s="77">
        <f t="shared" ca="1" si="206"/>
        <v>7.1501471741892821</v>
      </c>
      <c r="S106" s="77">
        <f t="shared" ca="1" si="206"/>
        <v>5.1865301848092047</v>
      </c>
      <c r="T106" s="77">
        <f t="shared" ca="1" si="206"/>
        <v>3.4828867794909599</v>
      </c>
      <c r="U106" s="77">
        <f t="shared" ca="1" si="206"/>
        <v>2.005056036443313</v>
      </c>
      <c r="Y106" s="58">
        <f t="shared" ref="Y106:AA106" si="207">+D74/$E$126</f>
        <v>12.052142324133456</v>
      </c>
      <c r="Z106" s="58">
        <f t="shared" si="207"/>
        <v>5.9228840189388166</v>
      </c>
      <c r="AA106" s="58">
        <f t="shared" si="207"/>
        <v>11.970645544303293</v>
      </c>
      <c r="AB106" s="58">
        <f>+G74/$E$126</f>
        <v>5.1664351019282968</v>
      </c>
      <c r="AC106" s="2">
        <f>+$E$121/H106</f>
        <v>12.140834849344214</v>
      </c>
      <c r="AD106" s="2">
        <f t="shared" ref="AD106:AH106" si="208">+$E$121/I106</f>
        <v>15.624334248504262</v>
      </c>
      <c r="AE106" s="2">
        <f t="shared" ca="1" si="208"/>
        <v>33.721804127191938</v>
      </c>
      <c r="AF106" s="2">
        <f t="shared" ca="1" si="208"/>
        <v>38.780935628282236</v>
      </c>
      <c r="AG106" s="2">
        <f t="shared" ca="1" si="208"/>
        <v>44.634071188953676</v>
      </c>
      <c r="AH106" s="2">
        <f t="shared" ca="1" si="208"/>
        <v>56.19769971952671</v>
      </c>
    </row>
    <row r="107" spans="2:34" ht="11.25" customHeight="1">
      <c r="B107" s="2" t="s">
        <v>71</v>
      </c>
      <c r="H107" s="77">
        <f t="shared" ref="H107:U107" si="209">H$96/H45</f>
        <v>34.530028874933457</v>
      </c>
      <c r="I107" s="77">
        <f t="shared" si="209"/>
        <v>40.34939591880012</v>
      </c>
      <c r="J107" s="77">
        <f t="shared" ca="1" si="209"/>
        <v>28.414813402210179</v>
      </c>
      <c r="K107" s="77">
        <f ca="1">K$96/K45</f>
        <v>22.702476057074882</v>
      </c>
      <c r="L107" s="77">
        <f t="shared" ca="1" si="209"/>
        <v>18.387762882724452</v>
      </c>
      <c r="M107" s="77">
        <f t="shared" ca="1" si="209"/>
        <v>15.080600176583513</v>
      </c>
      <c r="N107" s="77">
        <f t="shared" ca="1" si="209"/>
        <v>12.396389085162916</v>
      </c>
      <c r="O107" s="77">
        <f t="shared" ca="1" si="209"/>
        <v>10.092939725438729</v>
      </c>
      <c r="P107" s="77">
        <f t="shared" ca="1" si="209"/>
        <v>8.0539277787285357</v>
      </c>
      <c r="Q107" s="77">
        <f t="shared" ca="1" si="209"/>
        <v>6.3009662048183097</v>
      </c>
      <c r="R107" s="77">
        <f t="shared" ca="1" si="209"/>
        <v>4.7848583289630042</v>
      </c>
      <c r="S107" s="77">
        <f t="shared" ca="1" si="209"/>
        <v>3.4703845377643674</v>
      </c>
      <c r="T107" s="77">
        <f t="shared" ca="1" si="209"/>
        <v>2.3301271260655656</v>
      </c>
      <c r="U107" s="77">
        <f t="shared" ca="1" si="209"/>
        <v>1.3411741360414835</v>
      </c>
      <c r="Y107" s="2">
        <f t="shared" ref="Y107:AB107" si="210">+Y106*$D$126</f>
        <v>0.3676675510717955</v>
      </c>
      <c r="Z107" s="2">
        <f t="shared" si="210"/>
        <v>0.1806859066180237</v>
      </c>
      <c r="AA107" s="2">
        <f t="shared" si="210"/>
        <v>0.36518137719046045</v>
      </c>
      <c r="AB107" s="2">
        <f t="shared" si="210"/>
        <v>0.15760936857621405</v>
      </c>
      <c r="AC107" s="2">
        <f>+AC106*$D$126</f>
        <v>0.37037324128566851</v>
      </c>
      <c r="AD107" s="2">
        <f t="shared" ref="AD107:AH107" si="211">+AD106*$D$126</f>
        <v>0.47664228946016662</v>
      </c>
      <c r="AE107" s="2">
        <f t="shared" ca="1" si="211"/>
        <v>1.0287310594018284</v>
      </c>
      <c r="AF107" s="2">
        <f t="shared" ca="1" si="211"/>
        <v>1.1830669807285612</v>
      </c>
      <c r="AG107" s="2">
        <f t="shared" ca="1" si="211"/>
        <v>1.3616251125367198</v>
      </c>
      <c r="AH107" s="2">
        <f t="shared" ca="1" si="211"/>
        <v>1.7143898633168613</v>
      </c>
    </row>
    <row r="109" spans="2:34" ht="13.5" customHeight="1">
      <c r="B109" s="213" t="s">
        <v>47</v>
      </c>
      <c r="I109" s="212"/>
      <c r="J109" s="212"/>
      <c r="AC109" s="2">
        <f>+$H$121/H106</f>
        <v>1.8518662064283427</v>
      </c>
      <c r="AD109" s="2">
        <f t="shared" ref="AD109:AH109" si="212">+$H$121/I106</f>
        <v>2.3832114473008335</v>
      </c>
      <c r="AE109" s="2">
        <f t="shared" ca="1" si="212"/>
        <v>5.1436552970091434</v>
      </c>
      <c r="AF109" s="2">
        <f t="shared" ca="1" si="212"/>
        <v>5.9153349036428065</v>
      </c>
      <c r="AG109" s="2">
        <f t="shared" ca="1" si="212"/>
        <v>6.8081255626835997</v>
      </c>
      <c r="AH109" s="2">
        <f t="shared" ca="1" si="212"/>
        <v>8.5719493165843073</v>
      </c>
    </row>
    <row r="110" spans="2:34" ht="13.5" customHeight="1">
      <c r="B110" s="30" t="s">
        <v>62</v>
      </c>
      <c r="S110" s="145"/>
      <c r="T110" s="145">
        <v>15</v>
      </c>
      <c r="U110" s="101" t="s">
        <v>52</v>
      </c>
    </row>
    <row r="111" spans="2:34" ht="11.25" customHeight="1">
      <c r="B111" s="2" t="s">
        <v>320</v>
      </c>
      <c r="I111" s="19"/>
      <c r="J111" s="19"/>
      <c r="K111" s="19"/>
      <c r="L111" s="19"/>
      <c r="M111" s="19"/>
      <c r="N111" s="19"/>
      <c r="O111" s="19"/>
      <c r="P111" s="19"/>
      <c r="Q111" s="19"/>
      <c r="R111" s="19"/>
      <c r="S111" s="19"/>
      <c r="T111" s="19">
        <f ca="1">T110*U74</f>
        <v>60313.524528594789</v>
      </c>
      <c r="U111" s="102">
        <f ca="1">SUM(J111:T111)</f>
        <v>60313.524528594789</v>
      </c>
    </row>
    <row r="112" spans="2:34" ht="11.25" customHeight="1">
      <c r="B112" s="13" t="s">
        <v>321</v>
      </c>
      <c r="J112" s="19"/>
      <c r="K112" s="19">
        <f t="shared" ref="K112:T112" ca="1" si="213">K87</f>
        <v>2303.4498741642456</v>
      </c>
      <c r="L112" s="19">
        <f t="shared" ca="1" si="213"/>
        <v>1033.6929695981171</v>
      </c>
      <c r="M112" s="19">
        <f t="shared" ca="1" si="213"/>
        <v>1278.8781836094424</v>
      </c>
      <c r="N112" s="19">
        <f t="shared" ca="1" si="213"/>
        <v>1541.2968955573649</v>
      </c>
      <c r="O112" s="19">
        <f t="shared" ca="1" si="213"/>
        <v>1701.0280212542889</v>
      </c>
      <c r="P112" s="19">
        <f t="shared" ca="1" si="213"/>
        <v>1991.2874531014206</v>
      </c>
      <c r="Q112" s="19">
        <f t="shared" ca="1" si="213"/>
        <v>2308.3422200349028</v>
      </c>
      <c r="R112" s="19">
        <f t="shared" ca="1" si="213"/>
        <v>2664.6730175740086</v>
      </c>
      <c r="S112" s="19">
        <f t="shared" ca="1" si="213"/>
        <v>3071.9966496226666</v>
      </c>
      <c r="T112" s="19">
        <f t="shared" ca="1" si="213"/>
        <v>3541.9142802391611</v>
      </c>
      <c r="U112" s="102">
        <f ca="1">SUM(J112:T112)</f>
        <v>21436.559564755618</v>
      </c>
    </row>
    <row r="113" spans="2:24" ht="13.5">
      <c r="B113" s="30" t="s">
        <v>322</v>
      </c>
      <c r="C113" s="18"/>
      <c r="D113" s="18"/>
      <c r="E113" s="18"/>
      <c r="F113" s="18"/>
      <c r="G113" s="18"/>
      <c r="H113" s="18"/>
      <c r="I113" s="70"/>
      <c r="J113" s="70">
        <f>-D121</f>
        <v>-33582.614598526314</v>
      </c>
      <c r="K113" s="70" t="s">
        <v>51</v>
      </c>
      <c r="L113" s="70" t="s">
        <v>51</v>
      </c>
      <c r="M113" s="70" t="s">
        <v>51</v>
      </c>
      <c r="N113" s="70" t="s">
        <v>51</v>
      </c>
      <c r="O113" s="70" t="s">
        <v>51</v>
      </c>
      <c r="P113" s="70" t="s">
        <v>51</v>
      </c>
      <c r="Q113" s="70" t="s">
        <v>51</v>
      </c>
      <c r="R113" s="70" t="s">
        <v>51</v>
      </c>
      <c r="S113" s="70" t="s">
        <v>51</v>
      </c>
      <c r="T113" s="70" t="s">
        <v>51</v>
      </c>
      <c r="U113" s="103">
        <f>SUM(J113:T113)</f>
        <v>-33582.614598526314</v>
      </c>
    </row>
    <row r="114" spans="2:24" s="18" customFormat="1" ht="11.25" customHeight="1">
      <c r="B114" s="12" t="s">
        <v>15</v>
      </c>
      <c r="C114" s="2"/>
      <c r="D114" s="2"/>
      <c r="E114" s="2"/>
      <c r="F114" s="2"/>
      <c r="G114" s="2"/>
      <c r="H114" s="2"/>
      <c r="I114" s="19"/>
      <c r="J114" s="19">
        <f t="shared" ref="J114:T114" si="214">SUM(J111:J113)</f>
        <v>-33582.614598526314</v>
      </c>
      <c r="K114" s="19">
        <f t="shared" ca="1" si="214"/>
        <v>2303.4498741642456</v>
      </c>
      <c r="L114" s="19">
        <f t="shared" ca="1" si="214"/>
        <v>1033.6929695981171</v>
      </c>
      <c r="M114" s="19">
        <f t="shared" ca="1" si="214"/>
        <v>1278.8781836094424</v>
      </c>
      <c r="N114" s="19">
        <f t="shared" ca="1" si="214"/>
        <v>1541.2968955573649</v>
      </c>
      <c r="O114" s="19">
        <f t="shared" ca="1" si="214"/>
        <v>1701.0280212542889</v>
      </c>
      <c r="P114" s="19">
        <f t="shared" ca="1" si="214"/>
        <v>1991.2874531014206</v>
      </c>
      <c r="Q114" s="19">
        <f t="shared" ca="1" si="214"/>
        <v>2308.3422200349028</v>
      </c>
      <c r="R114" s="19">
        <f t="shared" ca="1" si="214"/>
        <v>2664.6730175740086</v>
      </c>
      <c r="S114" s="19">
        <f t="shared" ca="1" si="214"/>
        <v>3071.9966496226666</v>
      </c>
      <c r="T114" s="19">
        <f t="shared" ca="1" si="214"/>
        <v>63855.438808833947</v>
      </c>
      <c r="U114" s="104">
        <f ca="1">(U111+U112)/-U113</f>
        <v>2.4342977779025521</v>
      </c>
    </row>
    <row r="115" spans="2:24" ht="11.25" customHeight="1">
      <c r="S115" s="19"/>
    </row>
    <row r="116" spans="2:24" ht="11.25" customHeight="1">
      <c r="B116" s="130" t="s">
        <v>76</v>
      </c>
      <c r="C116" s="131"/>
      <c r="D116" s="131"/>
      <c r="E116" s="131"/>
      <c r="F116" s="132">
        <f ca="1">XIRR(J114:T114,J208:T208)</f>
        <v>0.10720333456993106</v>
      </c>
      <c r="I116"/>
    </row>
    <row r="118" spans="2:24" ht="11.25" customHeight="1">
      <c r="B118" s="151" t="s">
        <v>48</v>
      </c>
      <c r="C118" s="152"/>
      <c r="D118" s="152"/>
      <c r="E118" s="152"/>
      <c r="F118" s="153"/>
      <c r="G118" s="153"/>
      <c r="H118" s="153"/>
      <c r="I118" s="153"/>
      <c r="J118" s="153"/>
      <c r="K118" s="153"/>
      <c r="L118"/>
      <c r="M118"/>
      <c r="N118"/>
      <c r="O118"/>
      <c r="P118"/>
      <c r="Q118"/>
      <c r="R118"/>
      <c r="S118"/>
      <c r="T118"/>
      <c r="U118"/>
    </row>
    <row r="119" spans="2:24" ht="13.5" customHeight="1">
      <c r="B119" s="584"/>
      <c r="C119" s="584"/>
      <c r="D119" s="89" t="s">
        <v>907</v>
      </c>
      <c r="E119" s="585"/>
      <c r="G119" s="89" t="s">
        <v>908</v>
      </c>
      <c r="H119" s="585"/>
      <c r="I119" s="64" t="s">
        <v>910</v>
      </c>
      <c r="J119" s="89" t="s">
        <v>909</v>
      </c>
      <c r="K119" s="585"/>
      <c r="L119"/>
      <c r="M119"/>
      <c r="N119"/>
      <c r="O119"/>
      <c r="P119"/>
      <c r="Q119"/>
      <c r="R119"/>
      <c r="S119"/>
      <c r="T119"/>
      <c r="U119"/>
    </row>
    <row r="120" spans="2:24" ht="13.5" customHeight="1">
      <c r="B120" s="96"/>
      <c r="C120" s="97"/>
      <c r="D120" s="146" t="s">
        <v>904</v>
      </c>
      <c r="E120" s="146" t="s">
        <v>905</v>
      </c>
      <c r="G120" s="146" t="s">
        <v>904</v>
      </c>
      <c r="H120" s="146" t="s">
        <v>906</v>
      </c>
      <c r="I120" s="64" t="s">
        <v>910</v>
      </c>
      <c r="J120" s="146" t="s">
        <v>904</v>
      </c>
      <c r="K120" s="146" t="s">
        <v>905</v>
      </c>
      <c r="L120" s="146"/>
      <c r="M120" s="146"/>
      <c r="N120" s="146"/>
      <c r="O120" s="146"/>
      <c r="P120" s="146"/>
      <c r="Q120" s="146"/>
      <c r="R120" s="146"/>
      <c r="S120" s="146"/>
      <c r="T120"/>
      <c r="U120"/>
    </row>
    <row r="121" spans="2:24" ht="11.25" customHeight="1">
      <c r="B121" s="105" t="s">
        <v>75</v>
      </c>
      <c r="C121" s="97"/>
      <c r="D121" s="106">
        <f>E121*E126</f>
        <v>33582.614598526314</v>
      </c>
      <c r="E121" s="223">
        <v>1294.7444399999999</v>
      </c>
      <c r="F121" s="28"/>
      <c r="G121" s="287">
        <f>H121*(H126)</f>
        <v>1024.4848870813398</v>
      </c>
      <c r="H121" s="592">
        <v>197.49</v>
      </c>
      <c r="I121" s="64" t="s">
        <v>910</v>
      </c>
      <c r="J121" s="106">
        <f>G121/D$126</f>
        <v>33582.614598526321</v>
      </c>
      <c r="K121" s="225">
        <f>J121/E$126</f>
        <v>1294.7444400000002</v>
      </c>
      <c r="L121" s="336"/>
      <c r="M121" s="106"/>
      <c r="N121" s="106"/>
      <c r="O121" s="106"/>
      <c r="P121" s="106"/>
      <c r="Q121" s="106"/>
      <c r="R121" s="106"/>
      <c r="S121" s="106"/>
      <c r="T121" s="106"/>
    </row>
    <row r="122" spans="2:24" ht="11.25" customHeight="1">
      <c r="B122" s="105" t="s">
        <v>278</v>
      </c>
      <c r="C122" s="97"/>
      <c r="D122" s="107">
        <f>-'Historical Financials'!V98</f>
        <v>-2167.6</v>
      </c>
      <c r="E122" s="225">
        <f>D122/$E$126</f>
        <v>-83.569670845913095</v>
      </c>
      <c r="F122" s="28"/>
      <c r="G122" s="287">
        <f>D122*$D$126</f>
        <v>-66.125686394142761</v>
      </c>
      <c r="H122" s="225">
        <f>G122/(H$126)</f>
        <v>-12.747051684855565</v>
      </c>
      <c r="I122" s="64" t="s">
        <v>910</v>
      </c>
      <c r="J122" s="106">
        <f t="shared" ref="J122:J124" si="215">G122/D$126</f>
        <v>-2167.6</v>
      </c>
      <c r="K122" s="225">
        <f t="shared" ref="K122:K124" si="216">J122/E$126</f>
        <v>-83.569670845913095</v>
      </c>
      <c r="L122" s="336"/>
      <c r="M122" s="107"/>
      <c r="N122" s="692"/>
      <c r="O122" s="106"/>
      <c r="P122" s="106"/>
      <c r="Q122" s="106"/>
      <c r="R122" s="106"/>
      <c r="S122" s="106"/>
      <c r="T122" s="106"/>
      <c r="U122" s="106"/>
    </row>
    <row r="123" spans="2:24" ht="11.25" customHeight="1">
      <c r="B123" s="105" t="s">
        <v>28</v>
      </c>
      <c r="C123" s="97"/>
      <c r="D123" s="107">
        <f>'Historical Financials'!V97</f>
        <v>968.5089999999999</v>
      </c>
      <c r="E123" s="225">
        <f>D123/$E$126</f>
        <v>37.339905121472796</v>
      </c>
      <c r="F123" s="28"/>
      <c r="G123" s="287">
        <f>D123*$D$126</f>
        <v>29.54572910311165</v>
      </c>
      <c r="H123" s="225">
        <f>G123/(H$126)</f>
        <v>5.6955315926590604</v>
      </c>
      <c r="I123" s="64" t="s">
        <v>910</v>
      </c>
      <c r="J123" s="106">
        <f t="shared" si="215"/>
        <v>968.5089999999999</v>
      </c>
      <c r="K123" s="225">
        <f t="shared" si="216"/>
        <v>37.339905121472796</v>
      </c>
      <c r="L123" s="107"/>
      <c r="M123" s="107"/>
      <c r="N123" s="691"/>
      <c r="O123" s="693"/>
      <c r="P123" s="106"/>
      <c r="Q123" s="106"/>
      <c r="R123" s="106"/>
      <c r="S123" s="106"/>
      <c r="T123" s="106"/>
      <c r="U123" s="106"/>
    </row>
    <row r="124" spans="2:24" ht="13.5" customHeight="1">
      <c r="B124" s="105" t="s">
        <v>279</v>
      </c>
      <c r="C124" s="97"/>
      <c r="D124" s="108">
        <f>'Historical Financials'!V436</f>
        <v>31.902999999999999</v>
      </c>
      <c r="E124" s="289">
        <f>D124/$E$126</f>
        <v>1.2299885629254315</v>
      </c>
      <c r="F124" s="28"/>
      <c r="G124" s="288">
        <f>D124*$D$126</f>
        <v>0.97324588163514336</v>
      </c>
      <c r="H124" s="289">
        <f>G124/(H$126)</f>
        <v>0.18761265450357406</v>
      </c>
      <c r="I124" s="64" t="s">
        <v>910</v>
      </c>
      <c r="J124" s="588">
        <f t="shared" si="215"/>
        <v>31.902999999999999</v>
      </c>
      <c r="K124" s="289">
        <f t="shared" si="216"/>
        <v>1.2299885629254315</v>
      </c>
      <c r="L124" s="108"/>
      <c r="M124" s="108"/>
      <c r="N124" s="108"/>
      <c r="O124" s="106"/>
      <c r="P124" s="106"/>
      <c r="Q124" s="106"/>
      <c r="R124" s="106"/>
      <c r="S124" s="106"/>
      <c r="T124" s="106"/>
      <c r="U124" s="106"/>
    </row>
    <row r="125" spans="2:24" ht="11.25" customHeight="1">
      <c r="B125" s="226" t="s">
        <v>50</v>
      </c>
      <c r="C125" s="106"/>
      <c r="D125" s="106">
        <f>SUM(D121:D124)</f>
        <v>32415.426598526312</v>
      </c>
      <c r="E125" s="193">
        <f>SUM(E121:E124)</f>
        <v>1249.7446628384851</v>
      </c>
      <c r="G125" s="287">
        <f>SUM(G121:G124)</f>
        <v>988.87817567194384</v>
      </c>
      <c r="H125" s="193">
        <f>SUM(H121:H124)</f>
        <v>190.62609256230706</v>
      </c>
      <c r="I125" s="64" t="s">
        <v>910</v>
      </c>
      <c r="J125" s="106">
        <f>SUM(J121:J124)</f>
        <v>32415.426598526319</v>
      </c>
      <c r="K125" s="193">
        <f>SUM(K121:K124)</f>
        <v>1249.7446628384853</v>
      </c>
      <c r="L125" s="19"/>
      <c r="M125" s="97"/>
      <c r="N125" s="97"/>
      <c r="O125" s="106"/>
      <c r="P125" s="106"/>
      <c r="Q125" s="106"/>
      <c r="R125" s="106"/>
      <c r="S125" s="106"/>
      <c r="T125" s="106"/>
      <c r="U125" s="106"/>
    </row>
    <row r="126" spans="2:24" s="18" customFormat="1" ht="11.25" customHeight="1">
      <c r="B126" s="224" t="s">
        <v>911</v>
      </c>
      <c r="C126" s="277"/>
      <c r="D126" s="286">
        <f>FX!BQ23</f>
        <v>3.0506406345332519E-2</v>
      </c>
      <c r="E126" s="276">
        <f>'Historical Financials'!V332</f>
        <v>25.937639553429026</v>
      </c>
      <c r="H126" s="586">
        <f>E126/5</f>
        <v>5.1875279106858052</v>
      </c>
      <c r="I126" s="64"/>
      <c r="J126" s="587"/>
      <c r="K126" s="590">
        <f>J121/D121-1</f>
        <v>0</v>
      </c>
      <c r="L126" s="336" t="s">
        <v>912</v>
      </c>
      <c r="M126" s="589"/>
      <c r="N126" s="174"/>
      <c r="O126" s="106"/>
      <c r="P126" s="106"/>
      <c r="Q126" s="106"/>
      <c r="R126" s="106"/>
      <c r="S126" s="106"/>
      <c r="T126" s="106"/>
      <c r="U126" s="106"/>
      <c r="W126" s="175"/>
      <c r="X126" s="175"/>
    </row>
    <row r="127" spans="2:24" s="18" customFormat="1" ht="11.25" customHeight="1">
      <c r="B127" s="224"/>
      <c r="C127" s="277"/>
      <c r="E127" s="286"/>
      <c r="F127" s="276"/>
      <c r="G127" s="54"/>
      <c r="H127" s="54"/>
      <c r="J127" s="174"/>
      <c r="K127" s="174"/>
      <c r="L127" s="174"/>
      <c r="M127" s="174"/>
      <c r="N127" s="174"/>
      <c r="O127" s="106"/>
      <c r="P127" s="106"/>
      <c r="Q127" s="106"/>
      <c r="R127" s="106"/>
      <c r="S127" s="106"/>
      <c r="T127" s="106"/>
      <c r="U127" s="106"/>
      <c r="W127" s="175"/>
      <c r="X127" s="175"/>
    </row>
    <row r="128" spans="2:24" s="18" customFormat="1" ht="11.25" customHeight="1">
      <c r="B128" s="55" t="s">
        <v>114</v>
      </c>
      <c r="C128" s="2"/>
      <c r="D128" s="3"/>
      <c r="E128" s="3"/>
      <c r="F128" s="3"/>
      <c r="G128" s="3"/>
      <c r="H128" s="3"/>
      <c r="I128" s="3"/>
      <c r="J128" s="3"/>
      <c r="K128" s="3"/>
      <c r="L128" s="3"/>
      <c r="M128" s="3"/>
      <c r="N128" s="3"/>
      <c r="O128" s="3"/>
      <c r="P128" s="3"/>
      <c r="Q128" s="3"/>
      <c r="R128" s="3"/>
      <c r="S128" s="3"/>
      <c r="T128" s="2"/>
      <c r="U128" s="124">
        <f>U2</f>
        <v>45657</v>
      </c>
      <c r="W128" s="175"/>
      <c r="X128" s="175"/>
    </row>
    <row r="129" spans="2:24" s="18" customFormat="1" ht="11.25" customHeight="1">
      <c r="B129" s="5" t="str">
        <f>B3</f>
        <v>Simple Model – Case A (Base)</v>
      </c>
      <c r="C129" s="2"/>
      <c r="D129" s="2"/>
      <c r="E129" s="2"/>
      <c r="F129" s="2"/>
      <c r="G129" s="2"/>
      <c r="H129" s="2"/>
      <c r="I129" s="2"/>
      <c r="J129" s="2"/>
      <c r="K129" s="2"/>
      <c r="L129" s="2"/>
      <c r="M129" s="2"/>
      <c r="N129" s="2"/>
      <c r="O129" s="2"/>
      <c r="P129" s="2"/>
      <c r="Q129" s="2"/>
      <c r="R129" s="2"/>
      <c r="S129" s="2"/>
      <c r="T129" s="2"/>
      <c r="U129" s="2"/>
      <c r="W129" s="175"/>
      <c r="X129" s="175"/>
    </row>
    <row r="130" spans="2:24" s="18" customFormat="1" ht="11.25" customHeight="1">
      <c r="B130" s="7" t="str">
        <f>B4</f>
        <v>(TWD in billions, unless otherwise noted)</v>
      </c>
      <c r="C130" s="123"/>
      <c r="D130" s="123"/>
      <c r="E130" s="123"/>
      <c r="F130" s="123"/>
      <c r="G130" s="123"/>
      <c r="H130" s="235"/>
      <c r="I130" s="123"/>
      <c r="J130" s="123"/>
      <c r="K130" s="123"/>
      <c r="L130" s="123"/>
      <c r="M130" s="123"/>
      <c r="N130" s="123"/>
      <c r="O130" s="123"/>
      <c r="P130" s="123"/>
      <c r="Q130" s="123"/>
      <c r="R130" s="123"/>
      <c r="S130" s="123"/>
      <c r="T130" s="123"/>
      <c r="U130" s="565" t="str">
        <f>U4</f>
        <v>(ROIC-driven model)</v>
      </c>
      <c r="W130" s="175"/>
      <c r="X130" s="175"/>
    </row>
    <row r="131" spans="2:24" s="18" customFormat="1" ht="11.25" customHeight="1">
      <c r="B131" s="224"/>
      <c r="C131" s="277"/>
      <c r="E131" s="286"/>
      <c r="F131" s="276"/>
      <c r="G131" s="54"/>
      <c r="H131" s="54"/>
      <c r="J131" s="174"/>
      <c r="K131" s="174"/>
      <c r="L131" s="174"/>
      <c r="M131" s="174"/>
      <c r="N131" s="174"/>
      <c r="O131" s="106"/>
      <c r="P131" s="106"/>
      <c r="Q131" s="106"/>
      <c r="R131" s="106"/>
      <c r="S131" s="106"/>
      <c r="T131" s="106"/>
      <c r="U131" s="106"/>
      <c r="W131" s="175"/>
      <c r="X131" s="175"/>
    </row>
    <row r="132" spans="2:24" s="18" customFormat="1" ht="13.5" customHeight="1">
      <c r="B132" s="224"/>
      <c r="C132" s="277"/>
      <c r="D132" s="22" t="s">
        <v>0</v>
      </c>
      <c r="E132" s="22"/>
      <c r="F132" s="22"/>
      <c r="G132" s="22"/>
      <c r="H132" s="22"/>
      <c r="I132" s="22"/>
      <c r="J132" s="22"/>
      <c r="K132" s="22"/>
      <c r="L132" s="22"/>
      <c r="M132" s="22"/>
      <c r="N132" s="22"/>
      <c r="O132" s="22"/>
      <c r="P132" s="22"/>
      <c r="Q132" s="22"/>
      <c r="R132" s="22"/>
      <c r="S132" s="22"/>
      <c r="T132" s="22"/>
      <c r="U132" s="22"/>
      <c r="W132" s="175"/>
      <c r="X132" s="175"/>
    </row>
    <row r="133" spans="2:24" s="18" customFormat="1" ht="13.5" customHeight="1">
      <c r="B133" s="224"/>
      <c r="C133" s="277"/>
      <c r="D133" s="8" t="s">
        <v>1</v>
      </c>
      <c r="E133" s="8" t="s">
        <v>2</v>
      </c>
      <c r="F133" s="8" t="s">
        <v>3</v>
      </c>
      <c r="G133" s="8" t="s">
        <v>4</v>
      </c>
      <c r="H133" s="8" t="s">
        <v>5</v>
      </c>
      <c r="I133" s="8" t="s">
        <v>68</v>
      </c>
      <c r="J133" s="8" t="s">
        <v>6</v>
      </c>
      <c r="K133" s="8" t="s">
        <v>22</v>
      </c>
      <c r="L133" s="8" t="s">
        <v>23</v>
      </c>
      <c r="M133" s="8" t="s">
        <v>24</v>
      </c>
      <c r="N133" s="8" t="s">
        <v>25</v>
      </c>
      <c r="O133" s="8" t="s">
        <v>26</v>
      </c>
      <c r="P133" s="8" t="s">
        <v>27</v>
      </c>
      <c r="Q133" s="8" t="s">
        <v>38</v>
      </c>
      <c r="R133" s="8" t="s">
        <v>39</v>
      </c>
      <c r="S133" s="8" t="s">
        <v>40</v>
      </c>
      <c r="T133" s="8" t="s">
        <v>41</v>
      </c>
      <c r="U133" s="8" t="s">
        <v>112</v>
      </c>
      <c r="W133" s="175"/>
      <c r="X133" s="175"/>
    </row>
    <row r="134" spans="2:24" s="18" customFormat="1" ht="11.25" customHeight="1">
      <c r="B134" s="224"/>
      <c r="C134" s="277"/>
      <c r="E134" s="286"/>
      <c r="F134" s="276"/>
      <c r="G134" s="54"/>
      <c r="H134" s="54"/>
      <c r="J134" s="174"/>
      <c r="K134" s="174"/>
      <c r="L134" s="174"/>
      <c r="M134" s="174"/>
      <c r="N134" s="174"/>
      <c r="O134" s="106"/>
      <c r="P134" s="106"/>
      <c r="Q134" s="106"/>
      <c r="R134" s="106"/>
      <c r="S134" s="106"/>
      <c r="T134" s="106"/>
      <c r="U134" s="106"/>
      <c r="W134" s="175"/>
      <c r="X134" s="175"/>
    </row>
    <row r="135" spans="2:24" s="18" customFormat="1" ht="11.25" customHeight="1">
      <c r="B135" s="447" t="s">
        <v>683</v>
      </c>
      <c r="C135" s="488"/>
      <c r="E135" s="286"/>
      <c r="F135" s="276"/>
      <c r="G135" s="54"/>
      <c r="H135" s="54"/>
      <c r="J135" s="174"/>
      <c r="K135" s="174"/>
      <c r="L135" s="174"/>
      <c r="M135" s="174"/>
      <c r="N135" s="174"/>
      <c r="O135" s="106"/>
      <c r="P135" s="106"/>
      <c r="Q135" s="106"/>
      <c r="R135" s="106"/>
      <c r="S135" s="106"/>
      <c r="T135" s="106"/>
      <c r="U135" s="106"/>
      <c r="W135" s="175"/>
      <c r="X135" s="175"/>
    </row>
    <row r="136" spans="2:24" s="18" customFormat="1" ht="11.25" customHeight="1">
      <c r="B136" s="440"/>
      <c r="C136" s="277"/>
      <c r="E136" s="286"/>
      <c r="F136" s="276"/>
      <c r="G136" s="54"/>
      <c r="H136" s="54"/>
      <c r="J136" s="174"/>
      <c r="K136" s="174"/>
      <c r="L136" s="174"/>
      <c r="M136" s="174"/>
      <c r="N136" s="174"/>
      <c r="O136" s="106"/>
      <c r="P136" s="106"/>
      <c r="Q136" s="106"/>
      <c r="R136" s="106"/>
      <c r="S136" s="106"/>
      <c r="T136" s="106"/>
      <c r="U136" s="106"/>
      <c r="W136" s="175"/>
      <c r="X136" s="175"/>
    </row>
    <row r="137" spans="2:24" s="18" customFormat="1" ht="11.25" customHeight="1">
      <c r="B137" s="449" t="s">
        <v>520</v>
      </c>
      <c r="C137" s="277"/>
      <c r="E137" s="286"/>
      <c r="F137" s="276"/>
      <c r="G137" s="54"/>
      <c r="H137" s="54"/>
      <c r="J137" s="174"/>
      <c r="K137" s="174"/>
      <c r="L137" s="174"/>
      <c r="M137" s="174"/>
      <c r="N137" s="174"/>
      <c r="O137" s="106"/>
      <c r="P137" s="106"/>
      <c r="Q137" s="106"/>
      <c r="R137" s="106"/>
      <c r="S137" s="106"/>
      <c r="T137" s="106"/>
      <c r="U137" s="106"/>
      <c r="W137" s="175"/>
      <c r="X137" s="175"/>
    </row>
    <row r="138" spans="2:24" s="18" customFormat="1" ht="11.25" customHeight="1">
      <c r="B138" s="30" t="s">
        <v>7</v>
      </c>
      <c r="C138" s="277"/>
      <c r="D138" s="56">
        <f t="shared" ref="D138:K138" si="217">D12</f>
        <v>1031.473557</v>
      </c>
      <c r="E138" s="56">
        <f t="shared" si="217"/>
        <v>1069.9854480000001</v>
      </c>
      <c r="F138" s="56">
        <f t="shared" si="217"/>
        <v>1339.254811</v>
      </c>
      <c r="G138" s="56">
        <f t="shared" si="217"/>
        <v>1587.4150369999998</v>
      </c>
      <c r="H138" s="56">
        <f t="shared" si="217"/>
        <v>2263.8912920000002</v>
      </c>
      <c r="I138" s="56">
        <f t="shared" si="217"/>
        <v>2161.7359999999999</v>
      </c>
      <c r="J138" s="56">
        <f t="shared" ca="1" si="217"/>
        <v>2886.9901861713579</v>
      </c>
      <c r="K138" s="56">
        <f t="shared" ca="1" si="217"/>
        <v>3553.2848535556295</v>
      </c>
      <c r="L138" s="56">
        <f t="shared" ref="L138:U138" ca="1" si="218">IF($W$138=1,L141/L143,2000)</f>
        <v>4264.3958628665014</v>
      </c>
      <c r="M138" s="56">
        <f t="shared" ca="1" si="218"/>
        <v>4984.3446391750967</v>
      </c>
      <c r="N138" s="56">
        <f t="shared" ca="1" si="218"/>
        <v>5746.309217700521</v>
      </c>
      <c r="O138" s="56">
        <f t="shared" ca="1" si="218"/>
        <v>6626.1640290788864</v>
      </c>
      <c r="P138" s="56">
        <f t="shared" ca="1" si="218"/>
        <v>7668.0641025872155</v>
      </c>
      <c r="Q138" s="56">
        <f t="shared" ca="1" si="218"/>
        <v>8856.2986693250095</v>
      </c>
      <c r="R138" s="56">
        <f t="shared" ca="1" si="218"/>
        <v>10221.48400970418</v>
      </c>
      <c r="S138" s="56">
        <f t="shared" ca="1" si="218"/>
        <v>11796.294323855554</v>
      </c>
      <c r="T138" s="56">
        <f t="shared" ca="1" si="218"/>
        <v>13615.009650114232</v>
      </c>
      <c r="U138" s="56">
        <f t="shared" ca="1" si="218"/>
        <v>15715.686411747247</v>
      </c>
      <c r="W138" s="564">
        <v>1</v>
      </c>
      <c r="X138" s="175" t="s">
        <v>691</v>
      </c>
    </row>
    <row r="139" spans="2:24" s="18" customFormat="1" ht="11.25" customHeight="1">
      <c r="B139" s="9" t="s">
        <v>249</v>
      </c>
      <c r="C139" s="277"/>
      <c r="D139" s="134">
        <f>D13</f>
        <v>5.5273131944750142E-2</v>
      </c>
      <c r="E139" s="134">
        <f>(E138/D138)-1</f>
        <v>3.7336770039951839E-2</v>
      </c>
      <c r="F139" s="134">
        <f t="shared" ref="F139:K139" si="219">(F138/E138)-1</f>
        <v>0.25165703281601992</v>
      </c>
      <c r="G139" s="134">
        <f t="shared" si="219"/>
        <v>0.18529724437928463</v>
      </c>
      <c r="H139" s="134">
        <f t="shared" si="219"/>
        <v>0.42614958232879618</v>
      </c>
      <c r="I139" s="134">
        <f t="shared" si="219"/>
        <v>-4.5123762064455342E-2</v>
      </c>
      <c r="J139" s="134">
        <f t="shared" ca="1" si="219"/>
        <v>0.33549618740279019</v>
      </c>
      <c r="K139" s="134">
        <f t="shared" ca="1" si="219"/>
        <v>0.23079214836815654</v>
      </c>
      <c r="L139" s="134">
        <f t="shared" ref="L139" ca="1" si="220">(L138/K138)-1</f>
        <v>0.20012777996092601</v>
      </c>
      <c r="M139" s="134">
        <f t="shared" ref="M139" ca="1" si="221">(M138/L138)-1</f>
        <v>0.16882784794389383</v>
      </c>
      <c r="N139" s="134">
        <f t="shared" ref="N139" ca="1" si="222">(N138/M138)-1</f>
        <v>0.15287156761526188</v>
      </c>
      <c r="O139" s="134">
        <f t="shared" ref="O139" ca="1" si="223">(O138/N138)-1</f>
        <v>0.15311650975344726</v>
      </c>
      <c r="P139" s="134">
        <f t="shared" ref="P139" ca="1" si="224">(P138/O138)-1</f>
        <v>0.1572403081082745</v>
      </c>
      <c r="Q139" s="134">
        <f t="shared" ref="Q139" ca="1" si="225">(Q138/P138)-1</f>
        <v>0.15495887238825801</v>
      </c>
      <c r="R139" s="134">
        <f t="shared" ref="R139" ca="1" si="226">(R138/Q138)-1</f>
        <v>0.15414852088352382</v>
      </c>
      <c r="S139" s="134">
        <f t="shared" ref="S139" ca="1" si="227">(S138/R138)-1</f>
        <v>0.15406865702243078</v>
      </c>
      <c r="T139" s="134">
        <f t="shared" ref="T139" ca="1" si="228">(T138/S138)-1</f>
        <v>0.15417683522703429</v>
      </c>
      <c r="U139" s="134">
        <f t="shared" ref="U139" ca="1" si="229">(U138/T138)-1</f>
        <v>0.15429124294564045</v>
      </c>
      <c r="W139" s="175"/>
      <c r="X139" s="175"/>
    </row>
    <row r="140" spans="2:24" s="18" customFormat="1" ht="11.25" customHeight="1">
      <c r="B140" s="35"/>
      <c r="C140" s="277"/>
      <c r="E140" s="286"/>
      <c r="F140" s="276"/>
      <c r="G140" s="54"/>
      <c r="H140" s="54"/>
      <c r="L140" s="174"/>
      <c r="M140" s="174"/>
      <c r="N140" s="174"/>
      <c r="O140" s="106"/>
      <c r="P140" s="106"/>
      <c r="Q140" s="106"/>
      <c r="R140" s="106"/>
      <c r="S140" s="106"/>
      <c r="T140" s="106"/>
      <c r="U140" s="106"/>
      <c r="W140" s="175"/>
      <c r="X140" s="175"/>
    </row>
    <row r="141" spans="2:24" s="18" customFormat="1" ht="11.25" customHeight="1">
      <c r="B141" s="30" t="s">
        <v>253</v>
      </c>
      <c r="C141" s="277"/>
      <c r="D141" s="56">
        <f t="shared" ref="D141:K141" si="230">D29</f>
        <v>383.62355700000001</v>
      </c>
      <c r="E141" s="56">
        <f t="shared" si="230"/>
        <v>372.70144800000014</v>
      </c>
      <c r="F141" s="56">
        <f t="shared" si="230"/>
        <v>566.78381100000001</v>
      </c>
      <c r="G141" s="56">
        <f t="shared" si="230"/>
        <v>649.98103699999967</v>
      </c>
      <c r="H141" s="56">
        <f t="shared" si="230"/>
        <v>1121.2792920000002</v>
      </c>
      <c r="I141" s="56">
        <f t="shared" si="230"/>
        <v>921.46599999999989</v>
      </c>
      <c r="J141" s="56">
        <f t="shared" ca="1" si="230"/>
        <v>1305.3836868813955</v>
      </c>
      <c r="K141" s="56">
        <f t="shared" ca="1" si="230"/>
        <v>1613.9419060153559</v>
      </c>
      <c r="L141" s="56">
        <f t="shared" ref="L141:U141" ca="1" si="231">L158*L160</f>
        <v>1935.1406788158954</v>
      </c>
      <c r="M141" s="56">
        <f t="shared" ca="1" si="231"/>
        <v>2259.7472898157048</v>
      </c>
      <c r="N141" s="56">
        <f t="shared" ca="1" si="231"/>
        <v>2602.7784938668042</v>
      </c>
      <c r="O141" s="56">
        <f t="shared" ca="1" si="231"/>
        <v>2998.5164183056622</v>
      </c>
      <c r="P141" s="56">
        <f t="shared" ca="1" si="231"/>
        <v>3466.7748608505108</v>
      </c>
      <c r="Q141" s="56">
        <f t="shared" ca="1" si="231"/>
        <v>4000.2527875287442</v>
      </c>
      <c r="R141" s="56">
        <f t="shared" ca="1" si="231"/>
        <v>4612.5813295065891</v>
      </c>
      <c r="S141" s="56">
        <f t="shared" ca="1" si="231"/>
        <v>5318.267842145272</v>
      </c>
      <c r="T141" s="56">
        <f t="shared" ca="1" si="231"/>
        <v>6132.4879447441708</v>
      </c>
      <c r="U141" s="56">
        <f t="shared" ca="1" si="231"/>
        <v>7072.0588852862611</v>
      </c>
      <c r="W141" s="175"/>
      <c r="X141" s="175"/>
    </row>
    <row r="142" spans="2:24" s="18" customFormat="1" ht="11.25" customHeight="1">
      <c r="B142" s="9" t="s">
        <v>249</v>
      </c>
      <c r="C142" s="277"/>
      <c r="D142" s="134">
        <f>D30</f>
        <v>-5.019836134028566E-6</v>
      </c>
      <c r="E142" s="134">
        <f>(E141/D141)-1</f>
        <v>-2.8470902791821628E-2</v>
      </c>
      <c r="F142" s="134">
        <f t="shared" ref="F142:U142" si="232">(F141/E141)-1</f>
        <v>0.52074485903258361</v>
      </c>
      <c r="G142" s="134">
        <f t="shared" si="232"/>
        <v>0.14678828926537513</v>
      </c>
      <c r="H142" s="134">
        <f t="shared" si="232"/>
        <v>0.72509539228296083</v>
      </c>
      <c r="I142" s="134">
        <f t="shared" si="232"/>
        <v>-0.17820117915813627</v>
      </c>
      <c r="J142" s="134">
        <f t="shared" ca="1" si="232"/>
        <v>0.41663793008249428</v>
      </c>
      <c r="K142" s="134">
        <f t="shared" ca="1" si="232"/>
        <v>0.23637358290505084</v>
      </c>
      <c r="L142" s="134">
        <f t="shared" ca="1" si="232"/>
        <v>0.19901507706280697</v>
      </c>
      <c r="M142" s="134">
        <f t="shared" ca="1" si="232"/>
        <v>0.16774315922004956</v>
      </c>
      <c r="N142" s="134">
        <f t="shared" ca="1" si="232"/>
        <v>0.15180069275758501</v>
      </c>
      <c r="O142" s="134">
        <f t="shared" ca="1" si="232"/>
        <v>0.15204441152844006</v>
      </c>
      <c r="P142" s="134">
        <f t="shared" ca="1" si="232"/>
        <v>0.15616337455622209</v>
      </c>
      <c r="Q142" s="134">
        <f t="shared" ca="1" si="232"/>
        <v>0.1538830607959798</v>
      </c>
      <c r="R142" s="134">
        <f t="shared" ca="1" si="232"/>
        <v>0.15307246179212752</v>
      </c>
      <c r="S142" s="134">
        <f t="shared" ca="1" si="232"/>
        <v>0.15299166827139077</v>
      </c>
      <c r="T142" s="134">
        <f t="shared" ca="1" si="232"/>
        <v>0.15309873943288665</v>
      </c>
      <c r="U142" s="134">
        <f t="shared" ca="1" si="232"/>
        <v>0.15321203221399671</v>
      </c>
      <c r="W142" s="175"/>
      <c r="X142" s="175"/>
    </row>
    <row r="143" spans="2:24" s="18" customFormat="1" ht="11.25" customHeight="1">
      <c r="B143" s="35" t="s">
        <v>17</v>
      </c>
      <c r="C143" s="277"/>
      <c r="D143" s="134">
        <f>D141/D138</f>
        <v>0.37191797540186483</v>
      </c>
      <c r="E143" s="134">
        <f t="shared" ref="E143:J143" si="233">E141/E138</f>
        <v>0.34832384748469969</v>
      </c>
      <c r="F143" s="134">
        <f t="shared" si="233"/>
        <v>0.42320834418118808</v>
      </c>
      <c r="G143" s="134">
        <f t="shared" si="233"/>
        <v>0.40945878793511753</v>
      </c>
      <c r="H143" s="134">
        <f t="shared" si="233"/>
        <v>0.49528848666996861</v>
      </c>
      <c r="I143" s="134">
        <f t="shared" si="233"/>
        <v>0.42626204124833</v>
      </c>
      <c r="J143" s="134">
        <f t="shared" ca="1" si="233"/>
        <v>0.45216076352949341</v>
      </c>
      <c r="K143" s="134">
        <f t="shared" ref="K143" ca="1" si="234">K141/K138</f>
        <v>0.45421123623127174</v>
      </c>
      <c r="L143" s="142">
        <f t="shared" ref="L143" ca="1" si="235">K143+(($U143-$K143)/COUNTA($L143:$U143))</f>
        <v>0.45379011260814456</v>
      </c>
      <c r="M143" s="142">
        <f t="shared" ref="M143" ca="1" si="236">L143+(($U143-$K143)/COUNTA($L143:$U143))</f>
        <v>0.45336898898501737</v>
      </c>
      <c r="N143" s="142">
        <f t="shared" ref="N143" ca="1" si="237">M143+(($U143-$K143)/COUNTA($L143:$U143))</f>
        <v>0.45294786536189019</v>
      </c>
      <c r="O143" s="142">
        <f t="shared" ref="O143" ca="1" si="238">N143+(($U143-$K143)/COUNTA($L143:$U143))</f>
        <v>0.45252674173876301</v>
      </c>
      <c r="P143" s="142">
        <f t="shared" ref="P143" ca="1" si="239">O143+(($U143-$K143)/COUNTA($L143:$U143))</f>
        <v>0.45210561811563582</v>
      </c>
      <c r="Q143" s="142">
        <f t="shared" ref="Q143" ca="1" si="240">P143+(($U143-$K143)/COUNTA($L143:$U143))</f>
        <v>0.45168449449250864</v>
      </c>
      <c r="R143" s="142">
        <f t="shared" ref="R143" ca="1" si="241">Q143+(($U143-$K143)/COUNTA($L143:$U143))</f>
        <v>0.45126337086938145</v>
      </c>
      <c r="S143" s="142">
        <f t="shared" ref="S143" ca="1" si="242">R143+(($U143-$K143)/COUNTA($L143:$U143))</f>
        <v>0.45084224724625427</v>
      </c>
      <c r="T143" s="142">
        <f t="shared" ref="T143" ca="1" si="243">S143+(($U143-$K143)/COUNTA($L143:$U143))</f>
        <v>0.45042112362312708</v>
      </c>
      <c r="U143" s="233">
        <v>0.45</v>
      </c>
      <c r="W143" s="175"/>
      <c r="X143" s="175"/>
    </row>
    <row r="144" spans="2:24" s="18" customFormat="1" ht="11.25" customHeight="1">
      <c r="B144" s="482" t="s">
        <v>295</v>
      </c>
      <c r="C144" s="277"/>
      <c r="D144" s="134"/>
      <c r="E144" s="136">
        <f>(IF(E138&gt;D138,((E141-D141)/(E138-D138)),"n/m"))</f>
        <v>-0.28360354987502001</v>
      </c>
      <c r="F144" s="136">
        <f t="shared" ref="F144:U144" si="244">(IF(F138&gt;E138,((F141-E141)/(F138-E138)),"n/m"))</f>
        <v>0.72077402656461875</v>
      </c>
      <c r="G144" s="136">
        <f t="shared" si="244"/>
        <v>0.33525608571939225</v>
      </c>
      <c r="H144" s="136">
        <f t="shared" si="244"/>
        <v>0.696695932069338</v>
      </c>
      <c r="I144" s="136" t="str">
        <f t="shared" si="244"/>
        <v>n/m</v>
      </c>
      <c r="J144" s="136">
        <f t="shared" ca="1" si="244"/>
        <v>0.52935604399350034</v>
      </c>
      <c r="K144" s="136">
        <f t="shared" ca="1" si="244"/>
        <v>0.46309573562293849</v>
      </c>
      <c r="L144" s="136">
        <f t="shared" ca="1" si="244"/>
        <v>0.45168583891256148</v>
      </c>
      <c r="M144" s="136">
        <f t="shared" ca="1" si="244"/>
        <v>0.45087459230664984</v>
      </c>
      <c r="N144" s="136">
        <f t="shared" ca="1" si="244"/>
        <v>0.45019311096447978</v>
      </c>
      <c r="O144" s="136">
        <f t="shared" ca="1" si="244"/>
        <v>0.44977639415178261</v>
      </c>
      <c r="P144" s="136">
        <f t="shared" ca="1" si="244"/>
        <v>0.44942740138995224</v>
      </c>
      <c r="Q144" s="136">
        <f t="shared" ca="1" si="244"/>
        <v>0.44896684679259563</v>
      </c>
      <c r="R144" s="136">
        <f t="shared" ca="1" si="244"/>
        <v>0.44853143662367129</v>
      </c>
      <c r="S144" s="136">
        <f t="shared" ca="1" si="244"/>
        <v>0.44810889686035577</v>
      </c>
      <c r="T144" s="136">
        <f t="shared" ca="1" si="244"/>
        <v>0.44768969109302559</v>
      </c>
      <c r="U144" s="136">
        <f t="shared" ca="1" si="244"/>
        <v>0.4472705928406096</v>
      </c>
      <c r="W144" s="175"/>
      <c r="X144" s="175"/>
    </row>
    <row r="145" spans="2:24 16384:16384" s="18" customFormat="1" ht="11.25" customHeight="1">
      <c r="B145" s="128"/>
      <c r="C145" s="277"/>
      <c r="E145" s="479"/>
      <c r="F145" s="479"/>
      <c r="G145" s="479"/>
      <c r="H145" s="479"/>
      <c r="I145" s="479"/>
      <c r="J145" s="479"/>
      <c r="K145" s="174"/>
      <c r="L145" s="174"/>
      <c r="M145" s="174"/>
      <c r="N145" s="174"/>
      <c r="O145" s="106"/>
      <c r="P145" s="106"/>
      <c r="Q145" s="106"/>
      <c r="R145" s="106"/>
      <c r="S145" s="106"/>
      <c r="T145" s="106"/>
      <c r="U145" s="106"/>
      <c r="W145" s="175"/>
      <c r="X145" s="175"/>
    </row>
    <row r="146" spans="2:24 16384:16384" s="18" customFormat="1" ht="11.25" customHeight="1">
      <c r="B146" s="263" t="s">
        <v>537</v>
      </c>
      <c r="C146" s="277"/>
      <c r="E146" s="561"/>
      <c r="F146" s="561"/>
      <c r="G146" s="561"/>
      <c r="H146" s="561"/>
      <c r="I146" s="561"/>
      <c r="J146" s="561"/>
      <c r="K146" s="174"/>
      <c r="L146" s="174"/>
      <c r="M146" s="174"/>
      <c r="N146" s="174"/>
      <c r="O146" s="106"/>
      <c r="P146" s="106"/>
      <c r="Q146" s="106"/>
      <c r="R146" s="106"/>
      <c r="S146" s="106"/>
      <c r="T146" s="106"/>
      <c r="U146" s="106"/>
      <c r="W146" s="175"/>
      <c r="X146" s="175"/>
    </row>
    <row r="147" spans="2:24 16384:16384" s="18" customFormat="1" ht="11.25" customHeight="1">
      <c r="B147" s="2" t="s">
        <v>547</v>
      </c>
      <c r="C147" s="277"/>
      <c r="D147" s="57">
        <f>'Historical Financials'!AX521</f>
        <v>82.744</v>
      </c>
      <c r="E147" s="57">
        <f>'Historical Financials'!AY521</f>
        <v>69.214999999999975</v>
      </c>
      <c r="F147" s="57">
        <f>'Historical Financials'!AZ521</f>
        <v>62.17300000000003</v>
      </c>
      <c r="G147" s="57">
        <f>'Historical Financials'!BA521</f>
        <v>86.961999999999989</v>
      </c>
      <c r="H147" s="57">
        <f>'Historical Financials'!BB521</f>
        <v>-77.384999999999991</v>
      </c>
      <c r="I147" s="57">
        <f>'Historical Financials'!BC521</f>
        <v>-57.858999999999924</v>
      </c>
      <c r="J147" s="57">
        <f ca="1">'Historical Financials'!BD521</f>
        <v>-91.945927778524151</v>
      </c>
      <c r="K147" s="57">
        <f ca="1">'Historical Financials'!BE521</f>
        <v>-136.89913925680423</v>
      </c>
      <c r="L147" s="20">
        <f t="shared" ref="L147:U147" ca="1" si="245">L148*L138</f>
        <v>-127.93187588599504</v>
      </c>
      <c r="M147" s="20">
        <f t="shared" ca="1" si="245"/>
        <v>-149.53033917525289</v>
      </c>
      <c r="N147" s="20">
        <f t="shared" ca="1" si="245"/>
        <v>-172.38927653101561</v>
      </c>
      <c r="O147" s="20">
        <f t="shared" ca="1" si="245"/>
        <v>-198.7849208723666</v>
      </c>
      <c r="P147" s="20">
        <f t="shared" ca="1" si="245"/>
        <v>-230.04192307761645</v>
      </c>
      <c r="Q147" s="20">
        <f t="shared" ca="1" si="245"/>
        <v>-265.6889600797503</v>
      </c>
      <c r="R147" s="20">
        <f t="shared" ca="1" si="245"/>
        <v>-306.64452029112539</v>
      </c>
      <c r="S147" s="20">
        <f t="shared" ca="1" si="245"/>
        <v>-353.88882971566665</v>
      </c>
      <c r="T147" s="20">
        <f t="shared" ca="1" si="245"/>
        <v>-408.45028950342697</v>
      </c>
      <c r="U147" s="20">
        <f t="shared" ca="1" si="245"/>
        <v>-471.47059235241738</v>
      </c>
      <c r="W147" s="175"/>
      <c r="X147" s="175"/>
    </row>
    <row r="148" spans="2:24 16384:16384" s="18" customFormat="1" ht="11.25" customHeight="1">
      <c r="B148" s="9" t="s">
        <v>602</v>
      </c>
      <c r="C148" s="277"/>
      <c r="D148" s="436">
        <f>D147/D138</f>
        <v>8.0219215934781346E-2</v>
      </c>
      <c r="E148" s="436">
        <f t="shared" ref="E148:K148" si="246">E147/E138</f>
        <v>6.468779564187116E-2</v>
      </c>
      <c r="F148" s="436">
        <f t="shared" si="246"/>
        <v>4.6423577865347711E-2</v>
      </c>
      <c r="G148" s="436">
        <f t="shared" si="246"/>
        <v>5.4782144538800918E-2</v>
      </c>
      <c r="H148" s="436">
        <f t="shared" si="246"/>
        <v>-3.4182295003942258E-2</v>
      </c>
      <c r="I148" s="436">
        <f t="shared" si="246"/>
        <v>-2.6765062893896352E-2</v>
      </c>
      <c r="J148" s="436">
        <f t="shared" ca="1" si="246"/>
        <v>-3.1848368663996103E-2</v>
      </c>
      <c r="K148" s="436">
        <f t="shared" ca="1" si="246"/>
        <v>-3.8527487915812536E-2</v>
      </c>
      <c r="L148" s="196">
        <v>-0.03</v>
      </c>
      <c r="M148" s="196">
        <f t="shared" ref="M148:U148" si="247">L148</f>
        <v>-0.03</v>
      </c>
      <c r="N148" s="196">
        <f t="shared" si="247"/>
        <v>-0.03</v>
      </c>
      <c r="O148" s="196">
        <f t="shared" si="247"/>
        <v>-0.03</v>
      </c>
      <c r="P148" s="196">
        <f t="shared" si="247"/>
        <v>-0.03</v>
      </c>
      <c r="Q148" s="196">
        <f t="shared" si="247"/>
        <v>-0.03</v>
      </c>
      <c r="R148" s="196">
        <f t="shared" si="247"/>
        <v>-0.03</v>
      </c>
      <c r="S148" s="196">
        <f t="shared" si="247"/>
        <v>-0.03</v>
      </c>
      <c r="T148" s="196">
        <f t="shared" si="247"/>
        <v>-0.03</v>
      </c>
      <c r="U148" s="196">
        <f t="shared" si="247"/>
        <v>-0.03</v>
      </c>
      <c r="W148" s="492"/>
      <c r="X148" s="175"/>
    </row>
    <row r="149" spans="2:24 16384:16384" s="18" customFormat="1" ht="11.25" customHeight="1">
      <c r="B149" s="2"/>
      <c r="C149" s="277"/>
      <c r="E149" s="286"/>
      <c r="F149" s="276"/>
      <c r="G149" s="54"/>
      <c r="H149" s="54"/>
      <c r="J149" s="174"/>
      <c r="K149" s="174"/>
      <c r="L149" s="174"/>
      <c r="M149" s="174"/>
      <c r="N149" s="174"/>
      <c r="O149" s="106"/>
      <c r="P149" s="106"/>
      <c r="Q149" s="106"/>
      <c r="R149" s="106"/>
      <c r="S149" s="106"/>
      <c r="T149" s="106"/>
      <c r="U149" s="106"/>
      <c r="W149" s="175"/>
      <c r="X149" s="175"/>
    </row>
    <row r="150" spans="2:24 16384:16384" s="18" customFormat="1" ht="11.25" customHeight="1">
      <c r="B150" s="25" t="s">
        <v>611</v>
      </c>
      <c r="C150" s="277"/>
      <c r="E150" s="286"/>
      <c r="F150" s="276"/>
      <c r="G150" s="54"/>
      <c r="H150" s="54"/>
      <c r="J150" s="174"/>
      <c r="K150" s="174"/>
      <c r="L150" s="174"/>
      <c r="M150" s="174"/>
      <c r="N150" s="174"/>
      <c r="O150" s="106"/>
      <c r="P150" s="106"/>
      <c r="Q150" s="106"/>
      <c r="R150" s="106"/>
      <c r="S150" s="106"/>
      <c r="T150" s="106"/>
      <c r="U150" s="106"/>
      <c r="W150" s="175"/>
      <c r="X150" s="175"/>
    </row>
    <row r="151" spans="2:24 16384:16384" s="18" customFormat="1" ht="11.25" customHeight="1">
      <c r="B151" s="30" t="s">
        <v>603</v>
      </c>
      <c r="C151" s="277"/>
      <c r="D151" s="57">
        <f>'Historical Financials'!AX526</f>
        <v>1072.05</v>
      </c>
      <c r="E151" s="57">
        <f>'Historical Financials'!AY526</f>
        <v>1352.377</v>
      </c>
      <c r="F151" s="57">
        <f>'Historical Financials'!AZ526</f>
        <v>1555.5889999999999</v>
      </c>
      <c r="G151" s="57">
        <f>'Historical Financials'!BA526</f>
        <v>1975.1189999999999</v>
      </c>
      <c r="H151" s="57">
        <f>'Historical Financials'!BB526</f>
        <v>2693.837</v>
      </c>
      <c r="I151" s="57">
        <f>'Historical Financials'!BC526</f>
        <v>3064.4749999999999</v>
      </c>
      <c r="J151" s="57">
        <f ca="1">'Historical Financials'!BD526</f>
        <v>3432.7617022213999</v>
      </c>
      <c r="K151" s="57">
        <f ca="1">'Historical Financials'!BE526</f>
        <v>3913.8926471443483</v>
      </c>
      <c r="L151" s="57">
        <f ca="1">'D&amp;A Build (A)'!T176</f>
        <v>4569.9954535488787</v>
      </c>
      <c r="M151" s="57">
        <f ca="1">'D&amp;A Build (A)'!U176</f>
        <v>5296.3793761298584</v>
      </c>
      <c r="N151" s="57">
        <f ca="1">'D&amp;A Build (A)'!V176</f>
        <v>6064.302941161659</v>
      </c>
      <c r="O151" s="57">
        <f ca="1">'D&amp;A Build (A)'!W176</f>
        <v>7023.2570978868262</v>
      </c>
      <c r="P151" s="57">
        <f ca="1">'D&amp;A Build (A)'!X176</f>
        <v>8108.5549099809868</v>
      </c>
      <c r="Q151" s="57">
        <f ca="1">'D&amp;A Build (A)'!Y176</f>
        <v>9350.4506021064099</v>
      </c>
      <c r="R151" s="57">
        <f ca="1">'D&amp;A Build (A)'!Z176</f>
        <v>10779.996599767208</v>
      </c>
      <c r="S151" s="57">
        <f ca="1">'D&amp;A Build (A)'!AA176</f>
        <v>12429.310133381437</v>
      </c>
      <c r="T151" s="57">
        <f ca="1">'D&amp;A Build (A)'!AB176</f>
        <v>14332.320676061754</v>
      </c>
      <c r="U151" s="57">
        <f ca="1">'D&amp;A Build (A)'!AC176</f>
        <v>16528.371602025898</v>
      </c>
      <c r="W151" s="175"/>
      <c r="X151" s="175"/>
    </row>
    <row r="152" spans="2:24 16384:16384" s="18" customFormat="1" ht="13.5" customHeight="1">
      <c r="B152" s="30" t="s">
        <v>693</v>
      </c>
      <c r="C152" s="277"/>
      <c r="D152" s="210">
        <f>'Historical Financials'!AX527</f>
        <v>37.093000000000004</v>
      </c>
      <c r="E152" s="210">
        <f>'Historical Financials'!AY527</f>
        <v>59.642000000000003</v>
      </c>
      <c r="F152" s="210">
        <f>'Historical Financials'!AZ527</f>
        <v>85.209000000000003</v>
      </c>
      <c r="G152" s="210">
        <f>'Historical Financials'!BA527</f>
        <v>113.92700000000001</v>
      </c>
      <c r="H152" s="210">
        <f>'Historical Financials'!BB527</f>
        <v>149.11699999999999</v>
      </c>
      <c r="I152" s="210">
        <f>'Historical Financials'!BC527</f>
        <v>144.42099999999999</v>
      </c>
      <c r="J152" s="210">
        <f ca="1">'Historical Financials'!BD527</f>
        <v>218.56189229970042</v>
      </c>
      <c r="K152" s="210">
        <f ca="1">'Historical Financials'!BE527</f>
        <v>262.2742707596405</v>
      </c>
      <c r="L152" s="21">
        <f t="shared" ref="L152:U152" ca="1" si="248">L154*L138</f>
        <v>314.76263830763816</v>
      </c>
      <c r="M152" s="21">
        <f t="shared" ca="1" si="248"/>
        <v>367.90333714625888</v>
      </c>
      <c r="N152" s="21">
        <f t="shared" ca="1" si="248"/>
        <v>424.14529702669375</v>
      </c>
      <c r="O152" s="21">
        <f t="shared" ca="1" si="248"/>
        <v>489.08894453576028</v>
      </c>
      <c r="P152" s="21">
        <f t="shared" ca="1" si="248"/>
        <v>565.99344086691394</v>
      </c>
      <c r="Q152" s="21">
        <f t="shared" ca="1" si="248"/>
        <v>653.69914624280102</v>
      </c>
      <c r="R152" s="21">
        <f t="shared" ca="1" si="248"/>
        <v>754.46590273895117</v>
      </c>
      <c r="S152" s="21">
        <f t="shared" ca="1" si="248"/>
        <v>870.70545114315735</v>
      </c>
      <c r="T152" s="21">
        <f t="shared" ca="1" si="248"/>
        <v>1004.9480620153365</v>
      </c>
      <c r="U152" s="21">
        <f t="shared" ca="1" si="248"/>
        <v>1160.0027475994953</v>
      </c>
      <c r="W152" s="175"/>
      <c r="X152" s="175"/>
    </row>
    <row r="153" spans="2:24 16384:16384" s="18" customFormat="1" ht="11.25" customHeight="1">
      <c r="B153" s="12" t="s">
        <v>631</v>
      </c>
      <c r="C153" s="277"/>
      <c r="D153" s="56">
        <f>SUM(D151:D152)</f>
        <v>1109.143</v>
      </c>
      <c r="E153" s="56">
        <f t="shared" ref="E153:I153" si="249">SUM(E151:E152)</f>
        <v>1412.019</v>
      </c>
      <c r="F153" s="56">
        <f t="shared" si="249"/>
        <v>1640.798</v>
      </c>
      <c r="G153" s="56">
        <f t="shared" si="249"/>
        <v>2089.0459999999998</v>
      </c>
      <c r="H153" s="56">
        <f t="shared" si="249"/>
        <v>2842.9540000000002</v>
      </c>
      <c r="I153" s="56">
        <f t="shared" si="249"/>
        <v>3208.8959999999997</v>
      </c>
      <c r="J153" s="56">
        <f t="shared" ref="J153" ca="1" si="250">SUM(J151:J152)</f>
        <v>3651.3235945211004</v>
      </c>
      <c r="K153" s="56">
        <f t="shared" ref="K153" ca="1" si="251">SUM(K151:K152)</f>
        <v>4176.1669179039891</v>
      </c>
      <c r="L153" s="56">
        <f t="shared" ref="L153" ca="1" si="252">SUM(L151:L152)</f>
        <v>4884.7580918565172</v>
      </c>
      <c r="M153" s="56">
        <f t="shared" ref="M153" ca="1" si="253">SUM(M151:M152)</f>
        <v>5664.2827132761176</v>
      </c>
      <c r="N153" s="56">
        <f t="shared" ref="N153" ca="1" si="254">SUM(N151:N152)</f>
        <v>6488.4482381883527</v>
      </c>
      <c r="O153" s="56">
        <f t="shared" ref="O153" ca="1" si="255">SUM(O151:O152)</f>
        <v>7512.3460424225868</v>
      </c>
      <c r="P153" s="56">
        <f t="shared" ref="P153" ca="1" si="256">SUM(P151:P152)</f>
        <v>8674.548350847901</v>
      </c>
      <c r="Q153" s="56">
        <f t="shared" ref="Q153" ca="1" si="257">SUM(Q151:Q152)</f>
        <v>10004.149748349211</v>
      </c>
      <c r="R153" s="56">
        <f t="shared" ref="R153" ca="1" si="258">SUM(R151:R152)</f>
        <v>11534.46250250616</v>
      </c>
      <c r="S153" s="56">
        <f t="shared" ref="S153" ca="1" si="259">SUM(S151:S152)</f>
        <v>13300.015584524595</v>
      </c>
      <c r="T153" s="56">
        <f t="shared" ref="T153" ca="1" si="260">SUM(T151:T152)</f>
        <v>15337.268738077091</v>
      </c>
      <c r="U153" s="56">
        <f t="shared" ref="U153" ca="1" si="261">SUM(U151:U152)</f>
        <v>17688.374349625392</v>
      </c>
      <c r="W153" s="175"/>
      <c r="X153" s="175"/>
    </row>
    <row r="154" spans="2:24 16384:16384" s="18" customFormat="1" ht="11.25" customHeight="1">
      <c r="B154" s="41" t="s">
        <v>687</v>
      </c>
      <c r="C154" s="277"/>
      <c r="D154" s="436">
        <f>D152/D138</f>
        <v>3.5961173942144986E-2</v>
      </c>
      <c r="E154" s="436">
        <f t="shared" ref="E154:J154" si="262">E152/E138</f>
        <v>5.5740944992739745E-2</v>
      </c>
      <c r="F154" s="436">
        <f t="shared" si="262"/>
        <v>6.3624188093359027E-2</v>
      </c>
      <c r="G154" s="436">
        <f t="shared" si="262"/>
        <v>7.1768880440559929E-2</v>
      </c>
      <c r="H154" s="436">
        <f t="shared" si="262"/>
        <v>6.5867561983625478E-2</v>
      </c>
      <c r="I154" s="436">
        <f t="shared" si="262"/>
        <v>6.6807880333213679E-2</v>
      </c>
      <c r="J154" s="436">
        <f t="shared" ca="1" si="262"/>
        <v>7.5705796765991373E-2</v>
      </c>
      <c r="K154" s="436">
        <f ca="1">K152/K138</f>
        <v>7.3811777431013775E-2</v>
      </c>
      <c r="L154" s="196">
        <f t="shared" ref="L154:U154" ca="1" si="263">K154</f>
        <v>7.3811777431013775E-2</v>
      </c>
      <c r="M154" s="196">
        <f t="shared" ca="1" si="263"/>
        <v>7.3811777431013775E-2</v>
      </c>
      <c r="N154" s="196">
        <f t="shared" ca="1" si="263"/>
        <v>7.3811777431013775E-2</v>
      </c>
      <c r="O154" s="196">
        <f t="shared" ca="1" si="263"/>
        <v>7.3811777431013775E-2</v>
      </c>
      <c r="P154" s="196">
        <f t="shared" ca="1" si="263"/>
        <v>7.3811777431013775E-2</v>
      </c>
      <c r="Q154" s="196">
        <f t="shared" ca="1" si="263"/>
        <v>7.3811777431013775E-2</v>
      </c>
      <c r="R154" s="196">
        <f t="shared" ca="1" si="263"/>
        <v>7.3811777431013775E-2</v>
      </c>
      <c r="S154" s="196">
        <f t="shared" ca="1" si="263"/>
        <v>7.3811777431013775E-2</v>
      </c>
      <c r="T154" s="196">
        <f t="shared" ca="1" si="263"/>
        <v>7.3811777431013775E-2</v>
      </c>
      <c r="U154" s="196">
        <f t="shared" ca="1" si="263"/>
        <v>7.3811777431013775E-2</v>
      </c>
      <c r="W154" s="492"/>
      <c r="X154" s="175"/>
    </row>
    <row r="155" spans="2:24 16384:16384" s="18" customFormat="1" ht="11.25" customHeight="1">
      <c r="B155" s="13"/>
      <c r="C155" s="277"/>
      <c r="D155" s="20"/>
      <c r="E155" s="20"/>
      <c r="F155" s="20"/>
      <c r="G155" s="20"/>
      <c r="H155" s="20"/>
      <c r="I155" s="20"/>
      <c r="J155" s="20"/>
      <c r="K155" s="20"/>
      <c r="L155" s="20"/>
      <c r="M155" s="20"/>
      <c r="N155" s="20"/>
      <c r="O155" s="20"/>
      <c r="P155" s="20"/>
      <c r="Q155" s="20"/>
      <c r="R155" s="20"/>
      <c r="S155" s="20"/>
      <c r="T155" s="20"/>
      <c r="U155" s="20"/>
      <c r="W155" s="175"/>
      <c r="X155" s="175"/>
    </row>
    <row r="156" spans="2:24 16384:16384" s="18" customFormat="1" ht="11.25" customHeight="1">
      <c r="B156" s="13" t="s">
        <v>537</v>
      </c>
      <c r="C156" s="277"/>
      <c r="D156" s="20">
        <f>D147+D153</f>
        <v>1191.8869999999999</v>
      </c>
      <c r="E156" s="20">
        <f t="shared" ref="E156:U156" si="264">E147+E153</f>
        <v>1481.2339999999999</v>
      </c>
      <c r="F156" s="20">
        <f t="shared" si="264"/>
        <v>1702.971</v>
      </c>
      <c r="G156" s="20">
        <f t="shared" si="264"/>
        <v>2176.0079999999998</v>
      </c>
      <c r="H156" s="20">
        <f t="shared" si="264"/>
        <v>2765.5690000000004</v>
      </c>
      <c r="I156" s="20">
        <f t="shared" si="264"/>
        <v>3151.0369999999998</v>
      </c>
      <c r="J156" s="20">
        <f ca="1">J147+J153</f>
        <v>3559.3776667425764</v>
      </c>
      <c r="K156" s="20">
        <f t="shared" ca="1" si="264"/>
        <v>4039.267778647185</v>
      </c>
      <c r="L156" s="20">
        <f t="shared" ca="1" si="264"/>
        <v>4756.8262159705218</v>
      </c>
      <c r="M156" s="20">
        <f t="shared" ca="1" si="264"/>
        <v>5514.7523741008645</v>
      </c>
      <c r="N156" s="20">
        <f t="shared" ca="1" si="264"/>
        <v>6316.058961657337</v>
      </c>
      <c r="O156" s="20">
        <f t="shared" ca="1" si="264"/>
        <v>7313.5611215502204</v>
      </c>
      <c r="P156" s="20">
        <f t="shared" ca="1" si="264"/>
        <v>8444.5064277702841</v>
      </c>
      <c r="Q156" s="20">
        <f t="shared" ca="1" si="264"/>
        <v>9738.4607882694618</v>
      </c>
      <c r="R156" s="20">
        <f t="shared" ca="1" si="264"/>
        <v>11227.817982215034</v>
      </c>
      <c r="S156" s="20">
        <f t="shared" ca="1" si="264"/>
        <v>12946.126754808929</v>
      </c>
      <c r="T156" s="20">
        <f t="shared" ca="1" si="264"/>
        <v>14928.818448573664</v>
      </c>
      <c r="U156" s="20">
        <f t="shared" ca="1" si="264"/>
        <v>17216.903757272976</v>
      </c>
      <c r="W156" s="175"/>
      <c r="X156" s="175"/>
    </row>
    <row r="157" spans="2:24 16384:16384" s="18" customFormat="1" ht="11.25" customHeight="1">
      <c r="B157" s="9" t="s">
        <v>249</v>
      </c>
      <c r="C157" s="277"/>
      <c r="D157" s="548">
        <f>'Historical Financials'!AW532/'Historical Financials'!AV532-1</f>
        <v>6.7618843376938909E-2</v>
      </c>
      <c r="E157" s="134">
        <f>(E156/D156)-1</f>
        <v>0.24276378549308775</v>
      </c>
      <c r="F157" s="134">
        <f t="shared" ref="F157" si="265">(F156/E156)-1</f>
        <v>0.14969748196436217</v>
      </c>
      <c r="G157" s="134">
        <f t="shared" ref="G157" si="266">(G156/F156)-1</f>
        <v>0.27777161208264833</v>
      </c>
      <c r="H157" s="134">
        <f t="shared" ref="H157" si="267">(H156/G156)-1</f>
        <v>0.27093696346704643</v>
      </c>
      <c r="I157" s="134">
        <f t="shared" ref="I157" si="268">(I156/H156)-1</f>
        <v>0.13938108215705314</v>
      </c>
      <c r="J157" s="134">
        <f t="shared" ref="J157" ca="1" si="269">(J156/I156)-1</f>
        <v>0.12958929607699843</v>
      </c>
      <c r="K157" s="134">
        <f t="shared" ref="K157" ca="1" si="270">(K156/J156)-1</f>
        <v>0.13482416220917304</v>
      </c>
      <c r="L157" s="134">
        <f t="shared" ref="L157" ca="1" si="271">(L156/K156)-1</f>
        <v>0.17764567160329703</v>
      </c>
      <c r="M157" s="134">
        <f t="shared" ref="M157" ca="1" si="272">(M156/L156)-1</f>
        <v>0.15933442251593899</v>
      </c>
      <c r="N157" s="134">
        <f t="shared" ref="N157" ca="1" si="273">(N156/M156)-1</f>
        <v>0.14530236957142062</v>
      </c>
      <c r="O157" s="134">
        <f t="shared" ref="O157" ca="1" si="274">(O156/N156)-1</f>
        <v>0.15793110323199677</v>
      </c>
      <c r="P157" s="134">
        <f t="shared" ref="P157" ca="1" si="275">(P156/O156)-1</f>
        <v>0.15463674773806257</v>
      </c>
      <c r="Q157" s="134">
        <f t="shared" ref="Q157" ca="1" si="276">(Q156/P156)-1</f>
        <v>0.15323031269701315</v>
      </c>
      <c r="R157" s="134">
        <f t="shared" ref="R157" ca="1" si="277">(R156/Q156)-1</f>
        <v>0.15293558461924395</v>
      </c>
      <c r="S157" s="134">
        <f t="shared" ref="S157" ca="1" si="278">(S156/R156)-1</f>
        <v>0.15304031249132399</v>
      </c>
      <c r="T157" s="134">
        <f t="shared" ref="T157" ca="1" si="279">(T156/S156)-1</f>
        <v>0.15314941150473826</v>
      </c>
      <c r="U157" s="134">
        <f t="shared" ref="U157" ca="1" si="280">(U156/T156)-1</f>
        <v>0.15326633628650765</v>
      </c>
      <c r="W157" s="175"/>
      <c r="X157" s="175"/>
    </row>
    <row r="158" spans="2:24 16384:16384" s="18" customFormat="1" ht="11.25" customHeight="1">
      <c r="B158" s="9" t="s">
        <v>312</v>
      </c>
      <c r="C158" s="277"/>
      <c r="D158" s="487">
        <f>AVERAGE(D156,('Historical Financials'!AW532))</f>
        <v>1156.0029999999999</v>
      </c>
      <c r="E158" s="177">
        <f t="shared" ref="E158:K158" si="281">AVERAGE(D156:E156)</f>
        <v>1336.5605</v>
      </c>
      <c r="F158" s="177">
        <f t="shared" si="281"/>
        <v>1592.1025</v>
      </c>
      <c r="G158" s="177">
        <f t="shared" si="281"/>
        <v>1939.4894999999999</v>
      </c>
      <c r="H158" s="177">
        <f t="shared" si="281"/>
        <v>2470.7885000000001</v>
      </c>
      <c r="I158" s="177">
        <f t="shared" si="281"/>
        <v>2958.3029999999999</v>
      </c>
      <c r="J158" s="177">
        <f t="shared" ca="1" si="281"/>
        <v>3355.2073333712879</v>
      </c>
      <c r="K158" s="177">
        <f t="shared" ca="1" si="281"/>
        <v>3799.3227226948807</v>
      </c>
      <c r="L158" s="177">
        <f t="shared" ref="L158:U158" ca="1" si="282">AVERAGE(K156:L156)</f>
        <v>4398.046997308853</v>
      </c>
      <c r="M158" s="177">
        <f t="shared" ca="1" si="282"/>
        <v>5135.7892950356927</v>
      </c>
      <c r="N158" s="177">
        <f t="shared" ca="1" si="282"/>
        <v>5915.4056678791003</v>
      </c>
      <c r="O158" s="177">
        <f t="shared" ca="1" si="282"/>
        <v>6814.8100416037787</v>
      </c>
      <c r="P158" s="177">
        <f t="shared" ca="1" si="282"/>
        <v>7879.0337746602527</v>
      </c>
      <c r="Q158" s="177">
        <f t="shared" ca="1" si="282"/>
        <v>9091.4836080198729</v>
      </c>
      <c r="R158" s="177">
        <f t="shared" ca="1" si="282"/>
        <v>10483.139385242248</v>
      </c>
      <c r="S158" s="177">
        <f t="shared" ca="1" si="282"/>
        <v>12086.972368511982</v>
      </c>
      <c r="T158" s="177">
        <f t="shared" ca="1" si="282"/>
        <v>13937.472601691297</v>
      </c>
      <c r="U158" s="177">
        <f t="shared" ca="1" si="282"/>
        <v>16072.86110292332</v>
      </c>
      <c r="W158" s="175"/>
      <c r="X158" s="175"/>
      <c r="XFD158" s="56"/>
    </row>
    <row r="159" spans="2:24 16384:16384" s="18" customFormat="1" ht="11.25" customHeight="1">
      <c r="B159" s="30"/>
      <c r="C159" s="277"/>
      <c r="D159" s="106"/>
      <c r="E159" s="106"/>
      <c r="F159" s="106"/>
      <c r="G159" s="106"/>
      <c r="H159" s="106"/>
      <c r="I159" s="106"/>
      <c r="J159" s="106"/>
      <c r="K159" s="106"/>
      <c r="L159" s="106"/>
      <c r="M159" s="106"/>
      <c r="N159" s="106"/>
      <c r="O159" s="106"/>
      <c r="P159" s="106"/>
      <c r="Q159" s="106"/>
      <c r="R159" s="106"/>
      <c r="S159" s="106"/>
      <c r="T159" s="106"/>
      <c r="U159" s="106"/>
      <c r="W159" s="175"/>
      <c r="X159" s="175"/>
    </row>
    <row r="160" spans="2:24 16384:16384" s="18" customFormat="1" ht="11.25" customHeight="1">
      <c r="B160" s="415" t="s">
        <v>546</v>
      </c>
      <c r="C160" s="481"/>
      <c r="D160" s="439">
        <f t="shared" ref="D160:K160" si="283">D141/D158</f>
        <v>0.33185342685096841</v>
      </c>
      <c r="E160" s="439">
        <f t="shared" si="283"/>
        <v>0.27885116161969481</v>
      </c>
      <c r="F160" s="439">
        <f t="shared" si="283"/>
        <v>0.35599706111886642</v>
      </c>
      <c r="G160" s="439">
        <f t="shared" si="283"/>
        <v>0.33512995919802591</v>
      </c>
      <c r="H160" s="439">
        <f t="shared" si="283"/>
        <v>0.45381435602440279</v>
      </c>
      <c r="I160" s="439">
        <f t="shared" si="283"/>
        <v>0.31148465860326002</v>
      </c>
      <c r="J160" s="439">
        <f t="shared" ca="1" si="283"/>
        <v>0.38906200338139924</v>
      </c>
      <c r="K160" s="439">
        <f t="shared" ca="1" si="283"/>
        <v>0.4247972662007975</v>
      </c>
      <c r="L160" s="533">
        <v>0.44</v>
      </c>
      <c r="M160" s="533">
        <f>+L160</f>
        <v>0.44</v>
      </c>
      <c r="N160" s="533">
        <f t="shared" ref="N160:U160" si="284">+M160</f>
        <v>0.44</v>
      </c>
      <c r="O160" s="533">
        <f t="shared" si="284"/>
        <v>0.44</v>
      </c>
      <c r="P160" s="533">
        <f t="shared" si="284"/>
        <v>0.44</v>
      </c>
      <c r="Q160" s="533">
        <f t="shared" si="284"/>
        <v>0.44</v>
      </c>
      <c r="R160" s="533">
        <f t="shared" si="284"/>
        <v>0.44</v>
      </c>
      <c r="S160" s="533">
        <f t="shared" si="284"/>
        <v>0.44</v>
      </c>
      <c r="T160" s="533">
        <f t="shared" si="284"/>
        <v>0.44</v>
      </c>
      <c r="U160" s="533">
        <f t="shared" si="284"/>
        <v>0.44</v>
      </c>
      <c r="W160" s="175"/>
      <c r="X160" s="175"/>
    </row>
    <row r="161" spans="2:24" s="18" customFormat="1" ht="11.25" customHeight="1">
      <c r="B161" s="483" t="s">
        <v>684</v>
      </c>
      <c r="C161" s="277"/>
      <c r="E161" s="68">
        <f>(IF(E158&gt;D158,(E141-D141)/(E158-D158),"n/m"))</f>
        <v>-6.0491029173531184E-2</v>
      </c>
      <c r="F161" s="68">
        <f t="shared" ref="F161:U161" si="285">(IF(F158&gt;E158,(F141-E141)/(F158-E158),"n/m"))</f>
        <v>0.7594930109336232</v>
      </c>
      <c r="G161" s="68">
        <f t="shared" si="285"/>
        <v>0.23949435643820774</v>
      </c>
      <c r="H161" s="68">
        <f t="shared" si="285"/>
        <v>0.88706783750769402</v>
      </c>
      <c r="I161" s="68">
        <f t="shared" si="285"/>
        <v>-0.40986122874294073</v>
      </c>
      <c r="J161" s="68">
        <f t="shared" ca="1" si="285"/>
        <v>0.96728015947927726</v>
      </c>
      <c r="K161" s="68">
        <f t="shared" ca="1" si="285"/>
        <v>0.69477038299417648</v>
      </c>
      <c r="L161" s="68">
        <f t="shared" ca="1" si="285"/>
        <v>0.53647193945432148</v>
      </c>
      <c r="M161" s="68">
        <f t="shared" ca="1" si="285"/>
        <v>0.43999999999999989</v>
      </c>
      <c r="N161" s="68">
        <f t="shared" ca="1" si="285"/>
        <v>0.44000000000000006</v>
      </c>
      <c r="O161" s="68">
        <f t="shared" ca="1" si="285"/>
        <v>0.4399999999999995</v>
      </c>
      <c r="P161" s="68">
        <f t="shared" ca="1" si="285"/>
        <v>0.44</v>
      </c>
      <c r="Q161" s="68">
        <f t="shared" ca="1" si="285"/>
        <v>0.44000000000000045</v>
      </c>
      <c r="R161" s="68">
        <f t="shared" ca="1" si="285"/>
        <v>0.43999999999999995</v>
      </c>
      <c r="S161" s="68">
        <f t="shared" ca="1" si="285"/>
        <v>0.43999999999999978</v>
      </c>
      <c r="T161" s="68">
        <f t="shared" ca="1" si="285"/>
        <v>0.44000000000000017</v>
      </c>
      <c r="U161" s="68">
        <f t="shared" ca="1" si="285"/>
        <v>0.44000000000000017</v>
      </c>
      <c r="W161" s="175"/>
      <c r="X161" s="175"/>
    </row>
    <row r="162" spans="2:24" s="18" customFormat="1" ht="11.25" customHeight="1">
      <c r="B162" s="483"/>
      <c r="C162" s="277"/>
      <c r="E162" s="68"/>
      <c r="F162" s="68"/>
      <c r="G162" s="68"/>
      <c r="H162" s="68"/>
      <c r="I162" s="68"/>
      <c r="J162" s="68"/>
      <c r="K162" s="68"/>
      <c r="L162" s="68"/>
      <c r="M162" s="68"/>
      <c r="N162" s="68"/>
      <c r="O162" s="68"/>
      <c r="P162" s="68"/>
      <c r="Q162" s="68"/>
      <c r="R162" s="68"/>
      <c r="S162" s="68"/>
      <c r="T162" s="68"/>
      <c r="U162" s="68"/>
      <c r="W162" s="175"/>
      <c r="X162" s="175"/>
    </row>
    <row r="163" spans="2:24" s="18" customFormat="1" ht="11.25" customHeight="1">
      <c r="B163" s="447" t="s">
        <v>688</v>
      </c>
      <c r="C163" s="488"/>
      <c r="E163" s="68"/>
      <c r="F163" s="68"/>
      <c r="G163" s="68"/>
      <c r="H163" s="68"/>
      <c r="I163" s="68"/>
      <c r="J163" s="68"/>
      <c r="K163" s="68"/>
      <c r="L163" s="68"/>
      <c r="M163" s="68"/>
      <c r="N163" s="68"/>
      <c r="O163" s="68"/>
      <c r="P163" s="68"/>
      <c r="Q163" s="68"/>
      <c r="R163" s="68"/>
      <c r="S163" s="68"/>
      <c r="T163" s="68"/>
      <c r="U163" s="68"/>
      <c r="W163" s="175"/>
      <c r="X163" s="175"/>
    </row>
    <row r="164" spans="2:24" s="18" customFormat="1" ht="11.25" customHeight="1">
      <c r="B164" s="483"/>
      <c r="C164" s="277"/>
      <c r="E164" s="68"/>
      <c r="F164" s="68"/>
      <c r="G164" s="68"/>
      <c r="H164" s="68"/>
      <c r="I164" s="68"/>
      <c r="J164" s="68"/>
      <c r="K164" s="68"/>
      <c r="L164" s="68"/>
      <c r="M164" s="68"/>
      <c r="N164" s="68"/>
      <c r="O164" s="68"/>
      <c r="P164" s="68"/>
      <c r="Q164" s="68"/>
      <c r="R164" s="68"/>
      <c r="S164" s="68"/>
      <c r="T164" s="68"/>
      <c r="U164" s="68"/>
      <c r="W164" s="175"/>
      <c r="X164" s="175"/>
    </row>
    <row r="165" spans="2:24" s="18" customFormat="1" ht="11.25" customHeight="1">
      <c r="B165" s="449" t="s">
        <v>639</v>
      </c>
      <c r="C165" s="277"/>
      <c r="E165" s="68"/>
      <c r="F165" s="68"/>
      <c r="G165" s="68"/>
      <c r="H165" s="68"/>
      <c r="I165" s="68"/>
      <c r="J165" s="68"/>
      <c r="K165" s="68"/>
      <c r="L165" s="68"/>
      <c r="M165" s="68"/>
      <c r="N165" s="68"/>
      <c r="O165" s="68"/>
      <c r="P165" s="68"/>
      <c r="Q165" s="68"/>
      <c r="R165" s="68"/>
      <c r="S165" s="68"/>
      <c r="T165" s="68"/>
      <c r="U165" s="68"/>
      <c r="W165" s="175"/>
      <c r="X165" s="175"/>
    </row>
    <row r="166" spans="2:24" s="18" customFormat="1" ht="11.25" customHeight="1">
      <c r="B166" s="444" t="s">
        <v>640</v>
      </c>
      <c r="C166" s="277"/>
      <c r="D166" s="473">
        <f>'D&amp;A Build (A)'!L15</f>
        <v>300.02440000000001</v>
      </c>
      <c r="E166" s="473">
        <f>'D&amp;A Build (A)'!M15</f>
        <v>564.28300000000002</v>
      </c>
      <c r="F166" s="473">
        <f>'D&amp;A Build (A)'!N15</f>
        <v>525.72069999999997</v>
      </c>
      <c r="G166" s="473">
        <f>'D&amp;A Build (A)'!O15</f>
        <v>835.4063000000001</v>
      </c>
      <c r="H166" s="473">
        <f>'D&amp;A Build (A)'!P15</f>
        <v>1139.8921</v>
      </c>
      <c r="I166" s="473">
        <f>'D&amp;A Build (A)'!Q15</f>
        <v>897.51880000000006</v>
      </c>
      <c r="J166" s="473">
        <f ca="1">'D&amp;A Build (A)'!R15</f>
        <v>990.18415175882456</v>
      </c>
      <c r="K166" s="473">
        <f ca="1">'D&amp;A Build (A)'!S15</f>
        <v>1243.6496987444702</v>
      </c>
      <c r="L166" s="473">
        <f ca="1">'D&amp;A Build (A)'!T15</f>
        <v>1492.5385520032753</v>
      </c>
      <c r="M166" s="473">
        <f ca="1">'D&amp;A Build (A)'!U15</f>
        <v>1744.5206237112839</v>
      </c>
      <c r="N166" s="473">
        <f ca="1">'D&amp;A Build (A)'!V15</f>
        <v>2011.2082261951823</v>
      </c>
      <c r="O166" s="473">
        <f ca="1">'D&amp;A Build (A)'!W15</f>
        <v>2319.15741017761</v>
      </c>
      <c r="P166" s="473">
        <f ca="1">'D&amp;A Build (A)'!X15</f>
        <v>2683.8224359055253</v>
      </c>
      <c r="Q166" s="473">
        <f ca="1">'D&amp;A Build (A)'!Y15</f>
        <v>3099.704534263753</v>
      </c>
      <c r="R166" s="473">
        <f ca="1">'D&amp;A Build (A)'!Z15</f>
        <v>3577.5194033964626</v>
      </c>
      <c r="S166" s="473">
        <f ca="1">'D&amp;A Build (A)'!AA15</f>
        <v>4128.7030133494436</v>
      </c>
      <c r="T166" s="473">
        <f ca="1">'D&amp;A Build (A)'!AB15</f>
        <v>4765.2533775399806</v>
      </c>
      <c r="U166" s="473">
        <f ca="1">'D&amp;A Build (A)'!AC15</f>
        <v>5500.4902441115364</v>
      </c>
      <c r="W166" s="175"/>
      <c r="X166" s="175"/>
    </row>
    <row r="167" spans="2:24" s="18" customFormat="1" ht="13.5" customHeight="1">
      <c r="B167" s="444" t="s">
        <v>641</v>
      </c>
      <c r="C167" s="277"/>
      <c r="D167" s="472">
        <f>'D&amp;A Build (A)'!L16</f>
        <v>-7.1741999999999999</v>
      </c>
      <c r="E167" s="472">
        <f>'D&amp;A Build (A)'!M16</f>
        <v>-18.5839</v>
      </c>
      <c r="F167" s="472">
        <f>'D&amp;A Build (A)'!N16</f>
        <v>-7.1728999999999994</v>
      </c>
      <c r="G167" s="472">
        <f>'D&amp;A Build (A)'!O16</f>
        <v>-26.566700000000001</v>
      </c>
      <c r="H167" s="472">
        <f>'D&amp;A Build (A)'!P16</f>
        <v>-27.792400000000001</v>
      </c>
      <c r="I167" s="472">
        <f>'D&amp;A Build (A)'!Q16</f>
        <v>-32.436700000000002</v>
      </c>
      <c r="J167" s="472">
        <f>'D&amp;A Build (A)'!R16</f>
        <v>0</v>
      </c>
      <c r="K167" s="472">
        <f>'D&amp;A Build (A)'!S16</f>
        <v>0</v>
      </c>
      <c r="L167" s="472">
        <f>'D&amp;A Build (A)'!T16</f>
        <v>0</v>
      </c>
      <c r="M167" s="472">
        <f>'D&amp;A Build (A)'!U16</f>
        <v>0</v>
      </c>
      <c r="N167" s="472">
        <f>'D&amp;A Build (A)'!V16</f>
        <v>0</v>
      </c>
      <c r="O167" s="472">
        <f>'D&amp;A Build (A)'!W16</f>
        <v>0</v>
      </c>
      <c r="P167" s="472">
        <f>'D&amp;A Build (A)'!X16</f>
        <v>0</v>
      </c>
      <c r="Q167" s="472">
        <f>'D&amp;A Build (A)'!Y16</f>
        <v>0</v>
      </c>
      <c r="R167" s="472">
        <f>'D&amp;A Build (A)'!Z16</f>
        <v>0</v>
      </c>
      <c r="S167" s="472">
        <f>'D&amp;A Build (A)'!AA16</f>
        <v>0</v>
      </c>
      <c r="T167" s="472">
        <f>'D&amp;A Build (A)'!AB16</f>
        <v>0</v>
      </c>
      <c r="U167" s="472">
        <f>'D&amp;A Build (A)'!AC16</f>
        <v>0</v>
      </c>
      <c r="W167" s="175"/>
      <c r="X167" s="175"/>
    </row>
    <row r="168" spans="2:24" s="18" customFormat="1" ht="11.25" customHeight="1">
      <c r="B168" s="455" t="s">
        <v>642</v>
      </c>
      <c r="C168" s="277"/>
      <c r="D168" s="456">
        <f>SUM(D166:D167)</f>
        <v>292.85020000000003</v>
      </c>
      <c r="E168" s="456">
        <f t="shared" ref="E168:U168" si="286">SUM(E166:E167)</f>
        <v>545.69910000000004</v>
      </c>
      <c r="F168" s="456">
        <f t="shared" si="286"/>
        <v>518.54779999999994</v>
      </c>
      <c r="G168" s="456">
        <f t="shared" si="286"/>
        <v>808.83960000000013</v>
      </c>
      <c r="H168" s="456">
        <f t="shared" si="286"/>
        <v>1112.0997</v>
      </c>
      <c r="I168" s="456">
        <f t="shared" si="286"/>
        <v>865.08210000000008</v>
      </c>
      <c r="J168" s="456">
        <f t="shared" ca="1" si="286"/>
        <v>990.18415175882456</v>
      </c>
      <c r="K168" s="456">
        <f t="shared" ca="1" si="286"/>
        <v>1243.6496987444702</v>
      </c>
      <c r="L168" s="456">
        <f t="shared" ca="1" si="286"/>
        <v>1492.5385520032753</v>
      </c>
      <c r="M168" s="456">
        <f t="shared" ca="1" si="286"/>
        <v>1744.5206237112839</v>
      </c>
      <c r="N168" s="456">
        <f t="shared" ca="1" si="286"/>
        <v>2011.2082261951823</v>
      </c>
      <c r="O168" s="456">
        <f t="shared" ca="1" si="286"/>
        <v>2319.15741017761</v>
      </c>
      <c r="P168" s="456">
        <f t="shared" ca="1" si="286"/>
        <v>2683.8224359055253</v>
      </c>
      <c r="Q168" s="456">
        <f t="shared" ca="1" si="286"/>
        <v>3099.704534263753</v>
      </c>
      <c r="R168" s="456">
        <f t="shared" ca="1" si="286"/>
        <v>3577.5194033964626</v>
      </c>
      <c r="S168" s="456">
        <f t="shared" ca="1" si="286"/>
        <v>4128.7030133494436</v>
      </c>
      <c r="T168" s="456">
        <f t="shared" ca="1" si="286"/>
        <v>4765.2533775399806</v>
      </c>
      <c r="U168" s="456">
        <f t="shared" ca="1" si="286"/>
        <v>5500.4902441115364</v>
      </c>
      <c r="W168" s="175"/>
      <c r="X168" s="175"/>
    </row>
    <row r="169" spans="2:24" s="18" customFormat="1" ht="13.5" customHeight="1">
      <c r="B169" s="444" t="s">
        <v>643</v>
      </c>
      <c r="C169" s="277"/>
      <c r="D169" s="472">
        <f>'D&amp;A Build (A)'!L18</f>
        <v>-6.271899999999448</v>
      </c>
      <c r="E169" s="472">
        <f>'D&amp;A Build (A)'!M18</f>
        <v>-362.24640000000022</v>
      </c>
      <c r="F169" s="472">
        <f>'D&amp;A Build (A)'!N18</f>
        <v>300.45859999999936</v>
      </c>
      <c r="G169" s="472">
        <f>'D&amp;A Build (A)'!O18</f>
        <v>-369.65419999999892</v>
      </c>
      <c r="H169" s="472">
        <f>'D&amp;A Build (A)'!P18</f>
        <v>-731.58340000000067</v>
      </c>
      <c r="I169" s="472">
        <f>'D&amp;A Build (A)'!Q18</f>
        <v>419.5340999999994</v>
      </c>
      <c r="J169" s="472">
        <f ca="1">'D&amp;A Build (A)'!R18</f>
        <v>-99.018415175882467</v>
      </c>
      <c r="K169" s="472">
        <f ca="1">'D&amp;A Build (A)'!S18</f>
        <v>-124.36496987444703</v>
      </c>
      <c r="L169" s="472">
        <f ca="1">'D&amp;A Build (A)'!T18</f>
        <v>-149.25385520032754</v>
      </c>
      <c r="M169" s="472">
        <f ca="1">'D&amp;A Build (A)'!U18</f>
        <v>-174.45206237112839</v>
      </c>
      <c r="N169" s="472">
        <f ca="1">'D&amp;A Build (A)'!V18</f>
        <v>-201.12082261951824</v>
      </c>
      <c r="O169" s="472">
        <f ca="1">'D&amp;A Build (A)'!W18</f>
        <v>-231.91574101776101</v>
      </c>
      <c r="P169" s="472">
        <f ca="1">'D&amp;A Build (A)'!X18</f>
        <v>-268.38224359055255</v>
      </c>
      <c r="Q169" s="472">
        <f ca="1">'D&amp;A Build (A)'!Y18</f>
        <v>-309.97045342637534</v>
      </c>
      <c r="R169" s="472">
        <f ca="1">'D&amp;A Build (A)'!Z18</f>
        <v>-357.7519403396463</v>
      </c>
      <c r="S169" s="472">
        <f ca="1">'D&amp;A Build (A)'!AA18</f>
        <v>-412.87030133494437</v>
      </c>
      <c r="T169" s="472">
        <f ca="1">'D&amp;A Build (A)'!AB18</f>
        <v>-476.52533775399809</v>
      </c>
      <c r="U169" s="472">
        <f ca="1">'D&amp;A Build (A)'!AC18</f>
        <v>-550.04902441115371</v>
      </c>
      <c r="W169" s="175"/>
      <c r="X169" s="175"/>
    </row>
    <row r="170" spans="2:24" s="18" customFormat="1" ht="11.25" customHeight="1">
      <c r="B170" s="455" t="s">
        <v>639</v>
      </c>
      <c r="C170" s="277"/>
      <c r="D170" s="456">
        <f>SUM(D168:D169)</f>
        <v>286.57830000000058</v>
      </c>
      <c r="E170" s="456">
        <f t="shared" ref="E170:U170" si="287">SUM(E168:E169)</f>
        <v>183.45269999999982</v>
      </c>
      <c r="F170" s="456">
        <f t="shared" si="287"/>
        <v>819.0063999999993</v>
      </c>
      <c r="G170" s="456">
        <f t="shared" si="287"/>
        <v>439.18540000000121</v>
      </c>
      <c r="H170" s="456">
        <f t="shared" si="287"/>
        <v>380.51629999999932</v>
      </c>
      <c r="I170" s="456">
        <f t="shared" si="287"/>
        <v>1284.6161999999995</v>
      </c>
      <c r="J170" s="456">
        <f t="shared" ca="1" si="287"/>
        <v>891.16573658294215</v>
      </c>
      <c r="K170" s="456">
        <f t="shared" ca="1" si="287"/>
        <v>1119.2847288700232</v>
      </c>
      <c r="L170" s="456">
        <f t="shared" ca="1" si="287"/>
        <v>1343.2846968029478</v>
      </c>
      <c r="M170" s="456">
        <f t="shared" ca="1" si="287"/>
        <v>1570.0685613401554</v>
      </c>
      <c r="N170" s="456">
        <f t="shared" ca="1" si="287"/>
        <v>1810.087403575664</v>
      </c>
      <c r="O170" s="456">
        <f t="shared" ca="1" si="287"/>
        <v>2087.2416691598492</v>
      </c>
      <c r="P170" s="456">
        <f t="shared" ca="1" si="287"/>
        <v>2415.4401923149726</v>
      </c>
      <c r="Q170" s="456">
        <f t="shared" ca="1" si="287"/>
        <v>2789.7340808373774</v>
      </c>
      <c r="R170" s="456">
        <f t="shared" ca="1" si="287"/>
        <v>3219.7674630568163</v>
      </c>
      <c r="S170" s="456">
        <f t="shared" ca="1" si="287"/>
        <v>3715.8327120144991</v>
      </c>
      <c r="T170" s="456">
        <f t="shared" ca="1" si="287"/>
        <v>4288.7280397859822</v>
      </c>
      <c r="U170" s="456">
        <f t="shared" ca="1" si="287"/>
        <v>4950.441219700383</v>
      </c>
      <c r="W170" s="175"/>
      <c r="X170" s="175"/>
    </row>
    <row r="171" spans="2:24" s="18" customFormat="1" ht="11.25" customHeight="1">
      <c r="B171" s="444"/>
      <c r="C171" s="277"/>
      <c r="E171" s="68"/>
      <c r="F171" s="68"/>
      <c r="G171" s="68"/>
      <c r="H171" s="68"/>
      <c r="I171" s="68"/>
      <c r="J171" s="68"/>
      <c r="K171" s="68"/>
      <c r="L171" s="68"/>
      <c r="M171" s="68"/>
      <c r="N171" s="68"/>
      <c r="O171" s="68"/>
      <c r="P171" s="68"/>
      <c r="Q171" s="68"/>
      <c r="R171" s="68"/>
      <c r="S171" s="68"/>
      <c r="T171" s="68"/>
      <c r="U171" s="68"/>
      <c r="W171" s="175"/>
      <c r="X171" s="175"/>
    </row>
    <row r="172" spans="2:24" s="18" customFormat="1" ht="11.25" customHeight="1">
      <c r="B172" s="440" t="s">
        <v>692</v>
      </c>
      <c r="C172" s="493"/>
      <c r="D172" s="494">
        <f>'D&amp;A Build (A)'!J11</f>
        <v>5.45</v>
      </c>
      <c r="E172" s="484"/>
      <c r="F172" s="68"/>
      <c r="G172" s="68"/>
      <c r="H172" s="68"/>
      <c r="I172" s="68"/>
      <c r="J172" s="68"/>
      <c r="K172" s="68"/>
      <c r="L172" s="68"/>
      <c r="M172" s="68"/>
      <c r="N172" s="68"/>
      <c r="O172" s="68"/>
      <c r="P172" s="68"/>
      <c r="Q172" s="68"/>
      <c r="R172" s="68"/>
      <c r="S172" s="68"/>
      <c r="T172" s="68"/>
      <c r="U172" s="68"/>
      <c r="W172" s="175"/>
      <c r="X172" s="175"/>
    </row>
    <row r="173" spans="2:24" s="18" customFormat="1" ht="11.25" customHeight="1">
      <c r="B173" s="444"/>
      <c r="C173" s="277"/>
      <c r="E173" s="68"/>
      <c r="F173" s="68"/>
      <c r="G173" s="68"/>
      <c r="H173" s="68"/>
      <c r="I173" s="68"/>
      <c r="J173" s="68"/>
      <c r="K173" s="68"/>
      <c r="L173" s="68"/>
      <c r="M173" s="68"/>
      <c r="N173" s="68"/>
      <c r="O173" s="68"/>
      <c r="P173" s="68"/>
      <c r="Q173" s="68"/>
      <c r="R173" s="68"/>
      <c r="S173" s="68"/>
      <c r="T173" s="68"/>
      <c r="U173" s="68"/>
      <c r="W173" s="175"/>
      <c r="X173" s="175"/>
    </row>
    <row r="174" spans="2:24" s="18" customFormat="1" ht="11.25" customHeight="1">
      <c r="B174" s="449" t="s">
        <v>644</v>
      </c>
      <c r="C174" s="277"/>
      <c r="E174" s="68"/>
      <c r="F174" s="68"/>
      <c r="G174" s="68"/>
      <c r="H174" s="68"/>
      <c r="I174" s="68"/>
      <c r="J174" s="68"/>
      <c r="K174" s="68"/>
      <c r="L174" s="68"/>
      <c r="M174" s="68"/>
      <c r="N174" s="68"/>
      <c r="O174" s="68"/>
      <c r="P174" s="68"/>
      <c r="Q174" s="68"/>
      <c r="R174" s="68"/>
      <c r="S174" s="68"/>
      <c r="T174" s="68"/>
      <c r="U174" s="68"/>
      <c r="W174" s="175"/>
      <c r="X174" s="175"/>
    </row>
    <row r="175" spans="2:24" s="18" customFormat="1" ht="11.25" customHeight="1">
      <c r="B175" s="444" t="s">
        <v>1</v>
      </c>
      <c r="C175" s="277"/>
      <c r="D175" s="473">
        <f>('D&amp;A Build (A)'!L29/1000)*1000</f>
        <v>26.291587155963356</v>
      </c>
      <c r="E175" s="473">
        <f>('D&amp;A Build (A)'!M29/1000)*1000</f>
        <v>52.583174311926712</v>
      </c>
      <c r="F175" s="473">
        <f>('D&amp;A Build (A)'!N29/1000)*1000</f>
        <v>52.583174311926712</v>
      </c>
      <c r="G175" s="473">
        <f>('D&amp;A Build (A)'!O29/1000)*1000</f>
        <v>52.583174311926712</v>
      </c>
      <c r="H175" s="473">
        <f>('D&amp;A Build (A)'!P29/1000)*1000</f>
        <v>52.583174311926712</v>
      </c>
      <c r="I175" s="473">
        <f>('D&amp;A Build (A)'!Q29/1000)*1000</f>
        <v>49.954015596330379</v>
      </c>
      <c r="J175" s="473">
        <f>('D&amp;A Build (A)'!R29/1000)*1000</f>
        <v>0</v>
      </c>
      <c r="K175" s="473">
        <f>('D&amp;A Build (A)'!S29/1000)*1000</f>
        <v>0</v>
      </c>
      <c r="L175" s="473">
        <f>('D&amp;A Build (A)'!T29/1000)*1000</f>
        <v>0</v>
      </c>
      <c r="M175" s="473">
        <f>('D&amp;A Build (A)'!U29/1000)*1000</f>
        <v>0</v>
      </c>
      <c r="N175" s="473">
        <f>('D&amp;A Build (A)'!V29/1000)*1000</f>
        <v>0</v>
      </c>
      <c r="O175" s="473">
        <f>('D&amp;A Build (A)'!W29/1000)*1000</f>
        <v>0</v>
      </c>
      <c r="P175" s="473">
        <f>('D&amp;A Build (A)'!X29/1000)*1000</f>
        <v>0</v>
      </c>
      <c r="Q175" s="473">
        <f>('D&amp;A Build (A)'!Y29/1000)*1000</f>
        <v>0</v>
      </c>
      <c r="R175" s="473">
        <f>('D&amp;A Build (A)'!Z29/1000)*1000</f>
        <v>0</v>
      </c>
      <c r="S175" s="473">
        <f>('D&amp;A Build (A)'!AA29/1000)*1000</f>
        <v>0</v>
      </c>
      <c r="T175" s="473">
        <f>('D&amp;A Build (A)'!AB29/1000)*1000</f>
        <v>0</v>
      </c>
      <c r="U175" s="473">
        <f>('D&amp;A Build (A)'!AC29/1000)*1000</f>
        <v>0</v>
      </c>
      <c r="W175" s="175"/>
      <c r="X175" s="175"/>
    </row>
    <row r="176" spans="2:24" s="18" customFormat="1" ht="11.25" customHeight="1">
      <c r="B176" s="444" t="s">
        <v>2</v>
      </c>
      <c r="C176" s="277"/>
      <c r="D176" s="473">
        <f>('D&amp;A Build (A)'!L30/1000)*1000</f>
        <v>0</v>
      </c>
      <c r="E176" s="473">
        <f>('D&amp;A Build (A)'!M30/1000)*1000</f>
        <v>16.830522935779801</v>
      </c>
      <c r="F176" s="473">
        <f>('D&amp;A Build (A)'!N30/1000)*1000</f>
        <v>33.661045871559601</v>
      </c>
      <c r="G176" s="473">
        <f>('D&amp;A Build (A)'!O30/1000)*1000</f>
        <v>33.661045871559601</v>
      </c>
      <c r="H176" s="473">
        <f>('D&amp;A Build (A)'!P30/1000)*1000</f>
        <v>33.661045871559601</v>
      </c>
      <c r="I176" s="473">
        <f>('D&amp;A Build (A)'!Q30/1000)*1000</f>
        <v>33.661045871559601</v>
      </c>
      <c r="J176" s="473">
        <f>('D&amp;A Build (A)'!R30/1000)*1000</f>
        <v>31.977993577981639</v>
      </c>
      <c r="K176" s="473">
        <f>('D&amp;A Build (A)'!S30/1000)*1000</f>
        <v>0</v>
      </c>
      <c r="L176" s="473">
        <f>('D&amp;A Build (A)'!T30/1000)*1000</f>
        <v>0</v>
      </c>
      <c r="M176" s="473">
        <f>('D&amp;A Build (A)'!U30/1000)*1000</f>
        <v>0</v>
      </c>
      <c r="N176" s="473">
        <f>('D&amp;A Build (A)'!V30/1000)*1000</f>
        <v>0</v>
      </c>
      <c r="O176" s="473">
        <f>('D&amp;A Build (A)'!W30/1000)*1000</f>
        <v>0</v>
      </c>
      <c r="P176" s="473">
        <f>('D&amp;A Build (A)'!X30/1000)*1000</f>
        <v>0</v>
      </c>
      <c r="Q176" s="473">
        <f>('D&amp;A Build (A)'!Y30/1000)*1000</f>
        <v>0</v>
      </c>
      <c r="R176" s="473">
        <f>('D&amp;A Build (A)'!Z30/1000)*1000</f>
        <v>0</v>
      </c>
      <c r="S176" s="473">
        <f>('D&amp;A Build (A)'!AA30/1000)*1000</f>
        <v>0</v>
      </c>
      <c r="T176" s="473">
        <f>('D&amp;A Build (A)'!AB30/1000)*1000</f>
        <v>0</v>
      </c>
      <c r="U176" s="473">
        <f>('D&amp;A Build (A)'!AC30/1000)*1000</f>
        <v>0</v>
      </c>
      <c r="W176" s="175"/>
      <c r="X176" s="175"/>
    </row>
    <row r="177" spans="2:24" s="18" customFormat="1" ht="11.25" customHeight="1">
      <c r="B177" s="444" t="s">
        <v>3</v>
      </c>
      <c r="C177" s="277"/>
      <c r="D177" s="473">
        <f>('D&amp;A Build (A)'!L31/1000)*1000</f>
        <v>0</v>
      </c>
      <c r="E177" s="473">
        <f>('D&amp;A Build (A)'!M31/1000)*1000</f>
        <v>0</v>
      </c>
      <c r="F177" s="473">
        <f>('D&amp;A Build (A)'!N31/1000)*1000</f>
        <v>75.138201834862315</v>
      </c>
      <c r="G177" s="473">
        <f>('D&amp;A Build (A)'!O31/1000)*1000</f>
        <v>150.27640366972463</v>
      </c>
      <c r="H177" s="473">
        <f>('D&amp;A Build (A)'!P31/1000)*1000</f>
        <v>150.27640366972463</v>
      </c>
      <c r="I177" s="473">
        <f>('D&amp;A Build (A)'!Q31/1000)*1000</f>
        <v>150.27640366972463</v>
      </c>
      <c r="J177" s="473">
        <f>('D&amp;A Build (A)'!R31/1000)*1000</f>
        <v>150.27640366972463</v>
      </c>
      <c r="K177" s="473">
        <f>('D&amp;A Build (A)'!S31/1000)*1000</f>
        <v>142.76258348623833</v>
      </c>
      <c r="L177" s="473">
        <f>('D&amp;A Build (A)'!T31/1000)*1000</f>
        <v>0</v>
      </c>
      <c r="M177" s="473">
        <f>('D&amp;A Build (A)'!U31/1000)*1000</f>
        <v>0</v>
      </c>
      <c r="N177" s="473">
        <f>('D&amp;A Build (A)'!V31/1000)*1000</f>
        <v>0</v>
      </c>
      <c r="O177" s="473">
        <f>('D&amp;A Build (A)'!W31/1000)*1000</f>
        <v>0</v>
      </c>
      <c r="P177" s="473">
        <f>('D&amp;A Build (A)'!X31/1000)*1000</f>
        <v>0</v>
      </c>
      <c r="Q177" s="473">
        <f>('D&amp;A Build (A)'!Y31/1000)*1000</f>
        <v>0</v>
      </c>
      <c r="R177" s="473">
        <f>('D&amp;A Build (A)'!Z31/1000)*1000</f>
        <v>0</v>
      </c>
      <c r="S177" s="473">
        <f>('D&amp;A Build (A)'!AA31/1000)*1000</f>
        <v>0</v>
      </c>
      <c r="T177" s="473">
        <f>('D&amp;A Build (A)'!AB31/1000)*1000</f>
        <v>0</v>
      </c>
      <c r="U177" s="473">
        <f>('D&amp;A Build (A)'!AC31/1000)*1000</f>
        <v>0</v>
      </c>
      <c r="W177" s="175"/>
      <c r="X177" s="175"/>
    </row>
    <row r="178" spans="2:24" s="18" customFormat="1" ht="11.25" customHeight="1">
      <c r="B178" s="444" t="s">
        <v>4</v>
      </c>
      <c r="C178" s="277"/>
      <c r="D178" s="473">
        <f>('D&amp;A Build (A)'!L32/1000)*1000</f>
        <v>0</v>
      </c>
      <c r="E178" s="473">
        <f>('D&amp;A Build (A)'!M32/1000)*1000</f>
        <v>0</v>
      </c>
      <c r="F178" s="473">
        <f>('D&amp;A Build (A)'!N32/1000)*1000</f>
        <v>0</v>
      </c>
      <c r="G178" s="473">
        <f>('D&amp;A Build (A)'!O32/1000)*1000</f>
        <v>40.292238532110204</v>
      </c>
      <c r="H178" s="473">
        <f>('D&amp;A Build (A)'!P32/1000)*1000</f>
        <v>80.584477064220408</v>
      </c>
      <c r="I178" s="473">
        <f>('D&amp;A Build (A)'!Q32/1000)*1000</f>
        <v>80.584477064220408</v>
      </c>
      <c r="J178" s="473">
        <f>('D&amp;A Build (A)'!R32/1000)*1000</f>
        <v>80.584477064220408</v>
      </c>
      <c r="K178" s="473">
        <f>('D&amp;A Build (A)'!S32/1000)*1000</f>
        <v>80.584477064220408</v>
      </c>
      <c r="L178" s="473">
        <f>('D&amp;A Build (A)'!T32/1000)*1000</f>
        <v>76.555253211009358</v>
      </c>
      <c r="M178" s="473">
        <f>('D&amp;A Build (A)'!U32/1000)*1000</f>
        <v>0</v>
      </c>
      <c r="N178" s="473">
        <f>('D&amp;A Build (A)'!V32/1000)*1000</f>
        <v>0</v>
      </c>
      <c r="O178" s="473">
        <f>('D&amp;A Build (A)'!W32/1000)*1000</f>
        <v>0</v>
      </c>
      <c r="P178" s="473">
        <f>('D&amp;A Build (A)'!X32/1000)*1000</f>
        <v>0</v>
      </c>
      <c r="Q178" s="473">
        <f>('D&amp;A Build (A)'!Y32/1000)*1000</f>
        <v>0</v>
      </c>
      <c r="R178" s="473">
        <f>('D&amp;A Build (A)'!Z32/1000)*1000</f>
        <v>0</v>
      </c>
      <c r="S178" s="473">
        <f>('D&amp;A Build (A)'!AA32/1000)*1000</f>
        <v>0</v>
      </c>
      <c r="T178" s="473">
        <f>('D&amp;A Build (A)'!AB32/1000)*1000</f>
        <v>0</v>
      </c>
      <c r="U178" s="473">
        <f>('D&amp;A Build (A)'!AC32/1000)*1000</f>
        <v>0</v>
      </c>
      <c r="W178" s="175"/>
      <c r="X178" s="175"/>
    </row>
    <row r="179" spans="2:24" s="18" customFormat="1" ht="11.25" customHeight="1">
      <c r="B179" s="444" t="s">
        <v>5</v>
      </c>
      <c r="C179" s="277"/>
      <c r="D179" s="473">
        <f>('D&amp;A Build (A)'!L33/1000)*1000</f>
        <v>0</v>
      </c>
      <c r="E179" s="473">
        <f>('D&amp;A Build (A)'!M33/1000)*1000</f>
        <v>0</v>
      </c>
      <c r="F179" s="473">
        <f>('D&amp;A Build (A)'!N33/1000)*1000</f>
        <v>0</v>
      </c>
      <c r="G179" s="473">
        <f>('D&amp;A Build (A)'!O33/1000)*1000</f>
        <v>0</v>
      </c>
      <c r="H179" s="473">
        <f>('D&amp;A Build (A)'!P33/1000)*1000</f>
        <v>34.909752293577917</v>
      </c>
      <c r="I179" s="473">
        <f>('D&amp;A Build (A)'!Q33/1000)*1000</f>
        <v>69.819504587155834</v>
      </c>
      <c r="J179" s="473">
        <f>('D&amp;A Build (A)'!R33/1000)*1000</f>
        <v>69.819504587155834</v>
      </c>
      <c r="K179" s="473">
        <f>('D&amp;A Build (A)'!S33/1000)*1000</f>
        <v>69.819504587155834</v>
      </c>
      <c r="L179" s="473">
        <f>('D&amp;A Build (A)'!T33/1000)*1000</f>
        <v>69.819504587155834</v>
      </c>
      <c r="M179" s="473">
        <f>('D&amp;A Build (A)'!U33/1000)*1000</f>
        <v>66.328529357798061</v>
      </c>
      <c r="N179" s="473">
        <f>('D&amp;A Build (A)'!V33/1000)*1000</f>
        <v>0</v>
      </c>
      <c r="O179" s="473">
        <f>('D&amp;A Build (A)'!W33/1000)*1000</f>
        <v>0</v>
      </c>
      <c r="P179" s="473">
        <f>('D&amp;A Build (A)'!X33/1000)*1000</f>
        <v>0</v>
      </c>
      <c r="Q179" s="473">
        <f>('D&amp;A Build (A)'!Y33/1000)*1000</f>
        <v>0</v>
      </c>
      <c r="R179" s="473">
        <f>('D&amp;A Build (A)'!Z33/1000)*1000</f>
        <v>0</v>
      </c>
      <c r="S179" s="473">
        <f>('D&amp;A Build (A)'!AA33/1000)*1000</f>
        <v>0</v>
      </c>
      <c r="T179" s="473">
        <f>('D&amp;A Build (A)'!AB33/1000)*1000</f>
        <v>0</v>
      </c>
      <c r="U179" s="473">
        <f>('D&amp;A Build (A)'!AC33/1000)*1000</f>
        <v>0</v>
      </c>
      <c r="W179" s="175"/>
      <c r="X179" s="175"/>
    </row>
    <row r="180" spans="2:24" s="18" customFormat="1" ht="11.25" customHeight="1">
      <c r="B180" s="444" t="s">
        <v>68</v>
      </c>
      <c r="C180" s="277"/>
      <c r="D180" s="473">
        <f>('D&amp;A Build (A)'!L34/1000)*1000</f>
        <v>0</v>
      </c>
      <c r="E180" s="473">
        <f>('D&amp;A Build (A)'!M34/1000)*1000</f>
        <v>0</v>
      </c>
      <c r="F180" s="473">
        <f>('D&amp;A Build (A)'!N34/1000)*1000</f>
        <v>0</v>
      </c>
      <c r="G180" s="473">
        <f>('D&amp;A Build (A)'!O34/1000)*1000</f>
        <v>0</v>
      </c>
      <c r="H180" s="473">
        <f>('D&amp;A Build (A)'!P34/1000)*1000</f>
        <v>0</v>
      </c>
      <c r="I180" s="473">
        <f>('D&amp;A Build (A)'!Q34/1000)*1000</f>
        <v>117.85469724770637</v>
      </c>
      <c r="J180" s="473">
        <f>('D&amp;A Build (A)'!R34/1000)*1000</f>
        <v>235.70939449541274</v>
      </c>
      <c r="K180" s="473">
        <f>('D&amp;A Build (A)'!S34/1000)*1000</f>
        <v>235.70939449541274</v>
      </c>
      <c r="L180" s="473">
        <f>('D&amp;A Build (A)'!T34/1000)*1000</f>
        <v>235.70939449541274</v>
      </c>
      <c r="M180" s="473">
        <f>('D&amp;A Build (A)'!U34/1000)*1000</f>
        <v>235.70939449541274</v>
      </c>
      <c r="N180" s="473">
        <f>('D&amp;A Build (A)'!V34/1000)*1000</f>
        <v>223.92392477064209</v>
      </c>
      <c r="O180" s="473">
        <f>('D&amp;A Build (A)'!W34/1000)*1000</f>
        <v>0</v>
      </c>
      <c r="P180" s="473">
        <f>('D&amp;A Build (A)'!X34/1000)*1000</f>
        <v>0</v>
      </c>
      <c r="Q180" s="473">
        <f>('D&amp;A Build (A)'!Y34/1000)*1000</f>
        <v>0</v>
      </c>
      <c r="R180" s="473">
        <f>('D&amp;A Build (A)'!Z34/1000)*1000</f>
        <v>0</v>
      </c>
      <c r="S180" s="473">
        <f>('D&amp;A Build (A)'!AA34/1000)*1000</f>
        <v>0</v>
      </c>
      <c r="T180" s="473">
        <f>('D&amp;A Build (A)'!AB34/1000)*1000</f>
        <v>0</v>
      </c>
      <c r="U180" s="473">
        <f>('D&amp;A Build (A)'!AC34/1000)*1000</f>
        <v>0</v>
      </c>
      <c r="W180" s="175"/>
      <c r="X180" s="175"/>
    </row>
    <row r="181" spans="2:24" s="18" customFormat="1" ht="11.25" customHeight="1">
      <c r="B181" s="444" t="s">
        <v>6</v>
      </c>
      <c r="C181" s="277"/>
      <c r="D181" s="473">
        <f>('D&amp;A Build (A)'!L35/1000)*1000</f>
        <v>0</v>
      </c>
      <c r="E181" s="473">
        <f>('D&amp;A Build (A)'!M35/1000)*1000</f>
        <v>0</v>
      </c>
      <c r="F181" s="473">
        <f>('D&amp;A Build (A)'!N35/1000)*1000</f>
        <v>0</v>
      </c>
      <c r="G181" s="473">
        <f>('D&amp;A Build (A)'!O35/1000)*1000</f>
        <v>0</v>
      </c>
      <c r="H181" s="473">
        <f>('D&amp;A Build (A)'!P35/1000)*1000</f>
        <v>0</v>
      </c>
      <c r="I181" s="473">
        <f>('D&amp;A Build (A)'!Q35/1000)*1000</f>
        <v>0</v>
      </c>
      <c r="J181" s="473">
        <f ca="1">('D&amp;A Build (A)'!R35/1000)*1000</f>
        <v>81.75832445715065</v>
      </c>
      <c r="K181" s="473">
        <f ca="1">('D&amp;A Build (A)'!S35/1000)*1000</f>
        <v>163.5166489143013</v>
      </c>
      <c r="L181" s="473">
        <f ca="1">('D&amp;A Build (A)'!T35/1000)*1000</f>
        <v>163.5166489143013</v>
      </c>
      <c r="M181" s="473">
        <f ca="1">('D&amp;A Build (A)'!U35/1000)*1000</f>
        <v>163.5166489143013</v>
      </c>
      <c r="N181" s="473">
        <f ca="1">('D&amp;A Build (A)'!V35/1000)*1000</f>
        <v>163.5166489143013</v>
      </c>
      <c r="O181" s="473">
        <f ca="1">('D&amp;A Build (A)'!W35/1000)*1000</f>
        <v>155.34081646858624</v>
      </c>
      <c r="P181" s="473">
        <f ca="1">('D&amp;A Build (A)'!X35/1000)*1000</f>
        <v>0</v>
      </c>
      <c r="Q181" s="473">
        <f ca="1">('D&amp;A Build (A)'!Y35/1000)*1000</f>
        <v>0</v>
      </c>
      <c r="R181" s="473">
        <f ca="1">('D&amp;A Build (A)'!Z35/1000)*1000</f>
        <v>0</v>
      </c>
      <c r="S181" s="473">
        <f ca="1">('D&amp;A Build (A)'!AA35/1000)*1000</f>
        <v>0</v>
      </c>
      <c r="T181" s="473">
        <f ca="1">('D&amp;A Build (A)'!AB35/1000)*1000</f>
        <v>0</v>
      </c>
      <c r="U181" s="473">
        <f ca="1">('D&amp;A Build (A)'!AC35/1000)*1000</f>
        <v>0</v>
      </c>
      <c r="W181" s="175"/>
      <c r="X181" s="175"/>
    </row>
    <row r="182" spans="2:24" s="18" customFormat="1" ht="11.25" customHeight="1">
      <c r="B182" s="444" t="s">
        <v>22</v>
      </c>
      <c r="C182" s="277"/>
      <c r="D182" s="473">
        <f>('D&amp;A Build (A)'!L36/1000)*1000</f>
        <v>0</v>
      </c>
      <c r="E182" s="473">
        <f>('D&amp;A Build (A)'!M36/1000)*1000</f>
        <v>0</v>
      </c>
      <c r="F182" s="473">
        <f>('D&amp;A Build (A)'!N36/1000)*1000</f>
        <v>0</v>
      </c>
      <c r="G182" s="473">
        <f>('D&amp;A Build (A)'!O36/1000)*1000</f>
        <v>0</v>
      </c>
      <c r="H182" s="473">
        <f>('D&amp;A Build (A)'!P36/1000)*1000</f>
        <v>0</v>
      </c>
      <c r="I182" s="473">
        <f>('D&amp;A Build (A)'!Q36/1000)*1000</f>
        <v>0</v>
      </c>
      <c r="J182" s="473">
        <f>('D&amp;A Build (A)'!R36/1000)*1000</f>
        <v>0</v>
      </c>
      <c r="K182" s="473">
        <f ca="1">('D&amp;A Build (A)'!S36/1000)*1000</f>
        <v>102.68667237339662</v>
      </c>
      <c r="L182" s="473">
        <f ca="1">('D&amp;A Build (A)'!T36/1000)*1000</f>
        <v>205.37334474679324</v>
      </c>
      <c r="M182" s="473">
        <f ca="1">('D&amp;A Build (A)'!U36/1000)*1000</f>
        <v>205.37334474679324</v>
      </c>
      <c r="N182" s="473">
        <f ca="1">('D&amp;A Build (A)'!V36/1000)*1000</f>
        <v>205.37334474679324</v>
      </c>
      <c r="O182" s="473">
        <f ca="1">('D&amp;A Build (A)'!W36/1000)*1000</f>
        <v>205.37334474679324</v>
      </c>
      <c r="P182" s="473">
        <f ca="1">('D&amp;A Build (A)'!X36/1000)*1000</f>
        <v>195.10467750945361</v>
      </c>
      <c r="Q182" s="473">
        <f ca="1">('D&amp;A Build (A)'!Y36/1000)*1000</f>
        <v>0</v>
      </c>
      <c r="R182" s="473">
        <f ca="1">('D&amp;A Build (A)'!Z36/1000)*1000</f>
        <v>0</v>
      </c>
      <c r="S182" s="473">
        <f ca="1">('D&amp;A Build (A)'!AA36/1000)*1000</f>
        <v>0</v>
      </c>
      <c r="T182" s="473">
        <f ca="1">('D&amp;A Build (A)'!AB36/1000)*1000</f>
        <v>0</v>
      </c>
      <c r="U182" s="473">
        <f ca="1">('D&amp;A Build (A)'!AC36/1000)*1000</f>
        <v>0</v>
      </c>
      <c r="W182" s="175"/>
      <c r="X182" s="175"/>
    </row>
    <row r="183" spans="2:24" s="18" customFormat="1" ht="11.25" customHeight="1">
      <c r="B183" s="444" t="s">
        <v>23</v>
      </c>
      <c r="C183" s="277"/>
      <c r="D183" s="473">
        <f>('D&amp;A Build (A)'!L37/1000)*1000</f>
        <v>0</v>
      </c>
      <c r="E183" s="473">
        <f>('D&amp;A Build (A)'!M37/1000)*1000</f>
        <v>0</v>
      </c>
      <c r="F183" s="473">
        <f>('D&amp;A Build (A)'!N37/1000)*1000</f>
        <v>0</v>
      </c>
      <c r="G183" s="473">
        <f>('D&amp;A Build (A)'!O37/1000)*1000</f>
        <v>0</v>
      </c>
      <c r="H183" s="473">
        <f>('D&amp;A Build (A)'!P37/1000)*1000</f>
        <v>0</v>
      </c>
      <c r="I183" s="473">
        <f>('D&amp;A Build (A)'!Q37/1000)*1000</f>
        <v>0</v>
      </c>
      <c r="J183" s="473">
        <f>('D&amp;A Build (A)'!R37/1000)*1000</f>
        <v>0</v>
      </c>
      <c r="K183" s="473">
        <f>('D&amp;A Build (A)'!S37/1000)*1000</f>
        <v>0</v>
      </c>
      <c r="L183" s="473">
        <f ca="1">('D&amp;A Build (A)'!T37/1000)*1000</f>
        <v>123.23712814705942</v>
      </c>
      <c r="M183" s="473">
        <f ca="1">('D&amp;A Build (A)'!U37/1000)*1000</f>
        <v>246.47425629411885</v>
      </c>
      <c r="N183" s="473">
        <f ca="1">('D&amp;A Build (A)'!V37/1000)*1000</f>
        <v>246.47425629411885</v>
      </c>
      <c r="O183" s="473">
        <f ca="1">('D&amp;A Build (A)'!W37/1000)*1000</f>
        <v>246.47425629411885</v>
      </c>
      <c r="P183" s="473">
        <f ca="1">('D&amp;A Build (A)'!X37/1000)*1000</f>
        <v>246.47425629411885</v>
      </c>
      <c r="Q183" s="473">
        <f ca="1">('D&amp;A Build (A)'!Y37/1000)*1000</f>
        <v>234.15054347941305</v>
      </c>
      <c r="R183" s="473">
        <f ca="1">('D&amp;A Build (A)'!Z37/1000)*1000</f>
        <v>0</v>
      </c>
      <c r="S183" s="473">
        <f ca="1">('D&amp;A Build (A)'!AA37/1000)*1000</f>
        <v>0</v>
      </c>
      <c r="T183" s="473">
        <f ca="1">('D&amp;A Build (A)'!AB37/1000)*1000</f>
        <v>0</v>
      </c>
      <c r="U183" s="473">
        <f ca="1">('D&amp;A Build (A)'!AC37/1000)*1000</f>
        <v>0</v>
      </c>
      <c r="W183" s="175"/>
      <c r="X183" s="175"/>
    </row>
    <row r="184" spans="2:24" s="18" customFormat="1" ht="11.25" customHeight="1">
      <c r="B184" s="444" t="s">
        <v>24</v>
      </c>
      <c r="C184" s="277"/>
      <c r="D184" s="473">
        <f>('D&amp;A Build (A)'!L38/1000)*1000</f>
        <v>0</v>
      </c>
      <c r="E184" s="473">
        <f>('D&amp;A Build (A)'!M38/1000)*1000</f>
        <v>0</v>
      </c>
      <c r="F184" s="473">
        <f>('D&amp;A Build (A)'!N38/1000)*1000</f>
        <v>0</v>
      </c>
      <c r="G184" s="473">
        <f>('D&amp;A Build (A)'!O38/1000)*1000</f>
        <v>0</v>
      </c>
      <c r="H184" s="473">
        <f>('D&amp;A Build (A)'!P38/1000)*1000</f>
        <v>0</v>
      </c>
      <c r="I184" s="473">
        <f>('D&amp;A Build (A)'!Q38/1000)*1000</f>
        <v>0</v>
      </c>
      <c r="J184" s="473">
        <f>('D&amp;A Build (A)'!R38/1000)*1000</f>
        <v>0</v>
      </c>
      <c r="K184" s="473">
        <f>('D&amp;A Build (A)'!S38/1000)*1000</f>
        <v>0</v>
      </c>
      <c r="L184" s="473">
        <f>('D&amp;A Build (A)'!T38/1000)*1000</f>
        <v>0</v>
      </c>
      <c r="M184" s="473">
        <f ca="1">('D&amp;A Build (A)'!U38/1000)*1000</f>
        <v>144.04298727891333</v>
      </c>
      <c r="N184" s="473">
        <f ca="1">('D&amp;A Build (A)'!V38/1000)*1000</f>
        <v>288.08597455782666</v>
      </c>
      <c r="O184" s="473">
        <f ca="1">('D&amp;A Build (A)'!W38/1000)*1000</f>
        <v>288.08597455782666</v>
      </c>
      <c r="P184" s="473">
        <f ca="1">('D&amp;A Build (A)'!X38/1000)*1000</f>
        <v>288.08597455782666</v>
      </c>
      <c r="Q184" s="473">
        <f ca="1">('D&amp;A Build (A)'!Y38/1000)*1000</f>
        <v>288.08597455782666</v>
      </c>
      <c r="R184" s="473">
        <f ca="1">('D&amp;A Build (A)'!Z38/1000)*1000</f>
        <v>273.68167582993556</v>
      </c>
      <c r="S184" s="473">
        <f ca="1">('D&amp;A Build (A)'!AA38/1000)*1000</f>
        <v>0</v>
      </c>
      <c r="T184" s="473">
        <f ca="1">('D&amp;A Build (A)'!AB38/1000)*1000</f>
        <v>0</v>
      </c>
      <c r="U184" s="473">
        <f ca="1">('D&amp;A Build (A)'!AC38/1000)*1000</f>
        <v>0</v>
      </c>
      <c r="W184" s="175"/>
      <c r="X184" s="175"/>
    </row>
    <row r="185" spans="2:24" s="18" customFormat="1" ht="11.25" customHeight="1">
      <c r="B185" s="444" t="s">
        <v>25</v>
      </c>
      <c r="C185" s="277"/>
      <c r="D185" s="473">
        <f>('D&amp;A Build (A)'!L39/1000)*1000</f>
        <v>0</v>
      </c>
      <c r="E185" s="473">
        <f>('D&amp;A Build (A)'!M39/1000)*1000</f>
        <v>0</v>
      </c>
      <c r="F185" s="473">
        <f>('D&amp;A Build (A)'!N39/1000)*1000</f>
        <v>0</v>
      </c>
      <c r="G185" s="473">
        <f>('D&amp;A Build (A)'!O39/1000)*1000</f>
        <v>0</v>
      </c>
      <c r="H185" s="473">
        <f>('D&amp;A Build (A)'!P39/1000)*1000</f>
        <v>0</v>
      </c>
      <c r="I185" s="473">
        <f>('D&amp;A Build (A)'!Q39/1000)*1000</f>
        <v>0</v>
      </c>
      <c r="J185" s="473">
        <f>('D&amp;A Build (A)'!R39/1000)*1000</f>
        <v>0</v>
      </c>
      <c r="K185" s="473">
        <f>('D&amp;A Build (A)'!S39/1000)*1000</f>
        <v>0</v>
      </c>
      <c r="L185" s="473">
        <f>('D&amp;A Build (A)'!T39/1000)*1000</f>
        <v>0</v>
      </c>
      <c r="M185" s="473">
        <f>('D&amp;A Build (A)'!U39/1000)*1000</f>
        <v>0</v>
      </c>
      <c r="N185" s="473">
        <f ca="1">('D&amp;A Build (A)'!V39/1000)*1000</f>
        <v>166.06306454822604</v>
      </c>
      <c r="O185" s="473">
        <f ca="1">('D&amp;A Build (A)'!W39/1000)*1000</f>
        <v>332.12612909645208</v>
      </c>
      <c r="P185" s="473">
        <f ca="1">('D&amp;A Build (A)'!X39/1000)*1000</f>
        <v>332.12612909645208</v>
      </c>
      <c r="Q185" s="473">
        <f ca="1">('D&amp;A Build (A)'!Y39/1000)*1000</f>
        <v>332.12612909645208</v>
      </c>
      <c r="R185" s="473">
        <f ca="1">('D&amp;A Build (A)'!Z39/1000)*1000</f>
        <v>332.12612909645208</v>
      </c>
      <c r="S185" s="473">
        <f ca="1">('D&amp;A Build (A)'!AA39/1000)*1000</f>
        <v>315.51982264162962</v>
      </c>
      <c r="T185" s="473">
        <f ca="1">('D&amp;A Build (A)'!AB39/1000)*1000</f>
        <v>0</v>
      </c>
      <c r="U185" s="473">
        <f ca="1">('D&amp;A Build (A)'!AC39/1000)*1000</f>
        <v>0</v>
      </c>
      <c r="W185" s="175"/>
      <c r="X185" s="175"/>
    </row>
    <row r="186" spans="2:24" s="18" customFormat="1" ht="11.25" customHeight="1">
      <c r="B186" s="444" t="s">
        <v>26</v>
      </c>
      <c r="C186" s="277"/>
      <c r="D186" s="473">
        <f>('D&amp;A Build (A)'!L40/1000)*1000</f>
        <v>0</v>
      </c>
      <c r="E186" s="473">
        <f>('D&amp;A Build (A)'!M40/1000)*1000</f>
        <v>0</v>
      </c>
      <c r="F186" s="473">
        <f>('D&amp;A Build (A)'!N40/1000)*1000</f>
        <v>0</v>
      </c>
      <c r="G186" s="473">
        <f>('D&amp;A Build (A)'!O40/1000)*1000</f>
        <v>0</v>
      </c>
      <c r="H186" s="473">
        <f>('D&amp;A Build (A)'!P40/1000)*1000</f>
        <v>0</v>
      </c>
      <c r="I186" s="473">
        <f>('D&amp;A Build (A)'!Q40/1000)*1000</f>
        <v>0</v>
      </c>
      <c r="J186" s="473">
        <f>('D&amp;A Build (A)'!R40/1000)*1000</f>
        <v>0</v>
      </c>
      <c r="K186" s="473">
        <f>('D&amp;A Build (A)'!S40/1000)*1000</f>
        <v>0</v>
      </c>
      <c r="L186" s="473">
        <f>('D&amp;A Build (A)'!T40/1000)*1000</f>
        <v>0</v>
      </c>
      <c r="M186" s="473">
        <f>('D&amp;A Build (A)'!U40/1000)*1000</f>
        <v>0</v>
      </c>
      <c r="N186" s="473">
        <f>('D&amp;A Build (A)'!V40/1000)*1000</f>
        <v>0</v>
      </c>
      <c r="O186" s="473">
        <f ca="1">('D&amp;A Build (A)'!W40/1000)*1000</f>
        <v>191.4900613908118</v>
      </c>
      <c r="P186" s="473">
        <f ca="1">('D&amp;A Build (A)'!X40/1000)*1000</f>
        <v>382.98012278162361</v>
      </c>
      <c r="Q186" s="473">
        <f ca="1">('D&amp;A Build (A)'!Y40/1000)*1000</f>
        <v>382.98012278162361</v>
      </c>
      <c r="R186" s="473">
        <f ca="1">('D&amp;A Build (A)'!Z40/1000)*1000</f>
        <v>382.98012278162361</v>
      </c>
      <c r="S186" s="473">
        <f ca="1">('D&amp;A Build (A)'!AA40/1000)*1000</f>
        <v>382.98012278162361</v>
      </c>
      <c r="T186" s="473">
        <f ca="1">('D&amp;A Build (A)'!AB40/1000)*1000</f>
        <v>363.83111664254238</v>
      </c>
      <c r="U186" s="473">
        <f ca="1">('D&amp;A Build (A)'!AC40/1000)*1000</f>
        <v>0</v>
      </c>
      <c r="W186" s="175"/>
      <c r="X186" s="175"/>
    </row>
    <row r="187" spans="2:24" s="18" customFormat="1" ht="11.25" customHeight="1">
      <c r="B187" s="444" t="s">
        <v>27</v>
      </c>
      <c r="C187" s="277"/>
      <c r="D187" s="473">
        <f>('D&amp;A Build (A)'!L41/1000)*1000</f>
        <v>0</v>
      </c>
      <c r="E187" s="473">
        <f>('D&amp;A Build (A)'!M41/1000)*1000</f>
        <v>0</v>
      </c>
      <c r="F187" s="473">
        <f>('D&amp;A Build (A)'!N41/1000)*1000</f>
        <v>0</v>
      </c>
      <c r="G187" s="473">
        <f>('D&amp;A Build (A)'!O41/1000)*1000</f>
        <v>0</v>
      </c>
      <c r="H187" s="473">
        <f>('D&amp;A Build (A)'!P41/1000)*1000</f>
        <v>0</v>
      </c>
      <c r="I187" s="473">
        <f>('D&amp;A Build (A)'!Q41/1000)*1000</f>
        <v>0</v>
      </c>
      <c r="J187" s="473">
        <f>('D&amp;A Build (A)'!R41/1000)*1000</f>
        <v>0</v>
      </c>
      <c r="K187" s="473">
        <f>('D&amp;A Build (A)'!S41/1000)*1000</f>
        <v>0</v>
      </c>
      <c r="L187" s="473">
        <f>('D&amp;A Build (A)'!T41/1000)*1000</f>
        <v>0</v>
      </c>
      <c r="M187" s="473">
        <f>('D&amp;A Build (A)'!U41/1000)*1000</f>
        <v>0</v>
      </c>
      <c r="N187" s="473">
        <f>('D&amp;A Build (A)'!V41/1000)*1000</f>
        <v>0</v>
      </c>
      <c r="O187" s="473">
        <f>('D&amp;A Build (A)'!W41/1000)*1000</f>
        <v>0</v>
      </c>
      <c r="P187" s="473">
        <f ca="1">('D&amp;A Build (A)'!X41/1000)*1000</f>
        <v>221.60001764357543</v>
      </c>
      <c r="Q187" s="473">
        <f ca="1">('D&amp;A Build (A)'!Y41/1000)*1000</f>
        <v>443.20003528715085</v>
      </c>
      <c r="R187" s="473">
        <f ca="1">('D&amp;A Build (A)'!Z41/1000)*1000</f>
        <v>443.20003528715085</v>
      </c>
      <c r="S187" s="473">
        <f ca="1">('D&amp;A Build (A)'!AA41/1000)*1000</f>
        <v>443.20003528715085</v>
      </c>
      <c r="T187" s="473">
        <f ca="1">('D&amp;A Build (A)'!AB41/1000)*1000</f>
        <v>443.20003528715085</v>
      </c>
      <c r="U187" s="473">
        <f ca="1">('D&amp;A Build (A)'!AC41/1000)*1000</f>
        <v>421.04003352279301</v>
      </c>
      <c r="W187" s="175"/>
      <c r="X187" s="175"/>
    </row>
    <row r="188" spans="2:24" s="18" customFormat="1" ht="11.25" customHeight="1">
      <c r="B188" s="444" t="s">
        <v>38</v>
      </c>
      <c r="C188" s="277"/>
      <c r="D188" s="473">
        <f>('D&amp;A Build (A)'!L42/1000)*1000</f>
        <v>0</v>
      </c>
      <c r="E188" s="473">
        <f>('D&amp;A Build (A)'!M42/1000)*1000</f>
        <v>0</v>
      </c>
      <c r="F188" s="473">
        <f>('D&amp;A Build (A)'!N42/1000)*1000</f>
        <v>0</v>
      </c>
      <c r="G188" s="473">
        <f>('D&amp;A Build (A)'!O42/1000)*1000</f>
        <v>0</v>
      </c>
      <c r="H188" s="473">
        <f>('D&amp;A Build (A)'!P42/1000)*1000</f>
        <v>0</v>
      </c>
      <c r="I188" s="473">
        <f>('D&amp;A Build (A)'!Q42/1000)*1000</f>
        <v>0</v>
      </c>
      <c r="J188" s="473">
        <f>('D&amp;A Build (A)'!R42/1000)*1000</f>
        <v>0</v>
      </c>
      <c r="K188" s="473">
        <f>('D&amp;A Build (A)'!S42/1000)*1000</f>
        <v>0</v>
      </c>
      <c r="L188" s="473">
        <f>('D&amp;A Build (A)'!T42/1000)*1000</f>
        <v>0</v>
      </c>
      <c r="M188" s="473">
        <f>('D&amp;A Build (A)'!U42/1000)*1000</f>
        <v>0</v>
      </c>
      <c r="N188" s="473">
        <f>('D&amp;A Build (A)'!V42/1000)*1000</f>
        <v>0</v>
      </c>
      <c r="O188" s="473">
        <f>('D&amp;A Build (A)'!W42/1000)*1000</f>
        <v>0</v>
      </c>
      <c r="P188" s="473">
        <f>('D&amp;A Build (A)'!X42/1000)*1000</f>
        <v>0</v>
      </c>
      <c r="Q188" s="473">
        <f ca="1">('D&amp;A Build (A)'!Y42/1000)*1000</f>
        <v>255.93890649884193</v>
      </c>
      <c r="R188" s="473">
        <f ca="1">('D&amp;A Build (A)'!Z42/1000)*1000</f>
        <v>511.87781299768386</v>
      </c>
      <c r="S188" s="473">
        <f ca="1">('D&amp;A Build (A)'!AA42/1000)*1000</f>
        <v>511.87781299768386</v>
      </c>
      <c r="T188" s="473">
        <f ca="1">('D&amp;A Build (A)'!AB42/1000)*1000</f>
        <v>511.87781299768386</v>
      </c>
      <c r="U188" s="473">
        <f ca="1">('D&amp;A Build (A)'!AC42/1000)*1000</f>
        <v>511.87781299768386</v>
      </c>
      <c r="W188" s="175"/>
      <c r="X188" s="175"/>
    </row>
    <row r="189" spans="2:24" s="18" customFormat="1" ht="11.25" customHeight="1">
      <c r="B189" s="444" t="s">
        <v>39</v>
      </c>
      <c r="C189" s="277"/>
      <c r="D189" s="473">
        <f>('D&amp;A Build (A)'!L43/1000)*1000</f>
        <v>0</v>
      </c>
      <c r="E189" s="473">
        <f>('D&amp;A Build (A)'!M43/1000)*1000</f>
        <v>0</v>
      </c>
      <c r="F189" s="473">
        <f>('D&amp;A Build (A)'!N43/1000)*1000</f>
        <v>0</v>
      </c>
      <c r="G189" s="473">
        <f>('D&amp;A Build (A)'!O43/1000)*1000</f>
        <v>0</v>
      </c>
      <c r="H189" s="473">
        <f>('D&amp;A Build (A)'!P43/1000)*1000</f>
        <v>0</v>
      </c>
      <c r="I189" s="473">
        <f>('D&amp;A Build (A)'!Q43/1000)*1000</f>
        <v>0</v>
      </c>
      <c r="J189" s="473">
        <f>('D&amp;A Build (A)'!R43/1000)*1000</f>
        <v>0</v>
      </c>
      <c r="K189" s="473">
        <f>('D&amp;A Build (A)'!S43/1000)*1000</f>
        <v>0</v>
      </c>
      <c r="L189" s="473">
        <f>('D&amp;A Build (A)'!T43/1000)*1000</f>
        <v>0</v>
      </c>
      <c r="M189" s="473">
        <f>('D&amp;A Build (A)'!U43/1000)*1000</f>
        <v>0</v>
      </c>
      <c r="N189" s="473">
        <f>('D&amp;A Build (A)'!V43/1000)*1000</f>
        <v>0</v>
      </c>
      <c r="O189" s="473">
        <f>('D&amp;A Build (A)'!W43/1000)*1000</f>
        <v>0</v>
      </c>
      <c r="P189" s="473">
        <f>('D&amp;A Build (A)'!X43/1000)*1000</f>
        <v>0</v>
      </c>
      <c r="Q189" s="473">
        <f>('D&amp;A Build (A)'!Y43/1000)*1000</f>
        <v>0</v>
      </c>
      <c r="R189" s="473">
        <f ca="1">('D&amp;A Build (A)'!Z43/1000)*1000</f>
        <v>295.391510372185</v>
      </c>
      <c r="S189" s="473">
        <f ca="1">('D&amp;A Build (A)'!AA43/1000)*1000</f>
        <v>590.78302074436999</v>
      </c>
      <c r="T189" s="473">
        <f ca="1">('D&amp;A Build (A)'!AB43/1000)*1000</f>
        <v>590.78302074436999</v>
      </c>
      <c r="U189" s="473">
        <f ca="1">('D&amp;A Build (A)'!AC43/1000)*1000</f>
        <v>590.78302074436999</v>
      </c>
      <c r="W189" s="175"/>
      <c r="X189" s="175"/>
    </row>
    <row r="190" spans="2:24" s="18" customFormat="1" ht="11.25" customHeight="1">
      <c r="B190" s="444" t="s">
        <v>40</v>
      </c>
      <c r="C190" s="277"/>
      <c r="D190" s="473">
        <f>('D&amp;A Build (A)'!L44/1000)*1000</f>
        <v>0</v>
      </c>
      <c r="E190" s="473">
        <f>('D&amp;A Build (A)'!M44/1000)*1000</f>
        <v>0</v>
      </c>
      <c r="F190" s="473">
        <f>('D&amp;A Build (A)'!N44/1000)*1000</f>
        <v>0</v>
      </c>
      <c r="G190" s="473">
        <f>('D&amp;A Build (A)'!O44/1000)*1000</f>
        <v>0</v>
      </c>
      <c r="H190" s="473">
        <f>('D&amp;A Build (A)'!P44/1000)*1000</f>
        <v>0</v>
      </c>
      <c r="I190" s="473">
        <f>('D&amp;A Build (A)'!Q44/1000)*1000</f>
        <v>0</v>
      </c>
      <c r="J190" s="473">
        <f>('D&amp;A Build (A)'!R44/1000)*1000</f>
        <v>0</v>
      </c>
      <c r="K190" s="473">
        <f>('D&amp;A Build (A)'!S44/1000)*1000</f>
        <v>0</v>
      </c>
      <c r="L190" s="473">
        <f>('D&amp;A Build (A)'!T44/1000)*1000</f>
        <v>0</v>
      </c>
      <c r="M190" s="473">
        <f>('D&amp;A Build (A)'!U44/1000)*1000</f>
        <v>0</v>
      </c>
      <c r="N190" s="473">
        <f>('D&amp;A Build (A)'!V44/1000)*1000</f>
        <v>0</v>
      </c>
      <c r="O190" s="473">
        <f>('D&amp;A Build (A)'!W44/1000)*1000</f>
        <v>0</v>
      </c>
      <c r="P190" s="473">
        <f>('D&amp;A Build (A)'!X44/1000)*1000</f>
        <v>0</v>
      </c>
      <c r="Q190" s="473">
        <f>('D&amp;A Build (A)'!Y44/1000)*1000</f>
        <v>0</v>
      </c>
      <c r="R190" s="473">
        <f>('D&amp;A Build (A)'!Z44/1000)*1000</f>
        <v>0</v>
      </c>
      <c r="S190" s="473">
        <f ca="1">('D&amp;A Build (A)'!AA44/1000)*1000</f>
        <v>340.90208367105492</v>
      </c>
      <c r="T190" s="473">
        <f ca="1">('D&amp;A Build (A)'!AB44/1000)*1000</f>
        <v>681.80416734210985</v>
      </c>
      <c r="U190" s="473">
        <f ca="1">('D&amp;A Build (A)'!AC44/1000)*1000</f>
        <v>681.80416734210985</v>
      </c>
      <c r="W190" s="175"/>
      <c r="X190" s="175"/>
    </row>
    <row r="191" spans="2:24" s="18" customFormat="1" ht="11.25" customHeight="1">
      <c r="B191" s="444" t="s">
        <v>41</v>
      </c>
      <c r="C191" s="277"/>
      <c r="D191" s="473">
        <f>('D&amp;A Build (A)'!L45/1000)*1000</f>
        <v>0</v>
      </c>
      <c r="E191" s="473">
        <f>('D&amp;A Build (A)'!M45/1000)*1000</f>
        <v>0</v>
      </c>
      <c r="F191" s="473">
        <f>('D&amp;A Build (A)'!N45/1000)*1000</f>
        <v>0</v>
      </c>
      <c r="G191" s="473">
        <f>('D&amp;A Build (A)'!O45/1000)*1000</f>
        <v>0</v>
      </c>
      <c r="H191" s="473">
        <f>('D&amp;A Build (A)'!P45/1000)*1000</f>
        <v>0</v>
      </c>
      <c r="I191" s="473">
        <f>('D&amp;A Build (A)'!Q45/1000)*1000</f>
        <v>0</v>
      </c>
      <c r="J191" s="473">
        <f>('D&amp;A Build (A)'!R45/1000)*1000</f>
        <v>0</v>
      </c>
      <c r="K191" s="473">
        <f>('D&amp;A Build (A)'!S45/1000)*1000</f>
        <v>0</v>
      </c>
      <c r="L191" s="473">
        <f>('D&amp;A Build (A)'!T45/1000)*1000</f>
        <v>0</v>
      </c>
      <c r="M191" s="473">
        <f>('D&amp;A Build (A)'!U45/1000)*1000</f>
        <v>0</v>
      </c>
      <c r="N191" s="473">
        <f>('D&amp;A Build (A)'!V45/1000)*1000</f>
        <v>0</v>
      </c>
      <c r="O191" s="473">
        <f>('D&amp;A Build (A)'!W45/1000)*1000</f>
        <v>0</v>
      </c>
      <c r="P191" s="473">
        <f>('D&amp;A Build (A)'!X45/1000)*1000</f>
        <v>0</v>
      </c>
      <c r="Q191" s="473">
        <f>('D&amp;A Build (A)'!Y45/1000)*1000</f>
        <v>0</v>
      </c>
      <c r="R191" s="473">
        <f>('D&amp;A Build (A)'!Z45/1000)*1000</f>
        <v>0</v>
      </c>
      <c r="S191" s="473">
        <f>('D&amp;A Build (A)'!AA45/1000)*1000</f>
        <v>0</v>
      </c>
      <c r="T191" s="473">
        <f ca="1">('D&amp;A Build (A)'!AB45/1000)*1000</f>
        <v>393.4612880537598</v>
      </c>
      <c r="U191" s="473">
        <f ca="1">('D&amp;A Build (A)'!AC45/1000)*1000</f>
        <v>786.9225761075196</v>
      </c>
      <c r="W191" s="175"/>
      <c r="X191" s="175"/>
    </row>
    <row r="192" spans="2:24" s="18" customFormat="1" ht="13.5" customHeight="1">
      <c r="B192" s="444" t="s">
        <v>112</v>
      </c>
      <c r="C192" s="277"/>
      <c r="D192" s="472">
        <f>('D&amp;A Build (A)'!L46/1000)*1000</f>
        <v>0</v>
      </c>
      <c r="E192" s="472">
        <f>('D&amp;A Build (A)'!M46/1000)*1000</f>
        <v>0</v>
      </c>
      <c r="F192" s="472">
        <f>('D&amp;A Build (A)'!N46/1000)*1000</f>
        <v>0</v>
      </c>
      <c r="G192" s="472">
        <f>('D&amp;A Build (A)'!O46/1000)*1000</f>
        <v>0</v>
      </c>
      <c r="H192" s="472">
        <f>('D&amp;A Build (A)'!P46/1000)*1000</f>
        <v>0</v>
      </c>
      <c r="I192" s="472">
        <f>('D&amp;A Build (A)'!Q46/1000)*1000</f>
        <v>0</v>
      </c>
      <c r="J192" s="472">
        <f>('D&amp;A Build (A)'!R46/1000)*1000</f>
        <v>0</v>
      </c>
      <c r="K192" s="472">
        <f>('D&amp;A Build (A)'!S46/1000)*1000</f>
        <v>0</v>
      </c>
      <c r="L192" s="472">
        <f>('D&amp;A Build (A)'!T46/1000)*1000</f>
        <v>0</v>
      </c>
      <c r="M192" s="472">
        <f>('D&amp;A Build (A)'!U46/1000)*1000</f>
        <v>0</v>
      </c>
      <c r="N192" s="472">
        <f>('D&amp;A Build (A)'!V46/1000)*1000</f>
        <v>0</v>
      </c>
      <c r="O192" s="472">
        <f>('D&amp;A Build (A)'!W46/1000)*1000</f>
        <v>0</v>
      </c>
      <c r="P192" s="472">
        <f>('D&amp;A Build (A)'!X46/1000)*1000</f>
        <v>0</v>
      </c>
      <c r="Q192" s="472">
        <f>('D&amp;A Build (A)'!Y46/1000)*1000</f>
        <v>0</v>
      </c>
      <c r="R192" s="472">
        <f>('D&amp;A Build (A)'!Z46/1000)*1000</f>
        <v>0</v>
      </c>
      <c r="S192" s="472">
        <f>('D&amp;A Build (A)'!AA46/1000)*1000</f>
        <v>0</v>
      </c>
      <c r="T192" s="472">
        <f>('D&amp;A Build (A)'!AB46/1000)*1000</f>
        <v>0</v>
      </c>
      <c r="U192" s="472">
        <f ca="1">('D&amp;A Build (A)'!AC46/1000)*1000</f>
        <v>454.16891923856724</v>
      </c>
      <c r="W192" s="175"/>
      <c r="X192" s="175"/>
    </row>
    <row r="193" spans="2:24" s="18" customFormat="1" ht="11.25" customHeight="1">
      <c r="B193" s="455" t="s">
        <v>645</v>
      </c>
      <c r="C193" s="277"/>
      <c r="D193" s="456">
        <f>SUM(D175:D192)</f>
        <v>26.291587155963356</v>
      </c>
      <c r="E193" s="456">
        <f t="shared" ref="E193:U193" si="288">SUM(E175:E192)</f>
        <v>69.413697247706509</v>
      </c>
      <c r="F193" s="456">
        <f t="shared" si="288"/>
        <v>161.38242201834862</v>
      </c>
      <c r="G193" s="456">
        <f t="shared" si="288"/>
        <v>276.81286238532113</v>
      </c>
      <c r="H193" s="456">
        <f t="shared" si="288"/>
        <v>352.01485321100927</v>
      </c>
      <c r="I193" s="456">
        <f t="shared" si="288"/>
        <v>502.15014403669721</v>
      </c>
      <c r="J193" s="456">
        <f t="shared" ca="1" si="288"/>
        <v>650.12609785164591</v>
      </c>
      <c r="K193" s="456">
        <f t="shared" ca="1" si="288"/>
        <v>795.07928092072518</v>
      </c>
      <c r="L193" s="456">
        <f t="shared" ca="1" si="288"/>
        <v>874.21127410173199</v>
      </c>
      <c r="M193" s="456">
        <f t="shared" ca="1" si="288"/>
        <v>1061.4451610873375</v>
      </c>
      <c r="N193" s="456">
        <f t="shared" ca="1" si="288"/>
        <v>1293.4372138319081</v>
      </c>
      <c r="O193" s="456">
        <f t="shared" ca="1" si="288"/>
        <v>1418.8905825545889</v>
      </c>
      <c r="P193" s="456">
        <f t="shared" ca="1" si="288"/>
        <v>1666.3711778830502</v>
      </c>
      <c r="Q193" s="456">
        <f t="shared" ca="1" si="288"/>
        <v>1936.4817117013083</v>
      </c>
      <c r="R193" s="456">
        <f t="shared" ca="1" si="288"/>
        <v>2239.2572863650307</v>
      </c>
      <c r="S193" s="456">
        <f t="shared" ca="1" si="288"/>
        <v>2585.262898123513</v>
      </c>
      <c r="T193" s="456">
        <f t="shared" ca="1" si="288"/>
        <v>2984.9574410676169</v>
      </c>
      <c r="U193" s="456">
        <f t="shared" ca="1" si="288"/>
        <v>3446.5965299530435</v>
      </c>
      <c r="W193" s="175"/>
      <c r="X193" s="175"/>
    </row>
    <row r="194" spans="2:24" s="18" customFormat="1" ht="11.25" customHeight="1">
      <c r="B194" s="455"/>
      <c r="C194" s="277"/>
      <c r="E194" s="68"/>
      <c r="F194" s="68"/>
      <c r="G194" s="68"/>
      <c r="H194" s="68"/>
      <c r="I194" s="68"/>
      <c r="J194" s="68"/>
      <c r="K194" s="68"/>
      <c r="L194" s="68"/>
      <c r="M194" s="68"/>
      <c r="N194" s="68"/>
      <c r="O194" s="68"/>
      <c r="P194" s="68"/>
      <c r="Q194" s="68"/>
      <c r="R194" s="68"/>
      <c r="S194" s="68"/>
      <c r="T194" s="68"/>
      <c r="U194" s="68"/>
      <c r="W194" s="175"/>
      <c r="X194" s="175"/>
    </row>
    <row r="195" spans="2:24" s="18" customFormat="1" ht="11.25" customHeight="1">
      <c r="B195" s="458" t="s">
        <v>35</v>
      </c>
      <c r="C195" s="277"/>
      <c r="E195" s="68"/>
      <c r="F195" s="68"/>
      <c r="G195" s="68"/>
      <c r="H195" s="68"/>
      <c r="I195" s="68"/>
      <c r="J195" s="68"/>
      <c r="K195" s="68"/>
      <c r="L195" s="68"/>
      <c r="M195" s="68"/>
      <c r="N195" s="68"/>
      <c r="O195" s="68"/>
      <c r="P195" s="68"/>
      <c r="Q195" s="68"/>
      <c r="R195" s="68"/>
      <c r="S195" s="68"/>
      <c r="T195" s="68"/>
      <c r="U195" s="68"/>
      <c r="W195" s="175"/>
      <c r="X195" s="175"/>
    </row>
    <row r="196" spans="2:24" s="18" customFormat="1" ht="11.25" customHeight="1">
      <c r="B196" s="459" t="s">
        <v>646</v>
      </c>
      <c r="C196" s="277"/>
      <c r="D196" s="489">
        <f>'D&amp;A Build (A)'!L50</f>
        <v>288.12490000000003</v>
      </c>
      <c r="E196" s="489">
        <f>'D&amp;A Build (A)'!M50</f>
        <v>278.76490000000001</v>
      </c>
      <c r="F196" s="489">
        <f>'D&amp;A Build (A)'!N50</f>
        <v>321.8211</v>
      </c>
      <c r="G196" s="489">
        <f>'D&amp;A Build (A)'!O50</f>
        <v>411.48390000000001</v>
      </c>
      <c r="H196" s="489">
        <f>'D&amp;A Build (A)'!P50</f>
        <v>425.41629999999998</v>
      </c>
      <c r="I196" s="489">
        <f>'D&amp;A Build (A)'!Q50</f>
        <v>519.46619999999996</v>
      </c>
      <c r="J196" s="489"/>
      <c r="K196" s="489"/>
      <c r="L196" s="489"/>
      <c r="M196" s="489"/>
      <c r="N196" s="489"/>
      <c r="O196" s="489"/>
      <c r="P196" s="489"/>
      <c r="Q196" s="489"/>
      <c r="R196" s="489"/>
      <c r="S196" s="489"/>
      <c r="T196" s="489"/>
      <c r="U196" s="489"/>
      <c r="W196" s="175"/>
      <c r="X196" s="175"/>
    </row>
    <row r="197" spans="2:24" s="18" customFormat="1" ht="11.25" customHeight="1">
      <c r="B197" s="461" t="s">
        <v>647</v>
      </c>
      <c r="C197" s="277"/>
      <c r="D197" s="490">
        <f>'D&amp;A Build (A)'!L51/1000</f>
        <v>1.5176854184994592E-5</v>
      </c>
      <c r="E197" s="490">
        <f>'D&amp;A Build (A)'!M51/1000</f>
        <v>-5.2300352957865501E-5</v>
      </c>
      <c r="F197" s="490">
        <f>'D&amp;A Build (A)'!N51/1000</f>
        <v>1.439655973688958E-5</v>
      </c>
      <c r="G197" s="490">
        <f>'D&amp;A Build (A)'!O51/1000</f>
        <v>2.4542734958089562E-5</v>
      </c>
      <c r="H197" s="490">
        <f>'D&amp;A Build (A)'!P51/1000</f>
        <v>-4.1694282400633996E-5</v>
      </c>
      <c r="I197" s="490">
        <f>'D&amp;A Build (A)'!Q51/1000</f>
        <v>3.4483821560025829E-5</v>
      </c>
      <c r="J197" s="490"/>
      <c r="K197" s="490"/>
      <c r="L197" s="490"/>
      <c r="M197" s="490"/>
      <c r="N197" s="490"/>
      <c r="O197" s="490"/>
      <c r="P197" s="490"/>
      <c r="Q197" s="490"/>
      <c r="R197" s="490"/>
      <c r="S197" s="490"/>
      <c r="T197" s="490"/>
      <c r="U197" s="490"/>
      <c r="W197" s="175"/>
      <c r="X197" s="175"/>
    </row>
    <row r="198" spans="2:24" s="18" customFormat="1" ht="11.25" customHeight="1">
      <c r="B198" s="461" t="s">
        <v>648</v>
      </c>
      <c r="C198" s="277"/>
      <c r="D198" s="489">
        <f>'D&amp;A Build (A)'!L52/1000*1000</f>
        <v>4.3074559633028002</v>
      </c>
      <c r="E198" s="489">
        <f>'D&amp;A Build (A)'!M52/1000*1000</f>
        <v>-15.38409633027527</v>
      </c>
      <c r="F198" s="489">
        <f>'D&amp;A Build (A)'!N52/1000*1000</f>
        <v>4.5673623853211893</v>
      </c>
      <c r="G198" s="489">
        <f>'D&amp;A Build (A)'!O52/1000*1000</f>
        <v>9.8570220183486867</v>
      </c>
      <c r="H198" s="489">
        <f>'D&amp;A Build (A)'!P52/1000*1000</f>
        <v>-18.509153211009277</v>
      </c>
      <c r="I198" s="489">
        <f>'D&amp;A Build (A)'!Q52/1000*1000</f>
        <v>17.316055963302745</v>
      </c>
      <c r="J198" s="489"/>
      <c r="K198" s="489"/>
      <c r="L198" s="489"/>
      <c r="M198" s="489"/>
      <c r="N198" s="489"/>
      <c r="O198" s="489"/>
      <c r="P198" s="489"/>
      <c r="Q198" s="489"/>
      <c r="R198" s="489"/>
      <c r="S198" s="489"/>
      <c r="T198" s="489"/>
      <c r="U198" s="489"/>
      <c r="W198" s="175"/>
      <c r="X198" s="175"/>
    </row>
    <row r="199" spans="2:24" s="18" customFormat="1" ht="11.25" customHeight="1">
      <c r="B199" s="444"/>
      <c r="C199" s="277"/>
      <c r="E199" s="68"/>
      <c r="F199" s="68"/>
      <c r="G199" s="68"/>
      <c r="H199" s="68"/>
      <c r="I199" s="68"/>
      <c r="J199" s="68"/>
      <c r="K199" s="68"/>
      <c r="L199" s="68"/>
      <c r="M199" s="68"/>
      <c r="N199" s="68"/>
      <c r="O199" s="68"/>
      <c r="P199" s="68"/>
      <c r="Q199" s="68"/>
      <c r="R199" s="68"/>
      <c r="S199" s="68"/>
      <c r="T199" s="68"/>
      <c r="U199" s="68"/>
      <c r="W199" s="175"/>
      <c r="X199" s="175"/>
    </row>
    <row r="200" spans="2:24" s="18" customFormat="1" ht="11.25" customHeight="1">
      <c r="B200" s="449" t="s">
        <v>72</v>
      </c>
      <c r="C200" s="277"/>
      <c r="E200" s="68"/>
      <c r="F200" s="68"/>
      <c r="G200" s="68"/>
      <c r="H200" s="68"/>
      <c r="I200" s="68"/>
      <c r="J200" s="68"/>
      <c r="K200" s="68"/>
      <c r="L200" s="68"/>
      <c r="M200" s="68"/>
      <c r="N200" s="68"/>
      <c r="O200" s="68"/>
      <c r="P200" s="68"/>
      <c r="Q200" s="68"/>
      <c r="R200" s="68"/>
      <c r="S200" s="68"/>
      <c r="T200" s="68"/>
      <c r="U200" s="68"/>
      <c r="W200" s="175"/>
      <c r="X200" s="175"/>
    </row>
    <row r="201" spans="2:24" s="18" customFormat="1" ht="11.25" customHeight="1">
      <c r="B201" s="444" t="s">
        <v>645</v>
      </c>
      <c r="C201" s="277"/>
      <c r="D201" s="473">
        <f>'D&amp;A Build (A)'!L55</f>
        <v>283.81744403669722</v>
      </c>
      <c r="E201" s="473">
        <f>'D&amp;A Build (A)'!M55</f>
        <v>294.14899633027528</v>
      </c>
      <c r="F201" s="473">
        <f>'D&amp;A Build (A)'!N55</f>
        <v>317.25373761467881</v>
      </c>
      <c r="G201" s="473">
        <f>'D&amp;A Build (A)'!O55</f>
        <v>401.62687798165132</v>
      </c>
      <c r="H201" s="473">
        <f>'D&amp;A Build (A)'!P55</f>
        <v>443.92545321100926</v>
      </c>
      <c r="I201" s="473">
        <f>'D&amp;A Build (A)'!Q55</f>
        <v>502.15014403669721</v>
      </c>
      <c r="J201" s="473">
        <f ca="1">'D&amp;A Build (A)'!R55</f>
        <v>650.12609785164591</v>
      </c>
      <c r="K201" s="473">
        <f ca="1">'D&amp;A Build (A)'!S55</f>
        <v>795.07928092072518</v>
      </c>
      <c r="L201" s="473">
        <f ca="1">'D&amp;A Build (A)'!T55</f>
        <v>874.21127410173199</v>
      </c>
      <c r="M201" s="473">
        <f ca="1">'D&amp;A Build (A)'!U55</f>
        <v>1061.4451610873375</v>
      </c>
      <c r="N201" s="473">
        <f ca="1">'D&amp;A Build (A)'!V55</f>
        <v>1293.4372138319081</v>
      </c>
      <c r="O201" s="473">
        <f ca="1">'D&amp;A Build (A)'!W55</f>
        <v>1418.8905825545889</v>
      </c>
      <c r="P201" s="473">
        <f ca="1">'D&amp;A Build (A)'!X55</f>
        <v>1666.3711778830502</v>
      </c>
      <c r="Q201" s="473">
        <f ca="1">'D&amp;A Build (A)'!Y55</f>
        <v>1936.4817117013083</v>
      </c>
      <c r="R201" s="473">
        <f ca="1">'D&amp;A Build (A)'!Z55</f>
        <v>2239.2572863650312</v>
      </c>
      <c r="S201" s="473">
        <f ca="1">'D&amp;A Build (A)'!AA55</f>
        <v>2585.262898123513</v>
      </c>
      <c r="T201" s="473">
        <f ca="1">'D&amp;A Build (A)'!AB55</f>
        <v>2984.9574410676169</v>
      </c>
      <c r="U201" s="473">
        <f ca="1">'D&amp;A Build (A)'!AC55</f>
        <v>3446.5965299530435</v>
      </c>
      <c r="W201" s="175"/>
      <c r="X201" s="175"/>
    </row>
    <row r="202" spans="2:24" s="18" customFormat="1" ht="13.5" customHeight="1">
      <c r="B202" s="444" t="s">
        <v>649</v>
      </c>
      <c r="C202" s="277"/>
      <c r="D202" s="472">
        <f>'D&amp;A Build (A)'!L56</f>
        <v>4.4213999999999993</v>
      </c>
      <c r="E202" s="472">
        <f>'D&amp;A Build (A)'!M56</f>
        <v>5.4723999999999995</v>
      </c>
      <c r="F202" s="472">
        <f>'D&amp;A Build (A)'!N56</f>
        <v>7.1861999999999995</v>
      </c>
      <c r="G202" s="472">
        <f>'D&amp;A Build (A)'!O56</f>
        <v>8.2072000000000003</v>
      </c>
      <c r="H202" s="472">
        <f>'D&amp;A Build (A)'!P56</f>
        <v>8.7561</v>
      </c>
      <c r="I202" s="472">
        <f>'D&amp;A Build (A)'!Q56</f>
        <v>9.2582000000000004</v>
      </c>
      <c r="J202" s="472">
        <f ca="1">'D&amp;A Build (A)'!R56</f>
        <v>11.986449691609048</v>
      </c>
      <c r="K202" s="472">
        <f ca="1">'D&amp;A Build (A)'!S56</f>
        <v>14.658968211074166</v>
      </c>
      <c r="L202" s="472">
        <f ca="1">'D&amp;A Build (A)'!T56</f>
        <v>16.117933876958464</v>
      </c>
      <c r="M202" s="472">
        <f ca="1">'D&amp;A Build (A)'!U56</f>
        <v>19.569986600781743</v>
      </c>
      <c r="N202" s="472">
        <f ca="1">'D&amp;A Build (A)'!V56</f>
        <v>23.84725077809286</v>
      </c>
      <c r="O202" s="472">
        <f ca="1">'D&amp;A Build (A)'!W56</f>
        <v>26.160248976144644</v>
      </c>
      <c r="P202" s="472">
        <f ca="1">'D&amp;A Build (A)'!X56</f>
        <v>30.723077195711014</v>
      </c>
      <c r="Q202" s="472">
        <f ca="1">'D&amp;A Build (A)'!Y56</f>
        <v>35.703136195780608</v>
      </c>
      <c r="R202" s="472">
        <f ca="1">'D&amp;A Build (A)'!Z56</f>
        <v>41.285444313463479</v>
      </c>
      <c r="S202" s="472">
        <f ca="1">'D&amp;A Build (A)'!AA56</f>
        <v>47.664789600574004</v>
      </c>
      <c r="T202" s="472">
        <f ca="1">'D&amp;A Build (A)'!AB56</f>
        <v>55.034003891219854</v>
      </c>
      <c r="U202" s="472">
        <f ca="1">'D&amp;A Build (A)'!AC56</f>
        <v>63.545296904822408</v>
      </c>
      <c r="W202" s="175"/>
      <c r="X202" s="175"/>
    </row>
    <row r="203" spans="2:24" s="18" customFormat="1" ht="11.25" customHeight="1">
      <c r="B203" s="455" t="s">
        <v>650</v>
      </c>
      <c r="C203" s="277"/>
      <c r="D203" s="456">
        <f>SUM(D201:D202)</f>
        <v>288.23884403669723</v>
      </c>
      <c r="E203" s="456">
        <f t="shared" ref="E203:U203" si="289">SUM(E201:E202)</f>
        <v>299.62139633027527</v>
      </c>
      <c r="F203" s="456">
        <f t="shared" si="289"/>
        <v>324.4399376146788</v>
      </c>
      <c r="G203" s="456">
        <f t="shared" si="289"/>
        <v>409.83407798165132</v>
      </c>
      <c r="H203" s="456">
        <f t="shared" si="289"/>
        <v>452.68155321100926</v>
      </c>
      <c r="I203" s="456">
        <f t="shared" si="289"/>
        <v>511.4083440366972</v>
      </c>
      <c r="J203" s="456">
        <f t="shared" ca="1" si="289"/>
        <v>662.112547543255</v>
      </c>
      <c r="K203" s="456">
        <f t="shared" ca="1" si="289"/>
        <v>809.73824913179931</v>
      </c>
      <c r="L203" s="456">
        <f t="shared" ca="1" si="289"/>
        <v>890.32920797869042</v>
      </c>
      <c r="M203" s="456">
        <f t="shared" ca="1" si="289"/>
        <v>1081.0151476881192</v>
      </c>
      <c r="N203" s="456">
        <f t="shared" ca="1" si="289"/>
        <v>1317.2844646100009</v>
      </c>
      <c r="O203" s="456">
        <f t="shared" ca="1" si="289"/>
        <v>1445.0508315307336</v>
      </c>
      <c r="P203" s="456">
        <f t="shared" ca="1" si="289"/>
        <v>1697.0942550787613</v>
      </c>
      <c r="Q203" s="456">
        <f t="shared" ca="1" si="289"/>
        <v>1972.184847897089</v>
      </c>
      <c r="R203" s="456">
        <f t="shared" ca="1" si="289"/>
        <v>2280.5427306784945</v>
      </c>
      <c r="S203" s="456">
        <f t="shared" ca="1" si="289"/>
        <v>2632.9276877240868</v>
      </c>
      <c r="T203" s="456">
        <f t="shared" ca="1" si="289"/>
        <v>3039.9914449588368</v>
      </c>
      <c r="U203" s="456">
        <f t="shared" ca="1" si="289"/>
        <v>3510.1418268578659</v>
      </c>
      <c r="W203" s="175"/>
      <c r="X203" s="175"/>
    </row>
    <row r="204" spans="2:24" s="18" customFormat="1" ht="11.25" customHeight="1">
      <c r="B204" s="224"/>
      <c r="C204" s="277"/>
      <c r="E204" s="286"/>
      <c r="F204" s="276"/>
      <c r="G204" s="54"/>
      <c r="H204" s="54"/>
      <c r="J204" s="174"/>
      <c r="K204" s="174"/>
      <c r="L204" s="174"/>
      <c r="M204" s="174"/>
      <c r="N204" s="174"/>
      <c r="O204" s="106"/>
      <c r="P204" s="106"/>
      <c r="Q204" s="106"/>
      <c r="R204" s="106"/>
      <c r="S204" s="106"/>
      <c r="T204" s="106"/>
      <c r="U204" s="106"/>
      <c r="W204" s="175"/>
      <c r="X204" s="175"/>
    </row>
    <row r="205" spans="2:24" ht="11.25" customHeight="1">
      <c r="B205" s="41"/>
      <c r="D205" s="47"/>
      <c r="E205" s="211"/>
      <c r="F205" s="211"/>
      <c r="G205" s="211"/>
      <c r="H205" s="211"/>
      <c r="I205" s="211"/>
      <c r="J205" s="211"/>
      <c r="K205" s="211"/>
      <c r="L205" s="211"/>
      <c r="M205" s="211"/>
      <c r="N205" s="211"/>
      <c r="O205" s="211"/>
      <c r="P205" s="211"/>
      <c r="Q205" s="211"/>
      <c r="R205" s="211"/>
      <c r="S205" s="211"/>
      <c r="T205" s="211"/>
      <c r="U205" s="211"/>
    </row>
    <row r="206" spans="2:24" ht="11.25" customHeight="1">
      <c r="B206" s="65" t="s">
        <v>63</v>
      </c>
    </row>
    <row r="207" spans="2:24" ht="11.25" customHeight="1">
      <c r="B207" s="6" t="s">
        <v>63</v>
      </c>
      <c r="D207" s="99">
        <v>43465</v>
      </c>
      <c r="E207" s="100">
        <f>EOMONTH(D207,12)</f>
        <v>43830</v>
      </c>
      <c r="F207" s="100">
        <f t="shared" ref="F207:U207" si="290">EOMONTH(E207,12)</f>
        <v>44196</v>
      </c>
      <c r="G207" s="100">
        <f t="shared" si="290"/>
        <v>44561</v>
      </c>
      <c r="H207" s="100">
        <f t="shared" si="290"/>
        <v>44926</v>
      </c>
      <c r="I207" s="100">
        <f t="shared" si="290"/>
        <v>45291</v>
      </c>
      <c r="J207" s="100">
        <f t="shared" si="290"/>
        <v>45657</v>
      </c>
      <c r="K207" s="100">
        <f t="shared" si="290"/>
        <v>46022</v>
      </c>
      <c r="L207" s="100">
        <f t="shared" si="290"/>
        <v>46387</v>
      </c>
      <c r="M207" s="100">
        <f t="shared" si="290"/>
        <v>46752</v>
      </c>
      <c r="N207" s="100">
        <f t="shared" si="290"/>
        <v>47118</v>
      </c>
      <c r="O207" s="100">
        <f t="shared" si="290"/>
        <v>47483</v>
      </c>
      <c r="P207" s="100">
        <f t="shared" si="290"/>
        <v>47848</v>
      </c>
      <c r="Q207" s="100">
        <f t="shared" si="290"/>
        <v>48213</v>
      </c>
      <c r="R207" s="100">
        <f t="shared" si="290"/>
        <v>48579</v>
      </c>
      <c r="S207" s="100">
        <f t="shared" si="290"/>
        <v>48944</v>
      </c>
      <c r="T207" s="100">
        <f t="shared" si="290"/>
        <v>49309</v>
      </c>
      <c r="U207" s="100">
        <f t="shared" si="290"/>
        <v>49674</v>
      </c>
    </row>
    <row r="208" spans="2:24" ht="11.25" customHeight="1">
      <c r="B208" s="6" t="s">
        <v>110</v>
      </c>
      <c r="D208" s="99"/>
      <c r="E208" s="100"/>
      <c r="F208" s="100"/>
      <c r="G208" s="100"/>
      <c r="H208" s="100"/>
      <c r="I208" s="100"/>
      <c r="J208" s="100">
        <v>45657</v>
      </c>
      <c r="K208" s="100">
        <f>K207</f>
        <v>46022</v>
      </c>
      <c r="L208" s="100">
        <f t="shared" ref="L208:U208" si="291">L207</f>
        <v>46387</v>
      </c>
      <c r="M208" s="100">
        <f t="shared" si="291"/>
        <v>46752</v>
      </c>
      <c r="N208" s="100">
        <f t="shared" si="291"/>
        <v>47118</v>
      </c>
      <c r="O208" s="100">
        <f t="shared" si="291"/>
        <v>47483</v>
      </c>
      <c r="P208" s="100">
        <f t="shared" si="291"/>
        <v>47848</v>
      </c>
      <c r="Q208" s="100">
        <f t="shared" si="291"/>
        <v>48213</v>
      </c>
      <c r="R208" s="100">
        <f t="shared" si="291"/>
        <v>48579</v>
      </c>
      <c r="S208" s="100">
        <f t="shared" si="291"/>
        <v>48944</v>
      </c>
      <c r="T208" s="100">
        <f t="shared" si="291"/>
        <v>49309</v>
      </c>
      <c r="U208" s="100">
        <f t="shared" si="291"/>
        <v>49674</v>
      </c>
    </row>
    <row r="210" spans="2:21" ht="11.25" customHeight="1">
      <c r="B210" s="65" t="s">
        <v>202</v>
      </c>
    </row>
    <row r="211" spans="2:21" ht="11.25" customHeight="1">
      <c r="B211" s="2" t="s">
        <v>43</v>
      </c>
      <c r="K211" s="121">
        <f t="shared" ref="K211:U211" si="292">YEARFRAC($J208,K208)</f>
        <v>1</v>
      </c>
      <c r="L211" s="121">
        <f t="shared" si="292"/>
        <v>2</v>
      </c>
      <c r="M211" s="121">
        <f t="shared" si="292"/>
        <v>3</v>
      </c>
      <c r="N211" s="121">
        <f t="shared" si="292"/>
        <v>4</v>
      </c>
      <c r="O211" s="121">
        <f t="shared" si="292"/>
        <v>5</v>
      </c>
      <c r="P211" s="121">
        <f t="shared" si="292"/>
        <v>6</v>
      </c>
      <c r="Q211" s="121">
        <f t="shared" si="292"/>
        <v>7</v>
      </c>
      <c r="R211" s="121">
        <f t="shared" si="292"/>
        <v>8</v>
      </c>
      <c r="S211" s="121">
        <f t="shared" si="292"/>
        <v>9</v>
      </c>
      <c r="T211" s="121">
        <f t="shared" si="292"/>
        <v>10</v>
      </c>
      <c r="U211" s="121">
        <f t="shared" si="292"/>
        <v>11</v>
      </c>
    </row>
    <row r="212" spans="2:21" ht="11.25" customHeight="1">
      <c r="B212" s="2" t="s">
        <v>59</v>
      </c>
      <c r="K212" s="27">
        <f t="shared" ref="K212:U212" ca="1" si="293">K49*(1-K43)-K59+K79+K78+K77+K51</f>
        <v>938.65897479437717</v>
      </c>
      <c r="L212" s="27">
        <f t="shared" ca="1" si="293"/>
        <v>1033.6929695981173</v>
      </c>
      <c r="M212" s="27">
        <f t="shared" ca="1" si="293"/>
        <v>1278.8781836094424</v>
      </c>
      <c r="N212" s="27">
        <f t="shared" ca="1" si="293"/>
        <v>1541.2968955573651</v>
      </c>
      <c r="O212" s="27">
        <f t="shared" ca="1" si="293"/>
        <v>1701.0280212542884</v>
      </c>
      <c r="P212" s="27">
        <f t="shared" ca="1" si="293"/>
        <v>1991.2874531014211</v>
      </c>
      <c r="Q212" s="27">
        <f t="shared" ca="1" si="293"/>
        <v>2308.3422200349023</v>
      </c>
      <c r="R212" s="27">
        <f t="shared" ca="1" si="293"/>
        <v>2664.6730175740081</v>
      </c>
      <c r="S212" s="27">
        <f t="shared" ca="1" si="293"/>
        <v>3071.9966496226662</v>
      </c>
      <c r="T212" s="27">
        <f t="shared" ca="1" si="293"/>
        <v>3541.9142802391625</v>
      </c>
      <c r="U212" s="27">
        <f t="shared" ca="1" si="293"/>
        <v>4083.9219380886429</v>
      </c>
    </row>
    <row r="213" spans="2:21" ht="13.5" customHeight="1">
      <c r="B213" s="2" t="s">
        <v>320</v>
      </c>
      <c r="K213" s="24" t="s">
        <v>51</v>
      </c>
      <c r="L213" s="24" t="s">
        <v>51</v>
      </c>
      <c r="M213" s="24" t="s">
        <v>51</v>
      </c>
      <c r="N213" s="24" t="s">
        <v>51</v>
      </c>
      <c r="O213" s="24" t="s">
        <v>51</v>
      </c>
      <c r="P213" s="24" t="s">
        <v>51</v>
      </c>
      <c r="Q213" s="24" t="s">
        <v>51</v>
      </c>
      <c r="R213" s="24" t="s">
        <v>51</v>
      </c>
      <c r="S213" s="24" t="s">
        <v>51</v>
      </c>
      <c r="T213" s="24">
        <f ca="1">T110*U212</f>
        <v>61258.829071329645</v>
      </c>
      <c r="U213" s="24"/>
    </row>
    <row r="214" spans="2:21" ht="11.25" customHeight="1">
      <c r="B214" s="12" t="s">
        <v>441</v>
      </c>
      <c r="K214" s="27">
        <f t="shared" ref="K214:T214" ca="1" si="294">SUM(K212:K213)</f>
        <v>938.65897479437717</v>
      </c>
      <c r="L214" s="27">
        <f t="shared" ca="1" si="294"/>
        <v>1033.6929695981173</v>
      </c>
      <c r="M214" s="27">
        <f t="shared" ca="1" si="294"/>
        <v>1278.8781836094424</v>
      </c>
      <c r="N214" s="27">
        <f t="shared" ca="1" si="294"/>
        <v>1541.2968955573651</v>
      </c>
      <c r="O214" s="27">
        <f t="shared" ca="1" si="294"/>
        <v>1701.0280212542884</v>
      </c>
      <c r="P214" s="27">
        <f t="shared" ca="1" si="294"/>
        <v>1991.2874531014211</v>
      </c>
      <c r="Q214" s="27">
        <f t="shared" ca="1" si="294"/>
        <v>2308.3422200349023</v>
      </c>
      <c r="R214" s="27">
        <f t="shared" ca="1" si="294"/>
        <v>2664.6730175740081</v>
      </c>
      <c r="S214" s="27">
        <f t="shared" ca="1" si="294"/>
        <v>3071.9966496226662</v>
      </c>
      <c r="T214" s="27">
        <f t="shared" ca="1" si="294"/>
        <v>64800.74335156881</v>
      </c>
    </row>
    <row r="215" spans="2:21" ht="11.25" customHeight="1">
      <c r="B215" s="2" t="s">
        <v>60</v>
      </c>
      <c r="D215" s="190">
        <f ca="1">F116</f>
        <v>0.10720333456993106</v>
      </c>
      <c r="E215" s="154" t="s">
        <v>76</v>
      </c>
      <c r="J215" s="27"/>
      <c r="K215" s="27">
        <f t="shared" ref="K215:T215" ca="1" si="295">K214/(1+$D$215)^K211</f>
        <v>847.77469999128823</v>
      </c>
      <c r="L215" s="27">
        <f t="shared" ca="1" si="295"/>
        <v>843.21202696863827</v>
      </c>
      <c r="M215" s="27">
        <f t="shared" ca="1" si="295"/>
        <v>942.20851238219302</v>
      </c>
      <c r="N215" s="27">
        <f t="shared" ca="1" si="295"/>
        <v>1025.5970508391913</v>
      </c>
      <c r="O215" s="27">
        <f t="shared" ca="1" si="295"/>
        <v>1022.2910119198527</v>
      </c>
      <c r="P215" s="27">
        <f t="shared" ca="1" si="295"/>
        <v>1080.8605023864998</v>
      </c>
      <c r="Q215" s="27">
        <f t="shared" ca="1" si="295"/>
        <v>1131.6405455593078</v>
      </c>
      <c r="R215" s="27">
        <f t="shared" ca="1" si="295"/>
        <v>1179.8446936548273</v>
      </c>
      <c r="S215" s="27">
        <f t="shared" ca="1" si="295"/>
        <v>1228.4974857175814</v>
      </c>
      <c r="T215" s="27">
        <f t="shared" ca="1" si="295"/>
        <v>23404.86481559552</v>
      </c>
    </row>
    <row r="216" spans="2:21" ht="11.25" customHeight="1">
      <c r="B216" s="2" t="s">
        <v>61</v>
      </c>
      <c r="J216" s="27">
        <f ca="1">SUM(J215:T215)</f>
        <v>32706.791345014899</v>
      </c>
    </row>
    <row r="217" spans="2:21" ht="11.25" customHeight="1">
      <c r="B217" s="2" t="s">
        <v>436</v>
      </c>
      <c r="J217" s="332">
        <f>-(D122+D123+D124)</f>
        <v>1167.1879999999999</v>
      </c>
    </row>
    <row r="218" spans="2:21" ht="11.25" customHeight="1">
      <c r="B218" s="12" t="s">
        <v>437</v>
      </c>
      <c r="J218" s="27">
        <f ca="1">J216+J217</f>
        <v>33873.979345014901</v>
      </c>
    </row>
    <row r="219" spans="2:21" ht="11.25" customHeight="1">
      <c r="B219" s="2" t="s">
        <v>438</v>
      </c>
      <c r="J219" s="332">
        <f>E126</f>
        <v>25.937639553429026</v>
      </c>
    </row>
    <row r="220" spans="2:21" ht="11.25" customHeight="1">
      <c r="B220" s="12" t="s">
        <v>439</v>
      </c>
      <c r="J220" s="27">
        <f ca="1">J218/J219</f>
        <v>1305.9777191844225</v>
      </c>
    </row>
    <row r="221" spans="2:21" ht="11.25" customHeight="1">
      <c r="B221" s="41" t="s">
        <v>440</v>
      </c>
      <c r="J221" s="122">
        <f ca="1">J220/E121-1</f>
        <v>8.6760590255345882E-3</v>
      </c>
    </row>
  </sheetData>
  <pageMargins left="0.3" right="0.3" top="0.3" bottom="0.5" header="0.3" footer="0.3"/>
  <pageSetup scale="51" fitToHeight="3" orientation="portrait" r:id="rId1"/>
  <headerFooter>
    <oddFooter>Page &amp;P of &amp;N</oddFooter>
  </headerFooter>
  <rowBreaks count="1" manualBreakCount="1">
    <brk id="127" min="1" max="20" man="1"/>
  </rowBreaks>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A88E6-8763-4F41-B23E-0DFCE3664CDA}">
  <sheetPr>
    <tabColor theme="7" tint="0.79998168889431442"/>
    <pageSetUpPr fitToPage="1"/>
  </sheetPr>
  <dimension ref="B1:AN188"/>
  <sheetViews>
    <sheetView view="pageBreakPreview" zoomScale="85" zoomScaleNormal="85" zoomScaleSheetLayoutView="85" workbookViewId="0">
      <pane xSplit="3" ySplit="7" topLeftCell="H8" activePane="bottomRight" state="frozen"/>
      <selection activeCell="J120" sqref="J120"/>
      <selection pane="topRight" activeCell="J120" sqref="J120"/>
      <selection pane="bottomLeft" activeCell="J120" sqref="J120"/>
      <selection pane="bottomRight" activeCell="J120" sqref="J120"/>
    </sheetView>
  </sheetViews>
  <sheetFormatPr defaultColWidth="9.140625" defaultRowHeight="11.25" outlineLevelRow="1" outlineLevelCol="1"/>
  <cols>
    <col min="1" max="1" width="2.42578125" style="444" customWidth="1"/>
    <col min="2" max="2" width="17.85546875" style="444" customWidth="1"/>
    <col min="3" max="3" width="2.42578125" style="444" customWidth="1"/>
    <col min="4" max="7" width="9.28515625" style="444" hidden="1" customWidth="1" outlineLevel="1"/>
    <col min="8" max="8" width="9.28515625" style="444" customWidth="1" collapsed="1"/>
    <col min="9" max="29" width="9.28515625" style="444" customWidth="1"/>
    <col min="30" max="16384" width="9.140625" style="444"/>
  </cols>
  <sheetData>
    <row r="1" spans="2:29">
      <c r="E1" s="444">
        <v>1000</v>
      </c>
    </row>
    <row r="2" spans="2:29" s="440" customFormat="1">
      <c r="B2" s="440" t="s">
        <v>114</v>
      </c>
      <c r="AC2" s="441">
        <f ca="1">+TODAY()</f>
        <v>45796</v>
      </c>
    </row>
    <row r="3" spans="2:29" s="442" customFormat="1">
      <c r="B3" s="442" t="s">
        <v>847</v>
      </c>
    </row>
    <row r="4" spans="2:29">
      <c r="B4" s="443" t="s">
        <v>111</v>
      </c>
    </row>
    <row r="5" spans="2:29">
      <c r="B5" s="443"/>
    </row>
    <row r="6" spans="2:29">
      <c r="B6" s="443"/>
      <c r="D6" s="445" t="s">
        <v>0</v>
      </c>
      <c r="E6" s="445"/>
      <c r="F6" s="445"/>
      <c r="G6" s="445" t="s">
        <v>0</v>
      </c>
      <c r="H6" s="445"/>
      <c r="I6" s="445"/>
      <c r="J6" s="445"/>
      <c r="K6" s="445"/>
      <c r="L6" s="445"/>
      <c r="M6" s="445"/>
      <c r="N6" s="445"/>
      <c r="O6" s="445"/>
      <c r="P6" s="445"/>
      <c r="Q6" s="445"/>
      <c r="R6" s="445"/>
      <c r="S6" s="445"/>
      <c r="T6" s="445"/>
      <c r="U6" s="445"/>
      <c r="V6" s="445"/>
      <c r="W6" s="445"/>
      <c r="X6" s="445"/>
      <c r="Y6" s="445"/>
      <c r="Z6" s="445"/>
      <c r="AA6" s="445"/>
      <c r="AB6" s="445"/>
      <c r="AC6" s="445"/>
    </row>
    <row r="7" spans="2:29" ht="13.5">
      <c r="D7" s="446" t="s">
        <v>171</v>
      </c>
      <c r="E7" s="446" t="s">
        <v>172</v>
      </c>
      <c r="F7" s="446" t="s">
        <v>153</v>
      </c>
      <c r="G7" s="446" t="s">
        <v>152</v>
      </c>
      <c r="H7" s="446" t="s">
        <v>151</v>
      </c>
      <c r="I7" s="446" t="s">
        <v>150</v>
      </c>
      <c r="J7" s="446" t="s">
        <v>10</v>
      </c>
      <c r="K7" s="446" t="s">
        <v>11</v>
      </c>
      <c r="L7" s="446" t="s">
        <v>1</v>
      </c>
      <c r="M7" s="446" t="s">
        <v>2</v>
      </c>
      <c r="N7" s="446" t="s">
        <v>3</v>
      </c>
      <c r="O7" s="446" t="s">
        <v>4</v>
      </c>
      <c r="P7" s="446" t="s">
        <v>5</v>
      </c>
      <c r="Q7" s="446" t="s">
        <v>68</v>
      </c>
      <c r="R7" s="446" t="s">
        <v>6</v>
      </c>
      <c r="S7" s="446" t="s">
        <v>22</v>
      </c>
      <c r="T7" s="446" t="s">
        <v>23</v>
      </c>
      <c r="U7" s="446" t="s">
        <v>24</v>
      </c>
      <c r="V7" s="446" t="s">
        <v>25</v>
      </c>
      <c r="W7" s="446" t="s">
        <v>26</v>
      </c>
      <c r="X7" s="446" t="s">
        <v>27</v>
      </c>
      <c r="Y7" s="446" t="s">
        <v>38</v>
      </c>
      <c r="Z7" s="446" t="s">
        <v>39</v>
      </c>
      <c r="AA7" s="446" t="s">
        <v>40</v>
      </c>
      <c r="AB7" s="446" t="s">
        <v>41</v>
      </c>
      <c r="AC7" s="446" t="s">
        <v>112</v>
      </c>
    </row>
    <row r="8" spans="2:29">
      <c r="B8" s="447" t="s">
        <v>636</v>
      </c>
      <c r="C8" s="448"/>
    </row>
    <row r="10" spans="2:29">
      <c r="B10" s="449" t="s">
        <v>637</v>
      </c>
    </row>
    <row r="11" spans="2:29">
      <c r="B11" s="444" t="s">
        <v>638</v>
      </c>
      <c r="J11" s="475">
        <v>5.45</v>
      </c>
    </row>
    <row r="12" spans="2:29">
      <c r="B12" s="450" t="s">
        <v>679</v>
      </c>
      <c r="J12" s="476">
        <f>J11</f>
        <v>5.45</v>
      </c>
    </row>
    <row r="14" spans="2:29">
      <c r="B14" s="449" t="s">
        <v>639</v>
      </c>
      <c r="L14" s="451"/>
      <c r="M14" s="451"/>
      <c r="N14" s="451"/>
      <c r="O14" s="451"/>
      <c r="P14" s="451"/>
      <c r="Q14" s="451"/>
    </row>
    <row r="15" spans="2:29">
      <c r="B15" s="444" t="s">
        <v>640</v>
      </c>
      <c r="D15" s="451"/>
      <c r="E15" s="451">
        <f>+E153</f>
        <v>219.05254781499644</v>
      </c>
      <c r="F15" s="451">
        <f>+F153</f>
        <v>257.6891</v>
      </c>
      <c r="G15" s="451">
        <f>+G153</f>
        <v>333.80220000000003</v>
      </c>
      <c r="H15" s="451">
        <f t="shared" ref="G15:P16" si="0">+H153</f>
        <v>224.01870000000002</v>
      </c>
      <c r="I15" s="451">
        <f t="shared" si="0"/>
        <v>219.30339999999998</v>
      </c>
      <c r="J15" s="451">
        <f t="shared" si="0"/>
        <v>365.82759999999996</v>
      </c>
      <c r="K15" s="451">
        <f t="shared" si="0"/>
        <v>322.4939</v>
      </c>
      <c r="L15" s="451">
        <f t="shared" si="0"/>
        <v>300.02440000000001</v>
      </c>
      <c r="M15" s="451">
        <f t="shared" si="0"/>
        <v>564.28300000000002</v>
      </c>
      <c r="N15" s="451">
        <f t="shared" si="0"/>
        <v>525.72069999999997</v>
      </c>
      <c r="O15" s="451">
        <f t="shared" si="0"/>
        <v>835.4063000000001</v>
      </c>
      <c r="P15" s="451">
        <f t="shared" si="0"/>
        <v>1139.8921</v>
      </c>
      <c r="Q15" s="451">
        <f>+Q153</f>
        <v>897.51880000000006</v>
      </c>
      <c r="R15" s="452">
        <f ca="1">'Simple Model (A)'!J59</f>
        <v>990.18415175882456</v>
      </c>
      <c r="S15" s="452">
        <f ca="1">'Simple Model (A)'!K59</f>
        <v>1243.6496987444702</v>
      </c>
      <c r="T15" s="452">
        <f ca="1">'Simple Model (A)'!L59</f>
        <v>1492.5385520032753</v>
      </c>
      <c r="U15" s="452">
        <f ca="1">'Simple Model (A)'!M59</f>
        <v>1744.5206237112839</v>
      </c>
      <c r="V15" s="452">
        <f ca="1">'Simple Model (A)'!N59</f>
        <v>2011.2082261951823</v>
      </c>
      <c r="W15" s="452">
        <f ca="1">'Simple Model (A)'!O59</f>
        <v>2319.15741017761</v>
      </c>
      <c r="X15" s="452">
        <f ca="1">'Simple Model (A)'!P59</f>
        <v>2683.8224359055253</v>
      </c>
      <c r="Y15" s="452">
        <f ca="1">'Simple Model (A)'!Q59</f>
        <v>3099.704534263753</v>
      </c>
      <c r="Z15" s="452">
        <f ca="1">'Simple Model (A)'!R59</f>
        <v>3577.5194033964626</v>
      </c>
      <c r="AA15" s="452">
        <f ca="1">'Simple Model (A)'!S59</f>
        <v>4128.7030133494436</v>
      </c>
      <c r="AB15" s="452">
        <f ca="1">'Simple Model (A)'!T59</f>
        <v>4765.2533775399806</v>
      </c>
      <c r="AC15" s="452">
        <f ca="1">'Simple Model (A)'!U59</f>
        <v>5500.4902441115364</v>
      </c>
    </row>
    <row r="16" spans="2:29" ht="13.5">
      <c r="B16" s="444" t="s">
        <v>641</v>
      </c>
      <c r="D16" s="453"/>
      <c r="E16" s="453">
        <f>+E154</f>
        <v>-2.3146426544446541</v>
      </c>
      <c r="F16" s="453">
        <f>+F154</f>
        <v>-2.7229000000000001</v>
      </c>
      <c r="G16" s="453">
        <f t="shared" si="0"/>
        <v>-3.7131999999999996</v>
      </c>
      <c r="H16" s="453">
        <f t="shared" si="0"/>
        <v>-2.8826999999999998</v>
      </c>
      <c r="I16" s="453">
        <f t="shared" si="0"/>
        <v>-6.7846000000000002</v>
      </c>
      <c r="J16" s="453">
        <f t="shared" si="0"/>
        <v>-3.5768</v>
      </c>
      <c r="K16" s="453">
        <f t="shared" si="0"/>
        <v>-9.9677999999999987</v>
      </c>
      <c r="L16" s="453">
        <f t="shared" si="0"/>
        <v>-7.1741999999999999</v>
      </c>
      <c r="M16" s="453">
        <f t="shared" si="0"/>
        <v>-18.5839</v>
      </c>
      <c r="N16" s="453">
        <f t="shared" si="0"/>
        <v>-7.1728999999999994</v>
      </c>
      <c r="O16" s="453">
        <f t="shared" si="0"/>
        <v>-26.566700000000001</v>
      </c>
      <c r="P16" s="453">
        <f t="shared" si="0"/>
        <v>-27.792400000000001</v>
      </c>
      <c r="Q16" s="453">
        <f>+Q154</f>
        <v>-32.436700000000002</v>
      </c>
      <c r="R16" s="454">
        <v>0</v>
      </c>
      <c r="S16" s="454">
        <v>0</v>
      </c>
      <c r="T16" s="454">
        <v>0</v>
      </c>
      <c r="U16" s="454">
        <v>0</v>
      </c>
      <c r="V16" s="454">
        <v>0</v>
      </c>
      <c r="W16" s="454">
        <v>0</v>
      </c>
      <c r="X16" s="454">
        <v>0</v>
      </c>
      <c r="Y16" s="454">
        <v>0</v>
      </c>
      <c r="Z16" s="454">
        <v>0</v>
      </c>
      <c r="AA16" s="454">
        <v>0</v>
      </c>
      <c r="AB16" s="454">
        <v>0</v>
      </c>
      <c r="AC16" s="454">
        <v>0</v>
      </c>
    </row>
    <row r="17" spans="2:36" s="440" customFormat="1">
      <c r="B17" s="455" t="s">
        <v>642</v>
      </c>
      <c r="D17" s="456"/>
      <c r="E17" s="456">
        <f t="shared" ref="E17:Q17" si="1">SUM(E15:E16)</f>
        <v>216.7379051605518</v>
      </c>
      <c r="F17" s="456">
        <f t="shared" si="1"/>
        <v>254.96619999999999</v>
      </c>
      <c r="G17" s="456">
        <f t="shared" si="1"/>
        <v>330.08900000000006</v>
      </c>
      <c r="H17" s="456">
        <f t="shared" si="1"/>
        <v>221.13600000000002</v>
      </c>
      <c r="I17" s="456">
        <f t="shared" si="1"/>
        <v>212.51879999999997</v>
      </c>
      <c r="J17" s="456">
        <f t="shared" si="1"/>
        <v>362.25079999999997</v>
      </c>
      <c r="K17" s="456">
        <f t="shared" si="1"/>
        <v>312.52609999999999</v>
      </c>
      <c r="L17" s="456">
        <f t="shared" si="1"/>
        <v>292.85020000000003</v>
      </c>
      <c r="M17" s="456">
        <f t="shared" si="1"/>
        <v>545.69910000000004</v>
      </c>
      <c r="N17" s="456">
        <f t="shared" si="1"/>
        <v>518.54779999999994</v>
      </c>
      <c r="O17" s="456">
        <f t="shared" si="1"/>
        <v>808.83960000000013</v>
      </c>
      <c r="P17" s="456">
        <f t="shared" si="1"/>
        <v>1112.0997</v>
      </c>
      <c r="Q17" s="456">
        <f t="shared" si="1"/>
        <v>865.08210000000008</v>
      </c>
      <c r="R17" s="456">
        <f ca="1">SUM(R15:R16)</f>
        <v>990.18415175882456</v>
      </c>
      <c r="S17" s="456">
        <f t="shared" ref="S17:AC17" ca="1" si="2">SUM(S15:S16)</f>
        <v>1243.6496987444702</v>
      </c>
      <c r="T17" s="456">
        <f t="shared" ca="1" si="2"/>
        <v>1492.5385520032753</v>
      </c>
      <c r="U17" s="456">
        <f t="shared" ca="1" si="2"/>
        <v>1744.5206237112839</v>
      </c>
      <c r="V17" s="456">
        <f t="shared" ca="1" si="2"/>
        <v>2011.2082261951823</v>
      </c>
      <c r="W17" s="456">
        <f t="shared" ca="1" si="2"/>
        <v>2319.15741017761</v>
      </c>
      <c r="X17" s="456">
        <f t="shared" ca="1" si="2"/>
        <v>2683.8224359055253</v>
      </c>
      <c r="Y17" s="456">
        <f t="shared" ca="1" si="2"/>
        <v>3099.704534263753</v>
      </c>
      <c r="Z17" s="456">
        <f t="shared" ca="1" si="2"/>
        <v>3577.5194033964626</v>
      </c>
      <c r="AA17" s="456">
        <f t="shared" ca="1" si="2"/>
        <v>4128.7030133494436</v>
      </c>
      <c r="AB17" s="456">
        <f t="shared" ca="1" si="2"/>
        <v>4765.2533775399806</v>
      </c>
      <c r="AC17" s="456">
        <f t="shared" ca="1" si="2"/>
        <v>5500.4902441115364</v>
      </c>
      <c r="AD17" s="456"/>
    </row>
    <row r="18" spans="2:36" ht="13.5">
      <c r="B18" s="444" t="s">
        <v>643</v>
      </c>
      <c r="D18" s="453"/>
      <c r="E18" s="453">
        <f>+E19-E17</f>
        <v>-43.285205160551527</v>
      </c>
      <c r="F18" s="453">
        <f>+F19-F17</f>
        <v>-5.0238000000000795</v>
      </c>
      <c r="G18" s="453">
        <f t="shared" ref="G18:Q18" si="3">+G19-G17</f>
        <v>-162.29740000000027</v>
      </c>
      <c r="H18" s="453">
        <f t="shared" si="3"/>
        <v>164.99440000000044</v>
      </c>
      <c r="I18" s="453">
        <f t="shared" si="3"/>
        <v>-42.822200000000208</v>
      </c>
      <c r="J18" s="453">
        <f t="shared" si="3"/>
        <v>-201.24050000000005</v>
      </c>
      <c r="K18" s="453">
        <f t="shared" si="3"/>
        <v>214.7504999999997</v>
      </c>
      <c r="L18" s="453">
        <f t="shared" si="3"/>
        <v>-6.271899999999448</v>
      </c>
      <c r="M18" s="453">
        <f t="shared" si="3"/>
        <v>-362.24640000000022</v>
      </c>
      <c r="N18" s="453">
        <f t="shared" si="3"/>
        <v>300.45859999999936</v>
      </c>
      <c r="O18" s="453">
        <f t="shared" si="3"/>
        <v>-369.65419999999892</v>
      </c>
      <c r="P18" s="453">
        <f t="shared" si="3"/>
        <v>-731.58340000000067</v>
      </c>
      <c r="Q18" s="453">
        <f t="shared" si="3"/>
        <v>419.5340999999994</v>
      </c>
      <c r="R18" s="454">
        <f ca="1">-0.1*R17</f>
        <v>-99.018415175882467</v>
      </c>
      <c r="S18" s="454">
        <f t="shared" ref="S18:AC18" ca="1" si="4">-0.1*S17</f>
        <v>-124.36496987444703</v>
      </c>
      <c r="T18" s="454">
        <f t="shared" ca="1" si="4"/>
        <v>-149.25385520032754</v>
      </c>
      <c r="U18" s="454">
        <f t="shared" ca="1" si="4"/>
        <v>-174.45206237112839</v>
      </c>
      <c r="V18" s="454">
        <f t="shared" ca="1" si="4"/>
        <v>-201.12082261951824</v>
      </c>
      <c r="W18" s="454">
        <f t="shared" ca="1" si="4"/>
        <v>-231.91574101776101</v>
      </c>
      <c r="X18" s="454">
        <f t="shared" ca="1" si="4"/>
        <v>-268.38224359055255</v>
      </c>
      <c r="Y18" s="454">
        <f t="shared" ca="1" si="4"/>
        <v>-309.97045342637534</v>
      </c>
      <c r="Z18" s="454">
        <f t="shared" ca="1" si="4"/>
        <v>-357.7519403396463</v>
      </c>
      <c r="AA18" s="454">
        <f t="shared" ca="1" si="4"/>
        <v>-412.87030133494437</v>
      </c>
      <c r="AB18" s="454">
        <f t="shared" ca="1" si="4"/>
        <v>-476.52533775399809</v>
      </c>
      <c r="AC18" s="454">
        <f t="shared" ca="1" si="4"/>
        <v>-550.04902441115371</v>
      </c>
    </row>
    <row r="19" spans="2:36" s="440" customFormat="1">
      <c r="B19" s="455" t="s">
        <v>639</v>
      </c>
      <c r="D19" s="456"/>
      <c r="E19" s="456">
        <f>E150-D150</f>
        <v>173.45270000000028</v>
      </c>
      <c r="F19" s="456">
        <f t="shared" ref="F19:Q19" si="5">F150-E150</f>
        <v>249.94239999999991</v>
      </c>
      <c r="G19" s="456">
        <f t="shared" si="5"/>
        <v>167.79159999999979</v>
      </c>
      <c r="H19" s="456">
        <f t="shared" si="5"/>
        <v>386.13040000000046</v>
      </c>
      <c r="I19" s="456">
        <f t="shared" si="5"/>
        <v>169.69659999999976</v>
      </c>
      <c r="J19" s="456">
        <f t="shared" si="5"/>
        <v>161.01029999999992</v>
      </c>
      <c r="K19" s="456">
        <f t="shared" si="5"/>
        <v>527.27659999999969</v>
      </c>
      <c r="L19" s="456">
        <f t="shared" si="5"/>
        <v>286.57830000000058</v>
      </c>
      <c r="M19" s="456">
        <f t="shared" si="5"/>
        <v>183.45269999999982</v>
      </c>
      <c r="N19" s="456">
        <f t="shared" si="5"/>
        <v>819.0063999999993</v>
      </c>
      <c r="O19" s="456">
        <f t="shared" si="5"/>
        <v>439.18540000000121</v>
      </c>
      <c r="P19" s="456">
        <f>P150-O150</f>
        <v>380.51629999999932</v>
      </c>
      <c r="Q19" s="456">
        <f t="shared" si="5"/>
        <v>1284.6161999999995</v>
      </c>
      <c r="R19" s="456">
        <f ca="1">+SUM(R17:R18)</f>
        <v>891.16573658294215</v>
      </c>
      <c r="S19" s="456">
        <f t="shared" ref="S19:AC19" ca="1" si="6">+SUM(S17:S18)</f>
        <v>1119.2847288700232</v>
      </c>
      <c r="T19" s="456">
        <f t="shared" ca="1" si="6"/>
        <v>1343.2846968029478</v>
      </c>
      <c r="U19" s="456">
        <f t="shared" ca="1" si="6"/>
        <v>1570.0685613401554</v>
      </c>
      <c r="V19" s="456">
        <f t="shared" ca="1" si="6"/>
        <v>1810.087403575664</v>
      </c>
      <c r="W19" s="456">
        <f t="shared" ca="1" si="6"/>
        <v>2087.2416691598492</v>
      </c>
      <c r="X19" s="456">
        <f t="shared" ca="1" si="6"/>
        <v>2415.4401923149726</v>
      </c>
      <c r="Y19" s="456">
        <f t="shared" ca="1" si="6"/>
        <v>2789.7340808373774</v>
      </c>
      <c r="Z19" s="456">
        <f t="shared" ca="1" si="6"/>
        <v>3219.7674630568163</v>
      </c>
      <c r="AA19" s="456">
        <f t="shared" ca="1" si="6"/>
        <v>3715.8327120144991</v>
      </c>
      <c r="AB19" s="456">
        <f t="shared" ca="1" si="6"/>
        <v>4288.7280397859822</v>
      </c>
      <c r="AC19" s="456">
        <f t="shared" ca="1" si="6"/>
        <v>4950.441219700383</v>
      </c>
      <c r="AD19" s="456"/>
    </row>
    <row r="20" spans="2:36">
      <c r="Q20" s="457"/>
    </row>
    <row r="21" spans="2:36">
      <c r="B21" s="449" t="s">
        <v>644</v>
      </c>
    </row>
    <row r="22" spans="2:36">
      <c r="B22" s="444" t="s">
        <v>172</v>
      </c>
      <c r="E22" s="451">
        <f>+E60/$J$11*0.5</f>
        <v>15.91309174311929</v>
      </c>
      <c r="F22" s="451">
        <f t="shared" ref="F22:AC22" si="7">+IF(E114&gt;0,MIN(F60/$J$11,E114),0)</f>
        <v>31.82618348623858</v>
      </c>
      <c r="G22" s="451">
        <f t="shared" si="7"/>
        <v>31.82618348623858</v>
      </c>
      <c r="H22" s="451">
        <f t="shared" si="7"/>
        <v>31.82618348623858</v>
      </c>
      <c r="I22" s="451">
        <f t="shared" si="7"/>
        <v>31.82618348623858</v>
      </c>
      <c r="J22" s="451">
        <f t="shared" si="7"/>
        <v>30.23487431192666</v>
      </c>
      <c r="K22" s="451">
        <f t="shared" si="7"/>
        <v>0</v>
      </c>
      <c r="L22" s="451">
        <f t="shared" si="7"/>
        <v>0</v>
      </c>
      <c r="M22" s="451">
        <f t="shared" si="7"/>
        <v>0</v>
      </c>
      <c r="N22" s="451">
        <f t="shared" si="7"/>
        <v>0</v>
      </c>
      <c r="O22" s="451">
        <f t="shared" si="7"/>
        <v>0</v>
      </c>
      <c r="P22" s="451">
        <f t="shared" si="7"/>
        <v>0</v>
      </c>
      <c r="Q22" s="451">
        <f t="shared" si="7"/>
        <v>0</v>
      </c>
      <c r="R22" s="451">
        <f t="shared" si="7"/>
        <v>0</v>
      </c>
      <c r="S22" s="451">
        <f t="shared" si="7"/>
        <v>0</v>
      </c>
      <c r="T22" s="451">
        <f t="shared" si="7"/>
        <v>0</v>
      </c>
      <c r="U22" s="451">
        <f t="shared" si="7"/>
        <v>0</v>
      </c>
      <c r="V22" s="451">
        <f t="shared" si="7"/>
        <v>0</v>
      </c>
      <c r="W22" s="451">
        <f t="shared" si="7"/>
        <v>0</v>
      </c>
      <c r="X22" s="451">
        <f t="shared" si="7"/>
        <v>0</v>
      </c>
      <c r="Y22" s="451">
        <f t="shared" si="7"/>
        <v>0</v>
      </c>
      <c r="Z22" s="451">
        <f t="shared" si="7"/>
        <v>0</v>
      </c>
      <c r="AA22" s="451">
        <f t="shared" si="7"/>
        <v>0</v>
      </c>
      <c r="AB22" s="451">
        <f t="shared" si="7"/>
        <v>0</v>
      </c>
      <c r="AC22" s="451">
        <f t="shared" si="7"/>
        <v>0</v>
      </c>
    </row>
    <row r="23" spans="2:36">
      <c r="B23" s="444" t="s">
        <v>153</v>
      </c>
      <c r="F23" s="451">
        <f>+F61/$J$11*0.5</f>
        <v>22.930495412844028</v>
      </c>
      <c r="G23" s="451">
        <f t="shared" ref="G23:AC23" si="8">+IF(F115&gt;0,MIN(G61/$J$11,F115),0)</f>
        <v>45.860990825688056</v>
      </c>
      <c r="H23" s="451">
        <f t="shared" si="8"/>
        <v>45.860990825688056</v>
      </c>
      <c r="I23" s="451">
        <f t="shared" si="8"/>
        <v>45.860990825688056</v>
      </c>
      <c r="J23" s="451">
        <f t="shared" si="8"/>
        <v>45.860990825688056</v>
      </c>
      <c r="K23" s="451">
        <f t="shared" si="8"/>
        <v>43.567941284403673</v>
      </c>
      <c r="L23" s="451">
        <f t="shared" si="8"/>
        <v>0</v>
      </c>
      <c r="M23" s="451">
        <f t="shared" si="8"/>
        <v>0</v>
      </c>
      <c r="N23" s="451">
        <f t="shared" si="8"/>
        <v>0</v>
      </c>
      <c r="O23" s="451">
        <f t="shared" si="8"/>
        <v>0</v>
      </c>
      <c r="P23" s="451">
        <f t="shared" si="8"/>
        <v>0</v>
      </c>
      <c r="Q23" s="451">
        <f t="shared" si="8"/>
        <v>0</v>
      </c>
      <c r="R23" s="451">
        <f t="shared" si="8"/>
        <v>0</v>
      </c>
      <c r="S23" s="451">
        <f t="shared" si="8"/>
        <v>0</v>
      </c>
      <c r="T23" s="451">
        <f t="shared" si="8"/>
        <v>0</v>
      </c>
      <c r="U23" s="451">
        <f t="shared" si="8"/>
        <v>0</v>
      </c>
      <c r="V23" s="451">
        <f t="shared" si="8"/>
        <v>0</v>
      </c>
      <c r="W23" s="451">
        <f t="shared" si="8"/>
        <v>0</v>
      </c>
      <c r="X23" s="451">
        <f t="shared" si="8"/>
        <v>0</v>
      </c>
      <c r="Y23" s="451">
        <f t="shared" si="8"/>
        <v>0</v>
      </c>
      <c r="Z23" s="451">
        <f t="shared" si="8"/>
        <v>0</v>
      </c>
      <c r="AA23" s="451">
        <f t="shared" si="8"/>
        <v>0</v>
      </c>
      <c r="AB23" s="451">
        <f t="shared" si="8"/>
        <v>0</v>
      </c>
      <c r="AC23" s="451">
        <f t="shared" si="8"/>
        <v>0</v>
      </c>
    </row>
    <row r="24" spans="2:36">
      <c r="B24" s="444" t="s">
        <v>152</v>
      </c>
      <c r="G24" s="451">
        <f>+G62/$J$11*0.5</f>
        <v>15.393724770642182</v>
      </c>
      <c r="H24" s="451">
        <f t="shared" ref="H24:AC24" si="9">+IF(G116&gt;0,MIN(H62/$J$11,G116),0)</f>
        <v>30.787449541284364</v>
      </c>
      <c r="I24" s="451">
        <f t="shared" si="9"/>
        <v>30.787449541284364</v>
      </c>
      <c r="J24" s="451">
        <f t="shared" si="9"/>
        <v>30.787449541284364</v>
      </c>
      <c r="K24" s="451">
        <f t="shared" si="9"/>
        <v>30.787449541284364</v>
      </c>
      <c r="L24" s="451">
        <f t="shared" si="9"/>
        <v>29.248077064220155</v>
      </c>
      <c r="M24" s="451">
        <f t="shared" si="9"/>
        <v>0</v>
      </c>
      <c r="N24" s="451">
        <f t="shared" si="9"/>
        <v>0</v>
      </c>
      <c r="O24" s="451">
        <f t="shared" si="9"/>
        <v>0</v>
      </c>
      <c r="P24" s="451">
        <f t="shared" si="9"/>
        <v>0</v>
      </c>
      <c r="Q24" s="451">
        <f t="shared" si="9"/>
        <v>0</v>
      </c>
      <c r="R24" s="451">
        <f t="shared" si="9"/>
        <v>0</v>
      </c>
      <c r="S24" s="451">
        <f t="shared" si="9"/>
        <v>0</v>
      </c>
      <c r="T24" s="451">
        <f t="shared" si="9"/>
        <v>0</v>
      </c>
      <c r="U24" s="451">
        <f t="shared" si="9"/>
        <v>0</v>
      </c>
      <c r="V24" s="451">
        <f t="shared" si="9"/>
        <v>0</v>
      </c>
      <c r="W24" s="451">
        <f t="shared" si="9"/>
        <v>0</v>
      </c>
      <c r="X24" s="451">
        <f t="shared" si="9"/>
        <v>0</v>
      </c>
      <c r="Y24" s="451">
        <f t="shared" si="9"/>
        <v>0</v>
      </c>
      <c r="Z24" s="451">
        <f t="shared" si="9"/>
        <v>0</v>
      </c>
      <c r="AA24" s="451">
        <f t="shared" si="9"/>
        <v>0</v>
      </c>
      <c r="AB24" s="451">
        <f t="shared" si="9"/>
        <v>0</v>
      </c>
      <c r="AC24" s="451">
        <f t="shared" si="9"/>
        <v>0</v>
      </c>
    </row>
    <row r="25" spans="2:36">
      <c r="B25" s="444" t="s">
        <v>151</v>
      </c>
      <c r="H25" s="451">
        <f>+H63/$J$11*0.5</f>
        <v>35.424807339449586</v>
      </c>
      <c r="I25" s="451">
        <f t="shared" ref="I25:AC25" si="10">+IF(H117&gt;0,MIN(I63/$J$11,H117),0)</f>
        <v>70.849614678899172</v>
      </c>
      <c r="J25" s="451">
        <f t="shared" si="10"/>
        <v>70.849614678899172</v>
      </c>
      <c r="K25" s="451">
        <f t="shared" si="10"/>
        <v>70.849614678899172</v>
      </c>
      <c r="L25" s="451">
        <f t="shared" si="10"/>
        <v>70.849614678899172</v>
      </c>
      <c r="M25" s="451">
        <f t="shared" si="10"/>
        <v>67.307133944954217</v>
      </c>
      <c r="N25" s="451">
        <f t="shared" si="10"/>
        <v>0</v>
      </c>
      <c r="O25" s="451">
        <f t="shared" si="10"/>
        <v>0</v>
      </c>
      <c r="P25" s="451">
        <f t="shared" si="10"/>
        <v>0</v>
      </c>
      <c r="Q25" s="451">
        <f t="shared" si="10"/>
        <v>0</v>
      </c>
      <c r="R25" s="451">
        <f t="shared" si="10"/>
        <v>0</v>
      </c>
      <c r="S25" s="451">
        <f t="shared" si="10"/>
        <v>0</v>
      </c>
      <c r="T25" s="451">
        <f t="shared" si="10"/>
        <v>0</v>
      </c>
      <c r="U25" s="451">
        <f t="shared" si="10"/>
        <v>0</v>
      </c>
      <c r="V25" s="451">
        <f t="shared" si="10"/>
        <v>0</v>
      </c>
      <c r="W25" s="451">
        <f t="shared" si="10"/>
        <v>0</v>
      </c>
      <c r="X25" s="451">
        <f t="shared" si="10"/>
        <v>0</v>
      </c>
      <c r="Y25" s="451">
        <f t="shared" si="10"/>
        <v>0</v>
      </c>
      <c r="Z25" s="451">
        <f t="shared" si="10"/>
        <v>0</v>
      </c>
      <c r="AA25" s="451">
        <f t="shared" si="10"/>
        <v>0</v>
      </c>
      <c r="AB25" s="451">
        <f t="shared" si="10"/>
        <v>0</v>
      </c>
      <c r="AC25" s="451">
        <f t="shared" si="10"/>
        <v>0</v>
      </c>
    </row>
    <row r="26" spans="2:36">
      <c r="B26" s="444" t="s">
        <v>150</v>
      </c>
      <c r="I26" s="451">
        <f>+I64/$J$11*0.5</f>
        <v>15.568495412844014</v>
      </c>
      <c r="J26" s="451">
        <f t="shared" ref="J26:AC26" si="11">+IF(I118&gt;0,MIN(J64/$J$11,I118),0)</f>
        <v>31.136990825688027</v>
      </c>
      <c r="K26" s="451">
        <f t="shared" si="11"/>
        <v>31.136990825688027</v>
      </c>
      <c r="L26" s="451">
        <f t="shared" si="11"/>
        <v>31.136990825688027</v>
      </c>
      <c r="M26" s="451">
        <f t="shared" si="11"/>
        <v>31.136990825688027</v>
      </c>
      <c r="N26" s="451">
        <f t="shared" si="11"/>
        <v>29.580141284403652</v>
      </c>
      <c r="O26" s="451">
        <f t="shared" si="11"/>
        <v>0</v>
      </c>
      <c r="P26" s="451">
        <f t="shared" si="11"/>
        <v>0</v>
      </c>
      <c r="Q26" s="451">
        <f t="shared" si="11"/>
        <v>0</v>
      </c>
      <c r="R26" s="451">
        <f t="shared" si="11"/>
        <v>0</v>
      </c>
      <c r="S26" s="451">
        <f t="shared" si="11"/>
        <v>0</v>
      </c>
      <c r="T26" s="451">
        <f t="shared" si="11"/>
        <v>0</v>
      </c>
      <c r="U26" s="451">
        <f t="shared" si="11"/>
        <v>0</v>
      </c>
      <c r="V26" s="451">
        <f t="shared" si="11"/>
        <v>0</v>
      </c>
      <c r="W26" s="451">
        <f t="shared" si="11"/>
        <v>0</v>
      </c>
      <c r="X26" s="451">
        <f t="shared" si="11"/>
        <v>0</v>
      </c>
      <c r="Y26" s="451">
        <f t="shared" si="11"/>
        <v>0</v>
      </c>
      <c r="Z26" s="451">
        <f t="shared" si="11"/>
        <v>0</v>
      </c>
      <c r="AA26" s="451">
        <f t="shared" si="11"/>
        <v>0</v>
      </c>
      <c r="AB26" s="451">
        <f t="shared" si="11"/>
        <v>0</v>
      </c>
      <c r="AC26" s="451">
        <f t="shared" si="11"/>
        <v>0</v>
      </c>
      <c r="AD26" s="451"/>
    </row>
    <row r="27" spans="2:36">
      <c r="B27" s="444" t="s">
        <v>10</v>
      </c>
      <c r="J27" s="451">
        <f>+J65/$J$11*0.5</f>
        <v>14.771587155963294</v>
      </c>
      <c r="K27" s="451">
        <f t="shared" ref="K27:AC27" si="12">+IF(J119&gt;0,MIN(K65/$J$11,J119),0)</f>
        <v>29.543174311926588</v>
      </c>
      <c r="L27" s="451">
        <f t="shared" si="12"/>
        <v>29.543174311926588</v>
      </c>
      <c r="M27" s="451">
        <f t="shared" si="12"/>
        <v>29.543174311926588</v>
      </c>
      <c r="N27" s="451">
        <f t="shared" si="12"/>
        <v>29.543174311926588</v>
      </c>
      <c r="O27" s="451">
        <f t="shared" si="12"/>
        <v>28.06601559633026</v>
      </c>
      <c r="P27" s="451">
        <f t="shared" si="12"/>
        <v>0</v>
      </c>
      <c r="Q27" s="451">
        <f t="shared" si="12"/>
        <v>0</v>
      </c>
      <c r="R27" s="451">
        <f t="shared" si="12"/>
        <v>0</v>
      </c>
      <c r="S27" s="451">
        <f t="shared" si="12"/>
        <v>0</v>
      </c>
      <c r="T27" s="451">
        <f t="shared" si="12"/>
        <v>0</v>
      </c>
      <c r="U27" s="451">
        <f t="shared" si="12"/>
        <v>0</v>
      </c>
      <c r="V27" s="451">
        <f t="shared" si="12"/>
        <v>0</v>
      </c>
      <c r="W27" s="451">
        <f t="shared" si="12"/>
        <v>0</v>
      </c>
      <c r="X27" s="451">
        <f t="shared" si="12"/>
        <v>0</v>
      </c>
      <c r="Y27" s="451">
        <f t="shared" si="12"/>
        <v>0</v>
      </c>
      <c r="Z27" s="451">
        <f t="shared" si="12"/>
        <v>0</v>
      </c>
      <c r="AA27" s="451">
        <f t="shared" si="12"/>
        <v>0</v>
      </c>
      <c r="AB27" s="451">
        <f t="shared" si="12"/>
        <v>0</v>
      </c>
      <c r="AC27" s="451">
        <f t="shared" si="12"/>
        <v>0</v>
      </c>
      <c r="AD27" s="451"/>
      <c r="AE27" s="451"/>
    </row>
    <row r="28" spans="2:36">
      <c r="B28" s="444" t="s">
        <v>11</v>
      </c>
      <c r="K28" s="451">
        <f>+K66/$J$11*0.5</f>
        <v>48.373999999999967</v>
      </c>
      <c r="L28" s="451">
        <f t="shared" ref="L28:AC28" si="13">+IF(K120&gt;0,MIN(L66/$J$11,K120),0)</f>
        <v>96.747999999999934</v>
      </c>
      <c r="M28" s="451">
        <f t="shared" si="13"/>
        <v>96.747999999999934</v>
      </c>
      <c r="N28" s="451">
        <f t="shared" si="13"/>
        <v>96.747999999999934</v>
      </c>
      <c r="O28" s="451">
        <f t="shared" si="13"/>
        <v>96.747999999999934</v>
      </c>
      <c r="P28" s="451">
        <f t="shared" si="13"/>
        <v>91.910599999999988</v>
      </c>
      <c r="Q28" s="451">
        <f t="shared" si="13"/>
        <v>0</v>
      </c>
      <c r="R28" s="451">
        <f t="shared" si="13"/>
        <v>0</v>
      </c>
      <c r="S28" s="451">
        <f t="shared" si="13"/>
        <v>0</v>
      </c>
      <c r="T28" s="451">
        <f t="shared" si="13"/>
        <v>0</v>
      </c>
      <c r="U28" s="451">
        <f t="shared" si="13"/>
        <v>0</v>
      </c>
      <c r="V28" s="451">
        <f t="shared" si="13"/>
        <v>0</v>
      </c>
      <c r="W28" s="451">
        <f t="shared" si="13"/>
        <v>0</v>
      </c>
      <c r="X28" s="451">
        <f t="shared" si="13"/>
        <v>0</v>
      </c>
      <c r="Y28" s="451">
        <f t="shared" si="13"/>
        <v>0</v>
      </c>
      <c r="Z28" s="451">
        <f t="shared" si="13"/>
        <v>0</v>
      </c>
      <c r="AA28" s="451">
        <f t="shared" si="13"/>
        <v>0</v>
      </c>
      <c r="AB28" s="451">
        <f t="shared" si="13"/>
        <v>0</v>
      </c>
      <c r="AC28" s="451">
        <f t="shared" si="13"/>
        <v>0</v>
      </c>
      <c r="AD28" s="451"/>
      <c r="AE28" s="451"/>
      <c r="AF28" s="451"/>
    </row>
    <row r="29" spans="2:36">
      <c r="B29" s="444" t="s">
        <v>1</v>
      </c>
      <c r="L29" s="451">
        <f>+L67/$J$11*0.5</f>
        <v>26.291587155963356</v>
      </c>
      <c r="M29" s="451">
        <f t="shared" ref="M29:AC29" si="14">+IF(L121&gt;0,MIN(M67/$J$11,L121),0)</f>
        <v>52.583174311926712</v>
      </c>
      <c r="N29" s="451">
        <f t="shared" si="14"/>
        <v>52.583174311926712</v>
      </c>
      <c r="O29" s="451">
        <f t="shared" si="14"/>
        <v>52.583174311926712</v>
      </c>
      <c r="P29" s="451">
        <f t="shared" si="14"/>
        <v>52.583174311926712</v>
      </c>
      <c r="Q29" s="451">
        <f t="shared" si="14"/>
        <v>49.954015596330379</v>
      </c>
      <c r="R29" s="451">
        <f t="shared" si="14"/>
        <v>0</v>
      </c>
      <c r="S29" s="451">
        <f t="shared" si="14"/>
        <v>0</v>
      </c>
      <c r="T29" s="451">
        <f t="shared" si="14"/>
        <v>0</v>
      </c>
      <c r="U29" s="451">
        <f t="shared" si="14"/>
        <v>0</v>
      </c>
      <c r="V29" s="451">
        <f t="shared" si="14"/>
        <v>0</v>
      </c>
      <c r="W29" s="451">
        <f t="shared" si="14"/>
        <v>0</v>
      </c>
      <c r="X29" s="451">
        <f t="shared" si="14"/>
        <v>0</v>
      </c>
      <c r="Y29" s="451">
        <f t="shared" si="14"/>
        <v>0</v>
      </c>
      <c r="Z29" s="451">
        <f t="shared" si="14"/>
        <v>0</v>
      </c>
      <c r="AA29" s="451">
        <f t="shared" si="14"/>
        <v>0</v>
      </c>
      <c r="AB29" s="451">
        <f t="shared" si="14"/>
        <v>0</v>
      </c>
      <c r="AC29" s="451">
        <f t="shared" si="14"/>
        <v>0</v>
      </c>
      <c r="AD29" s="451"/>
      <c r="AE29" s="451"/>
      <c r="AF29" s="451"/>
      <c r="AG29" s="451"/>
    </row>
    <row r="30" spans="2:36">
      <c r="B30" s="444" t="s">
        <v>2</v>
      </c>
      <c r="M30" s="451">
        <f>+M68/$J$11*0.5</f>
        <v>16.830522935779801</v>
      </c>
      <c r="N30" s="451">
        <f t="shared" ref="N30:AC30" si="15">+IF(M122&gt;0,MIN(N68/$J$11,M122),0)</f>
        <v>33.661045871559601</v>
      </c>
      <c r="O30" s="451">
        <f t="shared" si="15"/>
        <v>33.661045871559601</v>
      </c>
      <c r="P30" s="451">
        <f t="shared" si="15"/>
        <v>33.661045871559601</v>
      </c>
      <c r="Q30" s="451">
        <f t="shared" si="15"/>
        <v>33.661045871559601</v>
      </c>
      <c r="R30" s="451">
        <f t="shared" si="15"/>
        <v>31.977993577981636</v>
      </c>
      <c r="S30" s="451">
        <f t="shared" si="15"/>
        <v>0</v>
      </c>
      <c r="T30" s="451">
        <f t="shared" si="15"/>
        <v>0</v>
      </c>
      <c r="U30" s="451">
        <f t="shared" si="15"/>
        <v>0</v>
      </c>
      <c r="V30" s="451">
        <f t="shared" si="15"/>
        <v>0</v>
      </c>
      <c r="W30" s="451">
        <f t="shared" si="15"/>
        <v>0</v>
      </c>
      <c r="X30" s="451">
        <f t="shared" si="15"/>
        <v>0</v>
      </c>
      <c r="Y30" s="451">
        <f t="shared" si="15"/>
        <v>0</v>
      </c>
      <c r="Z30" s="451">
        <f t="shared" si="15"/>
        <v>0</v>
      </c>
      <c r="AA30" s="451">
        <f t="shared" si="15"/>
        <v>0</v>
      </c>
      <c r="AB30" s="451">
        <f t="shared" si="15"/>
        <v>0</v>
      </c>
      <c r="AC30" s="451">
        <f t="shared" si="15"/>
        <v>0</v>
      </c>
      <c r="AD30" s="451"/>
      <c r="AE30" s="451"/>
      <c r="AF30" s="451"/>
      <c r="AG30" s="451"/>
      <c r="AH30" s="451"/>
    </row>
    <row r="31" spans="2:36">
      <c r="B31" s="444" t="s">
        <v>3</v>
      </c>
      <c r="N31" s="451">
        <f>+N69/$J$11*0.5</f>
        <v>75.138201834862315</v>
      </c>
      <c r="O31" s="451">
        <f t="shared" ref="O31:AC31" si="16">+IF(N123&gt;0,MIN(O69/$J$11,N123),0)</f>
        <v>150.27640366972463</v>
      </c>
      <c r="P31" s="451">
        <f t="shared" si="16"/>
        <v>150.27640366972463</v>
      </c>
      <c r="Q31" s="451">
        <f t="shared" si="16"/>
        <v>150.27640366972463</v>
      </c>
      <c r="R31" s="451">
        <f t="shared" si="16"/>
        <v>150.27640366972463</v>
      </c>
      <c r="S31" s="451">
        <f t="shared" si="16"/>
        <v>142.76258348623833</v>
      </c>
      <c r="T31" s="451">
        <f t="shared" si="16"/>
        <v>0</v>
      </c>
      <c r="U31" s="451">
        <f t="shared" si="16"/>
        <v>0</v>
      </c>
      <c r="V31" s="451">
        <f t="shared" si="16"/>
        <v>0</v>
      </c>
      <c r="W31" s="451">
        <f t="shared" si="16"/>
        <v>0</v>
      </c>
      <c r="X31" s="451">
        <f t="shared" si="16"/>
        <v>0</v>
      </c>
      <c r="Y31" s="451">
        <f t="shared" si="16"/>
        <v>0</v>
      </c>
      <c r="Z31" s="451">
        <f t="shared" si="16"/>
        <v>0</v>
      </c>
      <c r="AA31" s="451">
        <f t="shared" si="16"/>
        <v>0</v>
      </c>
      <c r="AB31" s="451">
        <f t="shared" si="16"/>
        <v>0</v>
      </c>
      <c r="AC31" s="451">
        <f t="shared" si="16"/>
        <v>0</v>
      </c>
      <c r="AD31" s="451"/>
      <c r="AE31" s="451"/>
      <c r="AF31" s="451"/>
      <c r="AG31" s="451"/>
      <c r="AH31" s="451"/>
      <c r="AI31" s="451"/>
    </row>
    <row r="32" spans="2:36">
      <c r="B32" s="444" t="s">
        <v>4</v>
      </c>
      <c r="O32" s="451">
        <f>+O70/$J$11*0.5</f>
        <v>40.292238532110204</v>
      </c>
      <c r="P32" s="451">
        <f t="shared" ref="P32:AC32" si="17">+IF(O124&gt;0,MIN(P70/$J$11,O124),0)</f>
        <v>80.584477064220408</v>
      </c>
      <c r="Q32" s="451">
        <f t="shared" si="17"/>
        <v>80.584477064220408</v>
      </c>
      <c r="R32" s="451">
        <f t="shared" si="17"/>
        <v>80.584477064220408</v>
      </c>
      <c r="S32" s="451">
        <f t="shared" si="17"/>
        <v>80.584477064220408</v>
      </c>
      <c r="T32" s="451">
        <f t="shared" si="17"/>
        <v>76.555253211009358</v>
      </c>
      <c r="U32" s="451">
        <f t="shared" si="17"/>
        <v>0</v>
      </c>
      <c r="V32" s="451">
        <f t="shared" si="17"/>
        <v>0</v>
      </c>
      <c r="W32" s="451">
        <f t="shared" si="17"/>
        <v>0</v>
      </c>
      <c r="X32" s="451">
        <f t="shared" si="17"/>
        <v>0</v>
      </c>
      <c r="Y32" s="451">
        <f t="shared" si="17"/>
        <v>0</v>
      </c>
      <c r="Z32" s="451">
        <f t="shared" si="17"/>
        <v>0</v>
      </c>
      <c r="AA32" s="451">
        <f t="shared" si="17"/>
        <v>0</v>
      </c>
      <c r="AB32" s="451">
        <f t="shared" si="17"/>
        <v>0</v>
      </c>
      <c r="AC32" s="451">
        <f t="shared" si="17"/>
        <v>0</v>
      </c>
      <c r="AD32" s="451"/>
      <c r="AE32" s="451"/>
      <c r="AF32" s="451"/>
      <c r="AG32" s="451"/>
      <c r="AH32" s="451"/>
      <c r="AI32" s="451"/>
      <c r="AJ32" s="451"/>
    </row>
    <row r="33" spans="2:40">
      <c r="B33" s="444" t="s">
        <v>5</v>
      </c>
      <c r="P33" s="451">
        <f>+P71/$J$11*0.5</f>
        <v>34.909752293577917</v>
      </c>
      <c r="Q33" s="451">
        <f t="shared" ref="Q33:AC33" si="18">+IF(P125&gt;0,MIN(Q71/$J$11,P125),0)</f>
        <v>69.819504587155834</v>
      </c>
      <c r="R33" s="451">
        <f t="shared" si="18"/>
        <v>69.819504587155834</v>
      </c>
      <c r="S33" s="451">
        <f t="shared" si="18"/>
        <v>69.819504587155834</v>
      </c>
      <c r="T33" s="451">
        <f t="shared" si="18"/>
        <v>69.819504587155834</v>
      </c>
      <c r="U33" s="451">
        <f t="shared" si="18"/>
        <v>66.328529357798061</v>
      </c>
      <c r="V33" s="451">
        <f t="shared" si="18"/>
        <v>0</v>
      </c>
      <c r="W33" s="451">
        <f t="shared" si="18"/>
        <v>0</v>
      </c>
      <c r="X33" s="451">
        <f t="shared" si="18"/>
        <v>0</v>
      </c>
      <c r="Y33" s="451">
        <f t="shared" si="18"/>
        <v>0</v>
      </c>
      <c r="Z33" s="451">
        <f t="shared" si="18"/>
        <v>0</v>
      </c>
      <c r="AA33" s="451">
        <f t="shared" si="18"/>
        <v>0</v>
      </c>
      <c r="AB33" s="451">
        <f t="shared" si="18"/>
        <v>0</v>
      </c>
      <c r="AC33" s="451">
        <f t="shared" si="18"/>
        <v>0</v>
      </c>
      <c r="AD33" s="451"/>
      <c r="AE33" s="451"/>
      <c r="AF33" s="451"/>
      <c r="AG33" s="451"/>
      <c r="AH33" s="451"/>
      <c r="AI33" s="451"/>
      <c r="AJ33" s="451"/>
      <c r="AK33" s="451"/>
    </row>
    <row r="34" spans="2:40">
      <c r="B34" s="444" t="s">
        <v>68</v>
      </c>
      <c r="Q34" s="451">
        <f>+Q72/$J$11*0.5</f>
        <v>117.85469724770637</v>
      </c>
      <c r="R34" s="451">
        <f t="shared" ref="R34:AC34" si="19">+IF(Q126&gt;0,MIN(R72/$J$11,Q126),0)</f>
        <v>235.70939449541274</v>
      </c>
      <c r="S34" s="451">
        <f t="shared" si="19"/>
        <v>235.70939449541274</v>
      </c>
      <c r="T34" s="451">
        <f t="shared" si="19"/>
        <v>235.70939449541274</v>
      </c>
      <c r="U34" s="451">
        <f t="shared" si="19"/>
        <v>235.70939449541274</v>
      </c>
      <c r="V34" s="451">
        <f t="shared" si="19"/>
        <v>223.92392477064209</v>
      </c>
      <c r="W34" s="451">
        <f t="shared" si="19"/>
        <v>0</v>
      </c>
      <c r="X34" s="451">
        <f t="shared" si="19"/>
        <v>0</v>
      </c>
      <c r="Y34" s="451">
        <f t="shared" si="19"/>
        <v>0</v>
      </c>
      <c r="Z34" s="451">
        <f t="shared" si="19"/>
        <v>0</v>
      </c>
      <c r="AA34" s="451">
        <f t="shared" si="19"/>
        <v>0</v>
      </c>
      <c r="AB34" s="451">
        <f t="shared" si="19"/>
        <v>0</v>
      </c>
      <c r="AC34" s="451">
        <f t="shared" si="19"/>
        <v>0</v>
      </c>
      <c r="AD34" s="451"/>
      <c r="AE34" s="451"/>
      <c r="AF34" s="451"/>
      <c r="AG34" s="451"/>
      <c r="AH34" s="451"/>
      <c r="AI34" s="451"/>
      <c r="AJ34" s="451"/>
      <c r="AK34" s="451"/>
      <c r="AL34" s="451"/>
    </row>
    <row r="35" spans="2:40">
      <c r="B35" s="444" t="s">
        <v>6</v>
      </c>
      <c r="R35" s="451">
        <f ca="1">+R73/$J$12*0.5</f>
        <v>81.75832445715065</v>
      </c>
      <c r="S35" s="451">
        <f t="shared" ref="S35:AC35" ca="1" si="20">+IF(R127&gt;0,MIN(S73/$J$12,R127),0)</f>
        <v>163.5166489143013</v>
      </c>
      <c r="T35" s="451">
        <f t="shared" ca="1" si="20"/>
        <v>163.5166489143013</v>
      </c>
      <c r="U35" s="451">
        <f t="shared" ca="1" si="20"/>
        <v>163.5166489143013</v>
      </c>
      <c r="V35" s="451">
        <f t="shared" ca="1" si="20"/>
        <v>163.5166489143013</v>
      </c>
      <c r="W35" s="451">
        <f t="shared" ca="1" si="20"/>
        <v>155.34081646858624</v>
      </c>
      <c r="X35" s="451">
        <f t="shared" ca="1" si="20"/>
        <v>0</v>
      </c>
      <c r="Y35" s="451">
        <f t="shared" ca="1" si="20"/>
        <v>0</v>
      </c>
      <c r="Z35" s="451">
        <f t="shared" ca="1" si="20"/>
        <v>0</v>
      </c>
      <c r="AA35" s="451">
        <f t="shared" ca="1" si="20"/>
        <v>0</v>
      </c>
      <c r="AB35" s="451">
        <f t="shared" ca="1" si="20"/>
        <v>0</v>
      </c>
      <c r="AC35" s="451">
        <f t="shared" ca="1" si="20"/>
        <v>0</v>
      </c>
      <c r="AD35" s="451"/>
      <c r="AE35" s="451"/>
      <c r="AF35" s="451"/>
      <c r="AG35" s="451"/>
      <c r="AH35" s="451"/>
      <c r="AI35" s="451"/>
      <c r="AJ35" s="451"/>
      <c r="AK35" s="451"/>
      <c r="AL35" s="451"/>
      <c r="AM35" s="451"/>
    </row>
    <row r="36" spans="2:40">
      <c r="B36" s="444" t="s">
        <v>22</v>
      </c>
      <c r="R36" s="451"/>
      <c r="S36" s="451">
        <f ca="1">+S74/$J$12*0.5</f>
        <v>102.68667237339662</v>
      </c>
      <c r="T36" s="451">
        <f t="shared" ref="T36:AC36" ca="1" si="21">+IF(S128&gt;0,MIN(T74/$J$12,S128),0)</f>
        <v>205.37334474679324</v>
      </c>
      <c r="U36" s="451">
        <f t="shared" ca="1" si="21"/>
        <v>205.37334474679324</v>
      </c>
      <c r="V36" s="451">
        <f t="shared" ca="1" si="21"/>
        <v>205.37334474679324</v>
      </c>
      <c r="W36" s="451">
        <f t="shared" ca="1" si="21"/>
        <v>205.37334474679324</v>
      </c>
      <c r="X36" s="451">
        <f t="shared" ca="1" si="21"/>
        <v>195.10467750945361</v>
      </c>
      <c r="Y36" s="451">
        <f t="shared" ca="1" si="21"/>
        <v>0</v>
      </c>
      <c r="Z36" s="451">
        <f t="shared" ca="1" si="21"/>
        <v>0</v>
      </c>
      <c r="AA36" s="451">
        <f t="shared" ca="1" si="21"/>
        <v>0</v>
      </c>
      <c r="AB36" s="451">
        <f t="shared" ca="1" si="21"/>
        <v>0</v>
      </c>
      <c r="AC36" s="451">
        <f t="shared" ca="1" si="21"/>
        <v>0</v>
      </c>
      <c r="AD36" s="451"/>
      <c r="AE36" s="451"/>
      <c r="AF36" s="451"/>
      <c r="AG36" s="451"/>
      <c r="AH36" s="451"/>
      <c r="AI36" s="451"/>
      <c r="AJ36" s="451"/>
      <c r="AK36" s="451"/>
      <c r="AL36" s="451"/>
      <c r="AM36" s="451"/>
      <c r="AN36" s="451"/>
    </row>
    <row r="37" spans="2:40">
      <c r="B37" s="444" t="s">
        <v>23</v>
      </c>
      <c r="R37" s="451"/>
      <c r="S37" s="451"/>
      <c r="T37" s="451">
        <f ca="1">+T75/$J$12*0.5</f>
        <v>123.23712814705942</v>
      </c>
      <c r="U37" s="451">
        <f t="shared" ref="U37:AC37" ca="1" si="22">+IF(T129&gt;0,MIN(U75/$J$12,T129),0)</f>
        <v>246.47425629411885</v>
      </c>
      <c r="V37" s="451">
        <f t="shared" ca="1" si="22"/>
        <v>246.47425629411885</v>
      </c>
      <c r="W37" s="451">
        <f t="shared" ca="1" si="22"/>
        <v>246.47425629411885</v>
      </c>
      <c r="X37" s="451">
        <f t="shared" ca="1" si="22"/>
        <v>246.47425629411885</v>
      </c>
      <c r="Y37" s="451">
        <f t="shared" ca="1" si="22"/>
        <v>234.15054347941305</v>
      </c>
      <c r="Z37" s="451">
        <f t="shared" ca="1" si="22"/>
        <v>0</v>
      </c>
      <c r="AA37" s="451">
        <f t="shared" ca="1" si="22"/>
        <v>0</v>
      </c>
      <c r="AB37" s="451">
        <f t="shared" ca="1" si="22"/>
        <v>0</v>
      </c>
      <c r="AC37" s="451">
        <f t="shared" ca="1" si="22"/>
        <v>0</v>
      </c>
      <c r="AD37" s="451"/>
      <c r="AE37" s="451"/>
      <c r="AF37" s="451"/>
      <c r="AG37" s="451"/>
      <c r="AH37" s="451"/>
      <c r="AI37" s="451"/>
      <c r="AJ37" s="451"/>
      <c r="AK37" s="451"/>
      <c r="AL37" s="451"/>
      <c r="AM37" s="451"/>
      <c r="AN37" s="451"/>
    </row>
    <row r="38" spans="2:40">
      <c r="B38" s="444" t="s">
        <v>24</v>
      </c>
      <c r="R38" s="451"/>
      <c r="S38" s="451"/>
      <c r="T38" s="451"/>
      <c r="U38" s="451">
        <f ca="1">+U76/$J$12*0.5</f>
        <v>144.04298727891333</v>
      </c>
      <c r="V38" s="451">
        <f t="shared" ref="V38:AC38" ca="1" si="23">+IF(U130&gt;0,MIN(V76/$J$12,U130),0)</f>
        <v>288.08597455782666</v>
      </c>
      <c r="W38" s="451">
        <f t="shared" ca="1" si="23"/>
        <v>288.08597455782666</v>
      </c>
      <c r="X38" s="451">
        <f t="shared" ca="1" si="23"/>
        <v>288.08597455782666</v>
      </c>
      <c r="Y38" s="451">
        <f t="shared" ca="1" si="23"/>
        <v>288.08597455782666</v>
      </c>
      <c r="Z38" s="451">
        <f t="shared" ca="1" si="23"/>
        <v>273.68167582993556</v>
      </c>
      <c r="AA38" s="451">
        <f t="shared" ca="1" si="23"/>
        <v>0</v>
      </c>
      <c r="AB38" s="451">
        <f t="shared" ca="1" si="23"/>
        <v>0</v>
      </c>
      <c r="AC38" s="451">
        <f t="shared" ca="1" si="23"/>
        <v>0</v>
      </c>
      <c r="AD38" s="451"/>
      <c r="AE38" s="451"/>
      <c r="AF38" s="451"/>
      <c r="AG38" s="451"/>
      <c r="AH38" s="451"/>
      <c r="AI38" s="451"/>
      <c r="AJ38" s="451"/>
      <c r="AK38" s="451"/>
      <c r="AL38" s="451"/>
      <c r="AM38" s="451"/>
      <c r="AN38" s="451"/>
    </row>
    <row r="39" spans="2:40">
      <c r="B39" s="444" t="s">
        <v>25</v>
      </c>
      <c r="R39" s="451"/>
      <c r="S39" s="451"/>
      <c r="T39" s="451"/>
      <c r="U39" s="451"/>
      <c r="V39" s="451">
        <f ca="1">+V77/$J$12*0.5</f>
        <v>166.06306454822604</v>
      </c>
      <c r="W39" s="451">
        <f t="shared" ref="W39:AC39" ca="1" si="24">+IF(V131&gt;0,MIN(W77/$J$12,V131),0)</f>
        <v>332.12612909645208</v>
      </c>
      <c r="X39" s="451">
        <f t="shared" ca="1" si="24"/>
        <v>332.12612909645208</v>
      </c>
      <c r="Y39" s="451">
        <f t="shared" ca="1" si="24"/>
        <v>332.12612909645208</v>
      </c>
      <c r="Z39" s="451">
        <f t="shared" ca="1" si="24"/>
        <v>332.12612909645208</v>
      </c>
      <c r="AA39" s="451">
        <f t="shared" ca="1" si="24"/>
        <v>315.51982264162962</v>
      </c>
      <c r="AB39" s="451">
        <f t="shared" ca="1" si="24"/>
        <v>0</v>
      </c>
      <c r="AC39" s="451">
        <f t="shared" ca="1" si="24"/>
        <v>0</v>
      </c>
      <c r="AD39" s="451"/>
      <c r="AE39" s="451"/>
      <c r="AF39" s="451"/>
      <c r="AG39" s="451"/>
      <c r="AH39" s="451"/>
      <c r="AI39" s="451"/>
      <c r="AJ39" s="451"/>
      <c r="AK39" s="451"/>
      <c r="AL39" s="451"/>
      <c r="AM39" s="451"/>
      <c r="AN39" s="451"/>
    </row>
    <row r="40" spans="2:40">
      <c r="B40" s="444" t="s">
        <v>26</v>
      </c>
      <c r="R40" s="451"/>
      <c r="S40" s="451"/>
      <c r="T40" s="451"/>
      <c r="U40" s="451"/>
      <c r="V40" s="451"/>
      <c r="W40" s="451">
        <f ca="1">+W78/$J$12*0.5</f>
        <v>191.4900613908118</v>
      </c>
      <c r="X40" s="451">
        <f t="shared" ref="X40:AC40" ca="1" si="25">+IF(W132&gt;0,MIN(X78/$J$12,W132),0)</f>
        <v>382.98012278162361</v>
      </c>
      <c r="Y40" s="451">
        <f t="shared" ca="1" si="25"/>
        <v>382.98012278162361</v>
      </c>
      <c r="Z40" s="451">
        <f t="shared" ca="1" si="25"/>
        <v>382.98012278162361</v>
      </c>
      <c r="AA40" s="451">
        <f t="shared" ca="1" si="25"/>
        <v>382.98012278162361</v>
      </c>
      <c r="AB40" s="451">
        <f t="shared" ca="1" si="25"/>
        <v>363.83111664254238</v>
      </c>
      <c r="AC40" s="451">
        <f t="shared" ca="1" si="25"/>
        <v>0</v>
      </c>
      <c r="AD40" s="451"/>
      <c r="AE40" s="451"/>
      <c r="AF40" s="451"/>
      <c r="AG40" s="451"/>
      <c r="AH40" s="451"/>
      <c r="AI40" s="451"/>
      <c r="AJ40" s="451"/>
      <c r="AK40" s="451"/>
      <c r="AL40" s="451"/>
      <c r="AM40" s="451"/>
      <c r="AN40" s="451"/>
    </row>
    <row r="41" spans="2:40">
      <c r="B41" s="444" t="s">
        <v>27</v>
      </c>
      <c r="R41" s="451"/>
      <c r="S41" s="451"/>
      <c r="T41" s="451"/>
      <c r="U41" s="451"/>
      <c r="V41" s="451"/>
      <c r="W41" s="451"/>
      <c r="X41" s="451">
        <f ca="1">+X79/$J$12*0.5</f>
        <v>221.60001764357543</v>
      </c>
      <c r="Y41" s="451">
        <f ca="1">+IF(X133&gt;0,MIN(Y79/$J$12,X133),0)</f>
        <v>443.20003528715085</v>
      </c>
      <c r="Z41" s="451">
        <f ca="1">+IF(Y133&gt;0,MIN(Z79/$J$12,Y133),0)</f>
        <v>443.20003528715085</v>
      </c>
      <c r="AA41" s="451">
        <f ca="1">+IF(Z133&gt;0,MIN(AA79/$J$12,Z133),0)</f>
        <v>443.20003528715085</v>
      </c>
      <c r="AB41" s="451">
        <f ca="1">+IF(AA133&gt;0,MIN(AB79/$J$12,AA133),0)</f>
        <v>443.20003528715085</v>
      </c>
      <c r="AC41" s="451">
        <f ca="1">+IF(AB133&gt;0,MIN(AC79/$J$12,AB133),0)</f>
        <v>421.04003352279301</v>
      </c>
      <c r="AD41" s="451"/>
      <c r="AE41" s="451"/>
      <c r="AF41" s="451"/>
      <c r="AG41" s="451"/>
      <c r="AH41" s="451"/>
      <c r="AI41" s="451"/>
      <c r="AJ41" s="451"/>
      <c r="AK41" s="451"/>
      <c r="AL41" s="451"/>
      <c r="AM41" s="451"/>
      <c r="AN41" s="451"/>
    </row>
    <row r="42" spans="2:40">
      <c r="B42" s="444" t="s">
        <v>38</v>
      </c>
      <c r="M42" s="477"/>
      <c r="R42" s="451"/>
      <c r="S42" s="451"/>
      <c r="T42" s="451"/>
      <c r="U42" s="451"/>
      <c r="V42" s="451"/>
      <c r="W42" s="451"/>
      <c r="X42" s="451"/>
      <c r="Y42" s="451">
        <f ca="1">+Y80/$J$12*0.5</f>
        <v>255.93890649884196</v>
      </c>
      <c r="Z42" s="451">
        <f ca="1">+IF(Y134&gt;0,MIN(Z80/$J$12,Y134),0)</f>
        <v>511.87781299768392</v>
      </c>
      <c r="AA42" s="451">
        <f ca="1">+IF(Z134&gt;0,MIN(AA80/$J$12,Z134),0)</f>
        <v>511.87781299768392</v>
      </c>
      <c r="AB42" s="451">
        <f ca="1">+IF(AA134&gt;0,MIN(AB80/$J$12,AA134),0)</f>
        <v>511.87781299768392</v>
      </c>
      <c r="AC42" s="451">
        <f ca="1">+IF(AB134&gt;0,MIN(AC80/$J$12,AB134),0)</f>
        <v>511.87781299768392</v>
      </c>
      <c r="AD42" s="451"/>
      <c r="AE42" s="451"/>
      <c r="AF42" s="451"/>
      <c r="AG42" s="451"/>
      <c r="AH42" s="451"/>
      <c r="AI42" s="451"/>
      <c r="AJ42" s="451"/>
      <c r="AK42" s="451"/>
      <c r="AL42" s="451"/>
      <c r="AM42" s="451"/>
      <c r="AN42" s="451"/>
    </row>
    <row r="43" spans="2:40">
      <c r="B43" s="444" t="s">
        <v>39</v>
      </c>
      <c r="R43" s="451"/>
      <c r="S43" s="451"/>
      <c r="T43" s="451"/>
      <c r="U43" s="451"/>
      <c r="V43" s="451"/>
      <c r="W43" s="451"/>
      <c r="X43" s="451"/>
      <c r="Y43" s="451"/>
      <c r="Z43" s="451">
        <f ca="1">+Z81/$J$12*0.5</f>
        <v>295.391510372185</v>
      </c>
      <c r="AA43" s="451">
        <f ca="1">+IF(Z135&gt;0,MIN(AA81/$J$12,Z135),0)</f>
        <v>590.78302074436999</v>
      </c>
      <c r="AB43" s="451">
        <f ca="1">+IF(AA135&gt;0,MIN(AB81/$J$12,AA135),0)</f>
        <v>590.78302074436999</v>
      </c>
      <c r="AC43" s="451">
        <f ca="1">+IF(AB135&gt;0,MIN(AC81/$J$12,AB135),0)</f>
        <v>590.78302074436999</v>
      </c>
      <c r="AD43" s="451"/>
      <c r="AE43" s="451"/>
      <c r="AF43" s="451"/>
      <c r="AG43" s="451"/>
      <c r="AH43" s="451"/>
      <c r="AI43" s="451"/>
      <c r="AJ43" s="451"/>
      <c r="AK43" s="451"/>
      <c r="AL43" s="451"/>
      <c r="AM43" s="451"/>
      <c r="AN43" s="451"/>
    </row>
    <row r="44" spans="2:40">
      <c r="B44" s="444" t="s">
        <v>40</v>
      </c>
      <c r="R44" s="451"/>
      <c r="S44" s="451"/>
      <c r="T44" s="451"/>
      <c r="U44" s="451"/>
      <c r="V44" s="451"/>
      <c r="W44" s="451"/>
      <c r="X44" s="451"/>
      <c r="Y44" s="451"/>
      <c r="Z44" s="451"/>
      <c r="AA44" s="451">
        <f ca="1">+AA82/$J$12*0.5</f>
        <v>340.90208367105492</v>
      </c>
      <c r="AB44" s="451">
        <f ca="1">+IF(AA136&gt;0,MIN(AB82/$J$12,AA136),0)</f>
        <v>681.80416734210985</v>
      </c>
      <c r="AC44" s="451">
        <f ca="1">+IF(AB136&gt;0,MIN(AC82/$J$12,AB136),0)</f>
        <v>681.80416734210985</v>
      </c>
      <c r="AD44" s="451"/>
      <c r="AE44" s="451"/>
      <c r="AF44" s="451"/>
      <c r="AG44" s="451"/>
      <c r="AH44" s="451"/>
      <c r="AI44" s="451"/>
      <c r="AJ44" s="451"/>
      <c r="AK44" s="451"/>
      <c r="AL44" s="451"/>
      <c r="AM44" s="451"/>
      <c r="AN44" s="451"/>
    </row>
    <row r="45" spans="2:40">
      <c r="B45" s="444" t="s">
        <v>41</v>
      </c>
      <c r="R45" s="451"/>
      <c r="S45" s="451"/>
      <c r="T45" s="451"/>
      <c r="U45" s="451"/>
      <c r="V45" s="451"/>
      <c r="W45" s="451"/>
      <c r="X45" s="451"/>
      <c r="Y45" s="451"/>
      <c r="Z45" s="451"/>
      <c r="AA45" s="451"/>
      <c r="AB45" s="451">
        <f ca="1">+AB83/$J$12*0.5</f>
        <v>393.4612880537598</v>
      </c>
      <c r="AC45" s="451">
        <f ca="1">+IF(AB137&gt;0,MIN(AC83/$J$12,AB137),0)</f>
        <v>786.9225761075196</v>
      </c>
      <c r="AD45" s="451"/>
      <c r="AE45" s="451"/>
      <c r="AF45" s="451"/>
      <c r="AG45" s="451"/>
      <c r="AH45" s="451"/>
      <c r="AI45" s="451"/>
      <c r="AJ45" s="451"/>
      <c r="AK45" s="451"/>
      <c r="AL45" s="451"/>
      <c r="AM45" s="451"/>
      <c r="AN45" s="451"/>
    </row>
    <row r="46" spans="2:40">
      <c r="B46" s="444" t="s">
        <v>112</v>
      </c>
      <c r="R46" s="451"/>
      <c r="S46" s="451"/>
      <c r="T46" s="451"/>
      <c r="U46" s="451"/>
      <c r="V46" s="451"/>
      <c r="W46" s="451"/>
      <c r="X46" s="451"/>
      <c r="Y46" s="451"/>
      <c r="Z46" s="451"/>
      <c r="AA46" s="451"/>
      <c r="AB46" s="451"/>
      <c r="AC46" s="451">
        <f ca="1">+AC84/$J$12*0.5</f>
        <v>454.16891923856724</v>
      </c>
      <c r="AD46" s="451"/>
      <c r="AE46" s="451"/>
      <c r="AF46" s="451"/>
      <c r="AG46" s="451"/>
      <c r="AH46" s="451"/>
      <c r="AI46" s="451"/>
      <c r="AJ46" s="451"/>
      <c r="AK46" s="451"/>
      <c r="AL46" s="451"/>
      <c r="AM46" s="451"/>
      <c r="AN46" s="451"/>
    </row>
    <row r="47" spans="2:40" s="440" customFormat="1">
      <c r="B47" s="455" t="s">
        <v>645</v>
      </c>
      <c r="D47" s="456"/>
      <c r="E47" s="456">
        <f>+SUM(E22:E46)</f>
        <v>15.91309174311929</v>
      </c>
      <c r="F47" s="456">
        <f t="shared" ref="F47:AC47" si="26">+SUM(F22:F46)</f>
        <v>54.756678899082608</v>
      </c>
      <c r="G47" s="456">
        <f t="shared" si="26"/>
        <v>93.08089908256882</v>
      </c>
      <c r="H47" s="456">
        <f t="shared" si="26"/>
        <v>143.89943119266059</v>
      </c>
      <c r="I47" s="456">
        <f t="shared" si="26"/>
        <v>194.89273394495419</v>
      </c>
      <c r="J47" s="456">
        <f t="shared" si="26"/>
        <v>223.64150733944956</v>
      </c>
      <c r="K47" s="456">
        <f t="shared" si="26"/>
        <v>254.25917064220178</v>
      </c>
      <c r="L47" s="456">
        <f t="shared" si="26"/>
        <v>283.81744403669722</v>
      </c>
      <c r="M47" s="456">
        <f t="shared" si="26"/>
        <v>294.14899633027528</v>
      </c>
      <c r="N47" s="456">
        <f t="shared" si="26"/>
        <v>317.25373761467881</v>
      </c>
      <c r="O47" s="456">
        <f t="shared" si="26"/>
        <v>401.62687798165132</v>
      </c>
      <c r="P47" s="456">
        <f t="shared" si="26"/>
        <v>443.92545321100926</v>
      </c>
      <c r="Q47" s="456">
        <f t="shared" si="26"/>
        <v>502.15014403669721</v>
      </c>
      <c r="R47" s="456">
        <f ca="1">+SUM(R22:R46)</f>
        <v>650.12609785164591</v>
      </c>
      <c r="S47" s="456">
        <f t="shared" ca="1" si="26"/>
        <v>795.07928092072518</v>
      </c>
      <c r="T47" s="456">
        <f t="shared" ca="1" si="26"/>
        <v>874.21127410173199</v>
      </c>
      <c r="U47" s="456">
        <f t="shared" ca="1" si="26"/>
        <v>1061.4451610873375</v>
      </c>
      <c r="V47" s="456">
        <f t="shared" ca="1" si="26"/>
        <v>1293.4372138319081</v>
      </c>
      <c r="W47" s="456">
        <f t="shared" ca="1" si="26"/>
        <v>1418.8905825545889</v>
      </c>
      <c r="X47" s="456">
        <f t="shared" ca="1" si="26"/>
        <v>1666.3711778830502</v>
      </c>
      <c r="Y47" s="456">
        <f t="shared" ca="1" si="26"/>
        <v>1936.4817117013083</v>
      </c>
      <c r="Z47" s="456">
        <f t="shared" ca="1" si="26"/>
        <v>2239.2572863650312</v>
      </c>
      <c r="AA47" s="456">
        <f t="shared" ca="1" si="26"/>
        <v>2585.262898123513</v>
      </c>
      <c r="AB47" s="456">
        <f t="shared" ca="1" si="26"/>
        <v>2984.9574410676169</v>
      </c>
      <c r="AC47" s="456">
        <f t="shared" ca="1" si="26"/>
        <v>3446.5965299530435</v>
      </c>
      <c r="AD47" s="456"/>
      <c r="AE47" s="456"/>
      <c r="AF47" s="456"/>
      <c r="AG47" s="456"/>
      <c r="AH47" s="456"/>
      <c r="AI47" s="456"/>
      <c r="AJ47" s="456"/>
      <c r="AK47" s="456"/>
      <c r="AL47" s="456"/>
      <c r="AM47" s="456"/>
      <c r="AN47" s="456"/>
    </row>
    <row r="48" spans="2:40" s="440" customFormat="1">
      <c r="B48" s="455"/>
      <c r="D48" s="456"/>
      <c r="E48" s="456"/>
      <c r="F48" s="456"/>
      <c r="G48" s="456"/>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row>
    <row r="49" spans="2:40" s="440" customFormat="1">
      <c r="B49" s="458" t="s">
        <v>35</v>
      </c>
      <c r="D49" s="456"/>
      <c r="E49" s="456"/>
      <c r="F49" s="456"/>
      <c r="G49" s="456"/>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row>
    <row r="50" spans="2:40" s="440" customFormat="1">
      <c r="B50" s="459" t="s">
        <v>646</v>
      </c>
      <c r="D50" s="460"/>
      <c r="E50" s="460">
        <f>+E162</f>
        <v>105.32719999999999</v>
      </c>
      <c r="F50" s="460">
        <f t="shared" ref="F50:Q50" si="27">+F162</f>
        <v>129.16849999999999</v>
      </c>
      <c r="G50" s="460">
        <f>+G162</f>
        <v>153.97979999999998</v>
      </c>
      <c r="H50" s="460">
        <f t="shared" si="27"/>
        <v>197.64520000000002</v>
      </c>
      <c r="I50" s="460">
        <f t="shared" si="27"/>
        <v>219.30339999999998</v>
      </c>
      <c r="J50" s="460">
        <f t="shared" si="27"/>
        <v>220.08500000000001</v>
      </c>
      <c r="K50" s="460">
        <f t="shared" si="27"/>
        <v>255.79599999999999</v>
      </c>
      <c r="L50" s="460">
        <f t="shared" si="27"/>
        <v>288.12490000000003</v>
      </c>
      <c r="M50" s="460">
        <f t="shared" si="27"/>
        <v>278.76490000000001</v>
      </c>
      <c r="N50" s="460">
        <f t="shared" si="27"/>
        <v>321.8211</v>
      </c>
      <c r="O50" s="460">
        <f t="shared" si="27"/>
        <v>411.48390000000001</v>
      </c>
      <c r="P50" s="460">
        <f t="shared" si="27"/>
        <v>425.41629999999998</v>
      </c>
      <c r="Q50" s="460">
        <f t="shared" si="27"/>
        <v>519.46619999999996</v>
      </c>
      <c r="R50" s="460"/>
      <c r="S50" s="460"/>
      <c r="T50" s="456"/>
      <c r="U50" s="456"/>
      <c r="V50" s="456"/>
      <c r="W50" s="456"/>
      <c r="X50" s="456"/>
      <c r="Y50" s="456"/>
      <c r="Z50" s="456"/>
      <c r="AA50" s="456"/>
      <c r="AB50" s="456"/>
      <c r="AC50" s="456"/>
      <c r="AD50" s="456"/>
      <c r="AE50" s="456"/>
      <c r="AF50" s="456"/>
      <c r="AG50" s="456"/>
      <c r="AH50" s="456"/>
      <c r="AI50" s="456"/>
      <c r="AJ50" s="456"/>
      <c r="AK50" s="456"/>
      <c r="AL50" s="456"/>
      <c r="AM50" s="456"/>
      <c r="AN50" s="456"/>
    </row>
    <row r="51" spans="2:40" s="440" customFormat="1">
      <c r="B51" s="461" t="s">
        <v>647</v>
      </c>
      <c r="D51" s="462"/>
      <c r="E51" s="462">
        <f t="shared" ref="E51:Q51" si="28">+E50/E47-1</f>
        <v>5.6189023289922737</v>
      </c>
      <c r="F51" s="462">
        <f t="shared" si="28"/>
        <v>1.3589542426059023</v>
      </c>
      <c r="G51" s="462">
        <f t="shared" si="28"/>
        <v>0.65425776413493675</v>
      </c>
      <c r="H51" s="462">
        <f t="shared" si="28"/>
        <v>0.37349535270491518</v>
      </c>
      <c r="I51" s="462">
        <f t="shared" si="28"/>
        <v>0.12525180164972372</v>
      </c>
      <c r="J51" s="462">
        <f t="shared" si="28"/>
        <v>-1.5902715831955905E-2</v>
      </c>
      <c r="K51" s="462">
        <f t="shared" si="28"/>
        <v>6.0443418969571283E-3</v>
      </c>
      <c r="L51" s="462">
        <f t="shared" si="28"/>
        <v>1.5176854184994593E-2</v>
      </c>
      <c r="M51" s="462">
        <f t="shared" si="28"/>
        <v>-5.2300352957865504E-2</v>
      </c>
      <c r="N51" s="462">
        <f t="shared" si="28"/>
        <v>1.439655973688958E-2</v>
      </c>
      <c r="O51" s="462">
        <f t="shared" si="28"/>
        <v>2.4542734958089563E-2</v>
      </c>
      <c r="P51" s="462">
        <f t="shared" si="28"/>
        <v>-4.1694282400633997E-2</v>
      </c>
      <c r="Q51" s="462">
        <f t="shared" si="28"/>
        <v>3.4483821560025829E-2</v>
      </c>
      <c r="R51" s="462"/>
      <c r="S51" s="462"/>
      <c r="T51" s="456"/>
      <c r="U51" s="456"/>
      <c r="V51" s="456"/>
      <c r="W51" s="456"/>
      <c r="X51" s="456"/>
      <c r="Y51" s="456"/>
      <c r="Z51" s="456"/>
      <c r="AA51" s="456"/>
      <c r="AB51" s="456"/>
      <c r="AC51" s="456"/>
      <c r="AD51" s="456"/>
      <c r="AE51" s="456"/>
      <c r="AF51" s="456"/>
      <c r="AG51" s="456"/>
      <c r="AH51" s="456"/>
      <c r="AI51" s="456"/>
      <c r="AJ51" s="456"/>
      <c r="AK51" s="456"/>
      <c r="AL51" s="456"/>
      <c r="AM51" s="456"/>
      <c r="AN51" s="456"/>
    </row>
    <row r="52" spans="2:40">
      <c r="B52" s="461" t="s">
        <v>648</v>
      </c>
      <c r="D52" s="460"/>
      <c r="E52" s="460">
        <f t="shared" ref="E52:Q52" si="29">+E50-E47</f>
        <v>89.414108256880695</v>
      </c>
      <c r="F52" s="460">
        <f t="shared" si="29"/>
        <v>74.411821100917393</v>
      </c>
      <c r="G52" s="460">
        <f t="shared" si="29"/>
        <v>60.898900917431163</v>
      </c>
      <c r="H52" s="460">
        <f t="shared" si="29"/>
        <v>53.745768807339431</v>
      </c>
      <c r="I52" s="460">
        <f t="shared" si="29"/>
        <v>24.410666055045795</v>
      </c>
      <c r="J52" s="460">
        <f t="shared" si="29"/>
        <v>-3.5565073394495528</v>
      </c>
      <c r="K52" s="460">
        <f t="shared" si="29"/>
        <v>1.5368293577982115</v>
      </c>
      <c r="L52" s="460">
        <f t="shared" si="29"/>
        <v>4.3074559633028002</v>
      </c>
      <c r="M52" s="460">
        <f t="shared" si="29"/>
        <v>-15.38409633027527</v>
      </c>
      <c r="N52" s="460">
        <f t="shared" si="29"/>
        <v>4.5673623853211893</v>
      </c>
      <c r="O52" s="460">
        <f t="shared" si="29"/>
        <v>9.8570220183486867</v>
      </c>
      <c r="P52" s="460">
        <f t="shared" si="29"/>
        <v>-18.509153211009277</v>
      </c>
      <c r="Q52" s="460">
        <f t="shared" si="29"/>
        <v>17.316055963302745</v>
      </c>
      <c r="R52" s="460"/>
      <c r="S52" s="460"/>
    </row>
    <row r="53" spans="2:40">
      <c r="D53" s="460"/>
      <c r="E53" s="460"/>
      <c r="F53" s="460"/>
      <c r="G53" s="460"/>
      <c r="H53" s="460"/>
      <c r="I53" s="460"/>
      <c r="J53" s="460"/>
      <c r="K53" s="460"/>
      <c r="L53" s="460"/>
      <c r="N53" s="460"/>
      <c r="O53" s="460"/>
      <c r="P53" s="460"/>
      <c r="Q53" s="460"/>
      <c r="R53" s="460"/>
      <c r="S53" s="460"/>
    </row>
    <row r="54" spans="2:40">
      <c r="B54" s="449" t="s">
        <v>72</v>
      </c>
      <c r="D54" s="460"/>
      <c r="E54" s="460"/>
      <c r="F54" s="460"/>
      <c r="G54" s="460"/>
      <c r="H54" s="460"/>
      <c r="I54" s="460"/>
      <c r="J54" s="460"/>
      <c r="K54" s="460"/>
      <c r="L54" s="460"/>
      <c r="M54" s="460"/>
      <c r="N54" s="460"/>
      <c r="O54" s="460"/>
      <c r="P54" s="460"/>
      <c r="Q54" s="460"/>
      <c r="R54" s="460"/>
      <c r="S54" s="460"/>
    </row>
    <row r="55" spans="2:40">
      <c r="B55" s="444" t="s">
        <v>645</v>
      </c>
      <c r="D55" s="451"/>
      <c r="E55" s="451">
        <f t="shared" ref="E55:AC55" si="30">+E47</f>
        <v>15.91309174311929</v>
      </c>
      <c r="F55" s="451">
        <f t="shared" si="30"/>
        <v>54.756678899082608</v>
      </c>
      <c r="G55" s="451">
        <f t="shared" si="30"/>
        <v>93.08089908256882</v>
      </c>
      <c r="H55" s="451">
        <f t="shared" si="30"/>
        <v>143.89943119266059</v>
      </c>
      <c r="I55" s="451">
        <f t="shared" si="30"/>
        <v>194.89273394495419</v>
      </c>
      <c r="J55" s="451">
        <f t="shared" si="30"/>
        <v>223.64150733944956</v>
      </c>
      <c r="K55" s="451">
        <f t="shared" si="30"/>
        <v>254.25917064220178</v>
      </c>
      <c r="L55" s="451">
        <f t="shared" si="30"/>
        <v>283.81744403669722</v>
      </c>
      <c r="M55" s="451">
        <f t="shared" si="30"/>
        <v>294.14899633027528</v>
      </c>
      <c r="N55" s="451">
        <f t="shared" si="30"/>
        <v>317.25373761467881</v>
      </c>
      <c r="O55" s="451">
        <f t="shared" si="30"/>
        <v>401.62687798165132</v>
      </c>
      <c r="P55" s="451">
        <f t="shared" si="30"/>
        <v>443.92545321100926</v>
      </c>
      <c r="Q55" s="451">
        <f t="shared" si="30"/>
        <v>502.15014403669721</v>
      </c>
      <c r="R55" s="451">
        <f t="shared" ca="1" si="30"/>
        <v>650.12609785164591</v>
      </c>
      <c r="S55" s="451">
        <f t="shared" ca="1" si="30"/>
        <v>795.07928092072518</v>
      </c>
      <c r="T55" s="451">
        <f t="shared" ca="1" si="30"/>
        <v>874.21127410173199</v>
      </c>
      <c r="U55" s="451">
        <f t="shared" ca="1" si="30"/>
        <v>1061.4451610873375</v>
      </c>
      <c r="V55" s="451">
        <f t="shared" ca="1" si="30"/>
        <v>1293.4372138319081</v>
      </c>
      <c r="W55" s="451">
        <f t="shared" ca="1" si="30"/>
        <v>1418.8905825545889</v>
      </c>
      <c r="X55" s="451">
        <f t="shared" ca="1" si="30"/>
        <v>1666.3711778830502</v>
      </c>
      <c r="Y55" s="451">
        <f t="shared" ca="1" si="30"/>
        <v>1936.4817117013083</v>
      </c>
      <c r="Z55" s="451">
        <f t="shared" ca="1" si="30"/>
        <v>2239.2572863650312</v>
      </c>
      <c r="AA55" s="451">
        <f t="shared" ca="1" si="30"/>
        <v>2585.262898123513</v>
      </c>
      <c r="AB55" s="451">
        <f t="shared" ca="1" si="30"/>
        <v>2984.9574410676169</v>
      </c>
      <c r="AC55" s="451">
        <f t="shared" ca="1" si="30"/>
        <v>3446.5965299530435</v>
      </c>
    </row>
    <row r="56" spans="2:40" ht="13.5">
      <c r="B56" s="444" t="s">
        <v>649</v>
      </c>
      <c r="D56" s="463"/>
      <c r="E56" s="454">
        <f>(107681.5-105327.2)/1000</f>
        <v>2.3543000000000029</v>
      </c>
      <c r="F56" s="463">
        <v>2.1808000000000001</v>
      </c>
      <c r="G56" s="463">
        <v>2.202</v>
      </c>
      <c r="H56" s="463">
        <v>2.6063000000000001</v>
      </c>
      <c r="I56" s="463">
        <v>3.2021999999999999</v>
      </c>
      <c r="J56" s="463">
        <v>3.7434000000000003</v>
      </c>
      <c r="K56" s="463">
        <v>4.3467000000000002</v>
      </c>
      <c r="L56" s="463">
        <v>4.4213999999999993</v>
      </c>
      <c r="M56" s="463">
        <v>5.4723999999999995</v>
      </c>
      <c r="N56" s="463">
        <v>7.1861999999999995</v>
      </c>
      <c r="O56" s="463">
        <v>8.2072000000000003</v>
      </c>
      <c r="P56" s="463">
        <v>8.7561</v>
      </c>
      <c r="Q56" s="463">
        <v>9.2582000000000004</v>
      </c>
      <c r="R56" s="454">
        <f ca="1">Q56/Q55*R55</f>
        <v>11.986449691609048</v>
      </c>
      <c r="S56" s="454">
        <f t="shared" ref="S56:AC56" ca="1" si="31">R56/R55*S55</f>
        <v>14.658968211074166</v>
      </c>
      <c r="T56" s="454">
        <f t="shared" ca="1" si="31"/>
        <v>16.117933876958464</v>
      </c>
      <c r="U56" s="454">
        <f t="shared" ca="1" si="31"/>
        <v>19.569986600781743</v>
      </c>
      <c r="V56" s="454">
        <f t="shared" ca="1" si="31"/>
        <v>23.84725077809286</v>
      </c>
      <c r="W56" s="454">
        <f t="shared" ca="1" si="31"/>
        <v>26.160248976144644</v>
      </c>
      <c r="X56" s="454">
        <f t="shared" ca="1" si="31"/>
        <v>30.723077195711014</v>
      </c>
      <c r="Y56" s="454">
        <f t="shared" ca="1" si="31"/>
        <v>35.703136195780608</v>
      </c>
      <c r="Z56" s="454">
        <f t="shared" ca="1" si="31"/>
        <v>41.285444313463479</v>
      </c>
      <c r="AA56" s="454">
        <f t="shared" ca="1" si="31"/>
        <v>47.664789600574004</v>
      </c>
      <c r="AB56" s="454">
        <f t="shared" ca="1" si="31"/>
        <v>55.034003891219854</v>
      </c>
      <c r="AC56" s="454">
        <f t="shared" ca="1" si="31"/>
        <v>63.545296904822408</v>
      </c>
    </row>
    <row r="57" spans="2:40" s="440" customFormat="1">
      <c r="B57" s="455" t="s">
        <v>650</v>
      </c>
      <c r="D57" s="456"/>
      <c r="E57" s="456">
        <f t="shared" ref="E57:AC57" si="32">SUM(E55:E56)</f>
        <v>18.267391743119294</v>
      </c>
      <c r="F57" s="456">
        <f t="shared" si="32"/>
        <v>56.937478899082606</v>
      </c>
      <c r="G57" s="456">
        <f t="shared" si="32"/>
        <v>95.282899082568818</v>
      </c>
      <c r="H57" s="456">
        <f t="shared" si="32"/>
        <v>146.50573119266059</v>
      </c>
      <c r="I57" s="456">
        <f t="shared" si="32"/>
        <v>198.09493394495419</v>
      </c>
      <c r="J57" s="456">
        <f t="shared" si="32"/>
        <v>227.38490733944957</v>
      </c>
      <c r="K57" s="456">
        <f t="shared" si="32"/>
        <v>258.60587064220181</v>
      </c>
      <c r="L57" s="456">
        <f t="shared" si="32"/>
        <v>288.23884403669723</v>
      </c>
      <c r="M57" s="456">
        <f t="shared" si="32"/>
        <v>299.62139633027527</v>
      </c>
      <c r="N57" s="456">
        <f t="shared" si="32"/>
        <v>324.4399376146788</v>
      </c>
      <c r="O57" s="456">
        <f t="shared" si="32"/>
        <v>409.83407798165132</v>
      </c>
      <c r="P57" s="456">
        <f t="shared" si="32"/>
        <v>452.68155321100926</v>
      </c>
      <c r="Q57" s="456">
        <f t="shared" si="32"/>
        <v>511.4083440366972</v>
      </c>
      <c r="R57" s="456">
        <f t="shared" ca="1" si="32"/>
        <v>662.112547543255</v>
      </c>
      <c r="S57" s="456">
        <f t="shared" ca="1" si="32"/>
        <v>809.73824913179931</v>
      </c>
      <c r="T57" s="456">
        <f t="shared" ca="1" si="32"/>
        <v>890.32920797869042</v>
      </c>
      <c r="U57" s="456">
        <f t="shared" ca="1" si="32"/>
        <v>1081.0151476881192</v>
      </c>
      <c r="V57" s="456">
        <f t="shared" ca="1" si="32"/>
        <v>1317.2844646100009</v>
      </c>
      <c r="W57" s="456">
        <f t="shared" ca="1" si="32"/>
        <v>1445.0508315307336</v>
      </c>
      <c r="X57" s="456">
        <f t="shared" ca="1" si="32"/>
        <v>1697.0942550787613</v>
      </c>
      <c r="Y57" s="456">
        <f t="shared" ca="1" si="32"/>
        <v>1972.184847897089</v>
      </c>
      <c r="Z57" s="456">
        <f t="shared" ca="1" si="32"/>
        <v>2280.5427306784945</v>
      </c>
      <c r="AA57" s="456">
        <f t="shared" ca="1" si="32"/>
        <v>2632.9276877240868</v>
      </c>
      <c r="AB57" s="456">
        <f t="shared" ca="1" si="32"/>
        <v>3039.9914449588368</v>
      </c>
      <c r="AC57" s="456">
        <f t="shared" ca="1" si="32"/>
        <v>3510.1418268578659</v>
      </c>
    </row>
    <row r="58" spans="2:40" hidden="1" outlineLevel="1">
      <c r="B58" s="461"/>
      <c r="P58" s="451"/>
      <c r="Q58" s="451"/>
      <c r="R58" s="451"/>
    </row>
    <row r="59" spans="2:40" hidden="1" outlineLevel="1">
      <c r="B59" s="449" t="s">
        <v>680</v>
      </c>
    </row>
    <row r="60" spans="2:40" hidden="1" outlineLevel="1">
      <c r="B60" s="444" t="s">
        <v>172</v>
      </c>
      <c r="E60" s="451">
        <f>+E$19</f>
        <v>173.45270000000028</v>
      </c>
      <c r="F60" s="451">
        <f>+E60</f>
        <v>173.45270000000028</v>
      </c>
      <c r="G60" s="451">
        <f t="shared" ref="G60:V66" si="33">+F60</f>
        <v>173.45270000000028</v>
      </c>
      <c r="H60" s="451">
        <f t="shared" si="33"/>
        <v>173.45270000000028</v>
      </c>
      <c r="I60" s="451">
        <f t="shared" si="33"/>
        <v>173.45270000000028</v>
      </c>
      <c r="J60" s="451">
        <f t="shared" si="33"/>
        <v>173.45270000000028</v>
      </c>
      <c r="K60" s="451">
        <f t="shared" si="33"/>
        <v>173.45270000000028</v>
      </c>
      <c r="L60" s="451">
        <f t="shared" si="33"/>
        <v>173.45270000000028</v>
      </c>
      <c r="M60" s="451">
        <f t="shared" si="33"/>
        <v>173.45270000000028</v>
      </c>
      <c r="N60" s="451">
        <f t="shared" si="33"/>
        <v>173.45270000000028</v>
      </c>
      <c r="O60" s="451">
        <f t="shared" si="33"/>
        <v>173.45270000000028</v>
      </c>
      <c r="P60" s="451">
        <f t="shared" si="33"/>
        <v>173.45270000000028</v>
      </c>
      <c r="Q60" s="451">
        <f t="shared" si="33"/>
        <v>173.45270000000028</v>
      </c>
      <c r="R60" s="451">
        <f t="shared" si="33"/>
        <v>173.45270000000028</v>
      </c>
      <c r="S60" s="451">
        <f t="shared" si="33"/>
        <v>173.45270000000028</v>
      </c>
      <c r="T60" s="451">
        <f t="shared" si="33"/>
        <v>173.45270000000028</v>
      </c>
      <c r="U60" s="451">
        <f t="shared" si="33"/>
        <v>173.45270000000028</v>
      </c>
      <c r="V60" s="451">
        <f t="shared" si="33"/>
        <v>173.45270000000028</v>
      </c>
      <c r="W60" s="451">
        <f t="shared" ref="N60:AC75" si="34">+V60</f>
        <v>173.45270000000028</v>
      </c>
      <c r="X60" s="451">
        <f t="shared" si="34"/>
        <v>173.45270000000028</v>
      </c>
      <c r="Y60" s="451">
        <f t="shared" si="34"/>
        <v>173.45270000000028</v>
      </c>
      <c r="Z60" s="451">
        <f t="shared" si="34"/>
        <v>173.45270000000028</v>
      </c>
      <c r="AA60" s="451">
        <f t="shared" si="34"/>
        <v>173.45270000000028</v>
      </c>
      <c r="AB60" s="451">
        <f t="shared" si="34"/>
        <v>173.45270000000028</v>
      </c>
      <c r="AC60" s="451">
        <f t="shared" si="34"/>
        <v>173.45270000000028</v>
      </c>
    </row>
    <row r="61" spans="2:40" hidden="1" outlineLevel="1">
      <c r="B61" s="444" t="s">
        <v>153</v>
      </c>
      <c r="F61" s="451">
        <f>+F$19</f>
        <v>249.94239999999991</v>
      </c>
      <c r="G61" s="451">
        <f>+F61</f>
        <v>249.94239999999991</v>
      </c>
      <c r="H61" s="451">
        <f t="shared" si="33"/>
        <v>249.94239999999991</v>
      </c>
      <c r="I61" s="451">
        <f t="shared" si="33"/>
        <v>249.94239999999991</v>
      </c>
      <c r="J61" s="451">
        <f t="shared" si="33"/>
        <v>249.94239999999991</v>
      </c>
      <c r="K61" s="451">
        <f t="shared" si="33"/>
        <v>249.94239999999991</v>
      </c>
      <c r="L61" s="451">
        <f t="shared" si="33"/>
        <v>249.94239999999991</v>
      </c>
      <c r="M61" s="451">
        <f t="shared" si="33"/>
        <v>249.94239999999991</v>
      </c>
      <c r="N61" s="451">
        <f t="shared" si="33"/>
        <v>249.94239999999991</v>
      </c>
      <c r="O61" s="451">
        <f t="shared" si="33"/>
        <v>249.94239999999991</v>
      </c>
      <c r="P61" s="451">
        <f t="shared" si="34"/>
        <v>249.94239999999991</v>
      </c>
      <c r="Q61" s="451">
        <f t="shared" si="34"/>
        <v>249.94239999999991</v>
      </c>
      <c r="R61" s="451">
        <f t="shared" si="34"/>
        <v>249.94239999999991</v>
      </c>
      <c r="S61" s="451">
        <f t="shared" si="34"/>
        <v>249.94239999999991</v>
      </c>
      <c r="T61" s="451">
        <f t="shared" si="34"/>
        <v>249.94239999999991</v>
      </c>
      <c r="U61" s="451">
        <f t="shared" si="34"/>
        <v>249.94239999999991</v>
      </c>
      <c r="V61" s="451">
        <f t="shared" si="34"/>
        <v>249.94239999999991</v>
      </c>
      <c r="W61" s="451">
        <f t="shared" si="34"/>
        <v>249.94239999999991</v>
      </c>
      <c r="X61" s="451">
        <f t="shared" si="34"/>
        <v>249.94239999999991</v>
      </c>
      <c r="Y61" s="451">
        <f t="shared" si="34"/>
        <v>249.94239999999991</v>
      </c>
      <c r="Z61" s="451">
        <f t="shared" si="34"/>
        <v>249.94239999999991</v>
      </c>
      <c r="AA61" s="451">
        <f t="shared" si="34"/>
        <v>249.94239999999991</v>
      </c>
      <c r="AB61" s="451">
        <f t="shared" si="34"/>
        <v>249.94239999999991</v>
      </c>
      <c r="AC61" s="451">
        <f t="shared" si="34"/>
        <v>249.94239999999991</v>
      </c>
    </row>
    <row r="62" spans="2:40" hidden="1" outlineLevel="1">
      <c r="B62" s="444" t="s">
        <v>152</v>
      </c>
      <c r="G62" s="451">
        <f>+G$19</f>
        <v>167.79159999999979</v>
      </c>
      <c r="H62" s="451">
        <f>+G62</f>
        <v>167.79159999999979</v>
      </c>
      <c r="I62" s="451">
        <f t="shared" si="33"/>
        <v>167.79159999999979</v>
      </c>
      <c r="J62" s="451">
        <f t="shared" si="33"/>
        <v>167.79159999999979</v>
      </c>
      <c r="K62" s="451">
        <f t="shared" si="33"/>
        <v>167.79159999999979</v>
      </c>
      <c r="L62" s="451">
        <f t="shared" si="33"/>
        <v>167.79159999999979</v>
      </c>
      <c r="M62" s="451">
        <f t="shared" si="33"/>
        <v>167.79159999999979</v>
      </c>
      <c r="N62" s="451">
        <f t="shared" si="33"/>
        <v>167.79159999999979</v>
      </c>
      <c r="O62" s="451">
        <f t="shared" si="33"/>
        <v>167.79159999999979</v>
      </c>
      <c r="P62" s="451">
        <f t="shared" si="34"/>
        <v>167.79159999999979</v>
      </c>
      <c r="Q62" s="451">
        <f t="shared" si="34"/>
        <v>167.79159999999979</v>
      </c>
      <c r="R62" s="451">
        <f t="shared" si="34"/>
        <v>167.79159999999979</v>
      </c>
      <c r="S62" s="451">
        <f t="shared" si="34"/>
        <v>167.79159999999979</v>
      </c>
      <c r="T62" s="451">
        <f t="shared" si="34"/>
        <v>167.79159999999979</v>
      </c>
      <c r="U62" s="451">
        <f t="shared" si="34"/>
        <v>167.79159999999979</v>
      </c>
      <c r="V62" s="451">
        <f t="shared" si="34"/>
        <v>167.79159999999979</v>
      </c>
      <c r="W62" s="451">
        <f t="shared" si="34"/>
        <v>167.79159999999979</v>
      </c>
      <c r="X62" s="451">
        <f t="shared" si="34"/>
        <v>167.79159999999979</v>
      </c>
      <c r="Y62" s="451">
        <f t="shared" si="34"/>
        <v>167.79159999999979</v>
      </c>
      <c r="Z62" s="451">
        <f t="shared" si="34"/>
        <v>167.79159999999979</v>
      </c>
      <c r="AA62" s="451">
        <f t="shared" si="34"/>
        <v>167.79159999999979</v>
      </c>
      <c r="AB62" s="451">
        <f t="shared" si="34"/>
        <v>167.79159999999979</v>
      </c>
      <c r="AC62" s="451">
        <f t="shared" si="34"/>
        <v>167.79159999999979</v>
      </c>
    </row>
    <row r="63" spans="2:40" hidden="1" outlineLevel="1">
      <c r="B63" s="444" t="s">
        <v>151</v>
      </c>
      <c r="H63" s="451">
        <f>+H$19</f>
        <v>386.13040000000046</v>
      </c>
      <c r="I63" s="451">
        <f>+H63</f>
        <v>386.13040000000046</v>
      </c>
      <c r="J63" s="451">
        <f t="shared" si="33"/>
        <v>386.13040000000046</v>
      </c>
      <c r="K63" s="451">
        <f t="shared" si="33"/>
        <v>386.13040000000046</v>
      </c>
      <c r="L63" s="451">
        <f t="shared" si="33"/>
        <v>386.13040000000046</v>
      </c>
      <c r="M63" s="451">
        <f t="shared" si="33"/>
        <v>386.13040000000046</v>
      </c>
      <c r="N63" s="451">
        <f t="shared" si="33"/>
        <v>386.13040000000046</v>
      </c>
      <c r="O63" s="451">
        <f t="shared" si="33"/>
        <v>386.13040000000046</v>
      </c>
      <c r="P63" s="451">
        <f t="shared" si="34"/>
        <v>386.13040000000046</v>
      </c>
      <c r="Q63" s="451">
        <f t="shared" si="34"/>
        <v>386.13040000000046</v>
      </c>
      <c r="R63" s="451">
        <f t="shared" si="34"/>
        <v>386.13040000000046</v>
      </c>
      <c r="S63" s="451">
        <f t="shared" si="34"/>
        <v>386.13040000000046</v>
      </c>
      <c r="T63" s="451">
        <f t="shared" si="34"/>
        <v>386.13040000000046</v>
      </c>
      <c r="U63" s="451">
        <f t="shared" si="34"/>
        <v>386.13040000000046</v>
      </c>
      <c r="V63" s="451">
        <f t="shared" si="34"/>
        <v>386.13040000000046</v>
      </c>
      <c r="W63" s="451">
        <f t="shared" si="34"/>
        <v>386.13040000000046</v>
      </c>
      <c r="X63" s="451">
        <f t="shared" si="34"/>
        <v>386.13040000000046</v>
      </c>
      <c r="Y63" s="451">
        <f t="shared" si="34"/>
        <v>386.13040000000046</v>
      </c>
      <c r="Z63" s="451">
        <f t="shared" si="34"/>
        <v>386.13040000000046</v>
      </c>
      <c r="AA63" s="451">
        <f t="shared" si="34"/>
        <v>386.13040000000046</v>
      </c>
      <c r="AB63" s="451">
        <f t="shared" si="34"/>
        <v>386.13040000000046</v>
      </c>
      <c r="AC63" s="451">
        <f t="shared" si="34"/>
        <v>386.13040000000046</v>
      </c>
    </row>
    <row r="64" spans="2:40" hidden="1" outlineLevel="1">
      <c r="B64" s="444" t="s">
        <v>150</v>
      </c>
      <c r="I64" s="451">
        <f>+I$19</f>
        <v>169.69659999999976</v>
      </c>
      <c r="J64" s="451">
        <f>+I64</f>
        <v>169.69659999999976</v>
      </c>
      <c r="K64" s="451">
        <f t="shared" si="33"/>
        <v>169.69659999999976</v>
      </c>
      <c r="L64" s="451">
        <f t="shared" si="33"/>
        <v>169.69659999999976</v>
      </c>
      <c r="M64" s="451">
        <f t="shared" si="33"/>
        <v>169.69659999999976</v>
      </c>
      <c r="N64" s="451">
        <f t="shared" si="33"/>
        <v>169.69659999999976</v>
      </c>
      <c r="O64" s="451">
        <f t="shared" si="33"/>
        <v>169.69659999999976</v>
      </c>
      <c r="P64" s="451">
        <f t="shared" si="34"/>
        <v>169.69659999999976</v>
      </c>
      <c r="Q64" s="451">
        <f t="shared" si="34"/>
        <v>169.69659999999976</v>
      </c>
      <c r="R64" s="451">
        <f t="shared" si="34"/>
        <v>169.69659999999976</v>
      </c>
      <c r="S64" s="451">
        <f t="shared" si="34"/>
        <v>169.69659999999976</v>
      </c>
      <c r="T64" s="451">
        <f t="shared" si="34"/>
        <v>169.69659999999976</v>
      </c>
      <c r="U64" s="451">
        <f t="shared" si="34"/>
        <v>169.69659999999976</v>
      </c>
      <c r="V64" s="451">
        <f t="shared" si="34"/>
        <v>169.69659999999976</v>
      </c>
      <c r="W64" s="451">
        <f t="shared" si="34"/>
        <v>169.69659999999976</v>
      </c>
      <c r="X64" s="451">
        <f t="shared" si="34"/>
        <v>169.69659999999976</v>
      </c>
      <c r="Y64" s="451">
        <f t="shared" si="34"/>
        <v>169.69659999999976</v>
      </c>
      <c r="Z64" s="451">
        <f t="shared" si="34"/>
        <v>169.69659999999976</v>
      </c>
      <c r="AA64" s="451">
        <f t="shared" si="34"/>
        <v>169.69659999999976</v>
      </c>
      <c r="AB64" s="451">
        <f t="shared" si="34"/>
        <v>169.69659999999976</v>
      </c>
      <c r="AC64" s="451">
        <f t="shared" si="34"/>
        <v>169.69659999999976</v>
      </c>
      <c r="AD64" s="451"/>
    </row>
    <row r="65" spans="2:40" hidden="1" outlineLevel="1">
      <c r="B65" s="444" t="s">
        <v>10</v>
      </c>
      <c r="J65" s="451">
        <f>+J$19</f>
        <v>161.01029999999992</v>
      </c>
      <c r="K65" s="451">
        <f>+J65</f>
        <v>161.01029999999992</v>
      </c>
      <c r="L65" s="451">
        <f t="shared" si="33"/>
        <v>161.01029999999992</v>
      </c>
      <c r="M65" s="451">
        <f t="shared" si="33"/>
        <v>161.01029999999992</v>
      </c>
      <c r="N65" s="451">
        <f t="shared" si="33"/>
        <v>161.01029999999992</v>
      </c>
      <c r="O65" s="451">
        <f t="shared" si="33"/>
        <v>161.01029999999992</v>
      </c>
      <c r="P65" s="451">
        <f t="shared" si="34"/>
        <v>161.01029999999992</v>
      </c>
      <c r="Q65" s="451">
        <f t="shared" si="34"/>
        <v>161.01029999999992</v>
      </c>
      <c r="R65" s="451">
        <f t="shared" si="34"/>
        <v>161.01029999999992</v>
      </c>
      <c r="S65" s="451">
        <f t="shared" si="34"/>
        <v>161.01029999999992</v>
      </c>
      <c r="T65" s="451">
        <f t="shared" si="34"/>
        <v>161.01029999999992</v>
      </c>
      <c r="U65" s="451">
        <f t="shared" si="34"/>
        <v>161.01029999999992</v>
      </c>
      <c r="V65" s="451">
        <f t="shared" si="34"/>
        <v>161.01029999999992</v>
      </c>
      <c r="W65" s="451">
        <f t="shared" si="34"/>
        <v>161.01029999999992</v>
      </c>
      <c r="X65" s="451">
        <f t="shared" si="34"/>
        <v>161.01029999999992</v>
      </c>
      <c r="Y65" s="451">
        <f t="shared" si="34"/>
        <v>161.01029999999992</v>
      </c>
      <c r="Z65" s="451">
        <f t="shared" si="34"/>
        <v>161.01029999999992</v>
      </c>
      <c r="AA65" s="451">
        <f t="shared" si="34"/>
        <v>161.01029999999992</v>
      </c>
      <c r="AB65" s="451">
        <f t="shared" si="34"/>
        <v>161.01029999999992</v>
      </c>
      <c r="AC65" s="451">
        <f t="shared" si="34"/>
        <v>161.01029999999992</v>
      </c>
      <c r="AD65" s="451"/>
      <c r="AE65" s="451"/>
    </row>
    <row r="66" spans="2:40" hidden="1" outlineLevel="1">
      <c r="B66" s="444" t="s">
        <v>11</v>
      </c>
      <c r="K66" s="451">
        <f>+K$19</f>
        <v>527.27659999999969</v>
      </c>
      <c r="L66" s="451">
        <f>+K66</f>
        <v>527.27659999999969</v>
      </c>
      <c r="M66" s="451">
        <f t="shared" si="33"/>
        <v>527.27659999999969</v>
      </c>
      <c r="N66" s="451">
        <f t="shared" si="33"/>
        <v>527.27659999999969</v>
      </c>
      <c r="O66" s="451">
        <f t="shared" si="33"/>
        <v>527.27659999999969</v>
      </c>
      <c r="P66" s="451">
        <f t="shared" si="33"/>
        <v>527.27659999999969</v>
      </c>
      <c r="Q66" s="451">
        <f t="shared" si="33"/>
        <v>527.27659999999969</v>
      </c>
      <c r="R66" s="451">
        <f t="shared" si="33"/>
        <v>527.27659999999969</v>
      </c>
      <c r="S66" s="451">
        <f t="shared" si="33"/>
        <v>527.27659999999969</v>
      </c>
      <c r="T66" s="451">
        <f t="shared" si="33"/>
        <v>527.27659999999969</v>
      </c>
      <c r="U66" s="451">
        <f t="shared" si="33"/>
        <v>527.27659999999969</v>
      </c>
      <c r="V66" s="451">
        <f t="shared" si="33"/>
        <v>527.27659999999969</v>
      </c>
      <c r="W66" s="451">
        <f t="shared" si="34"/>
        <v>527.27659999999969</v>
      </c>
      <c r="X66" s="451">
        <f t="shared" si="34"/>
        <v>527.27659999999969</v>
      </c>
      <c r="Y66" s="451">
        <f t="shared" si="34"/>
        <v>527.27659999999969</v>
      </c>
      <c r="Z66" s="451">
        <f t="shared" si="34"/>
        <v>527.27659999999969</v>
      </c>
      <c r="AA66" s="451">
        <f t="shared" si="34"/>
        <v>527.27659999999969</v>
      </c>
      <c r="AB66" s="451">
        <f t="shared" si="34"/>
        <v>527.27659999999969</v>
      </c>
      <c r="AC66" s="451">
        <f t="shared" si="34"/>
        <v>527.27659999999969</v>
      </c>
      <c r="AD66" s="451"/>
      <c r="AE66" s="451"/>
      <c r="AF66" s="451"/>
    </row>
    <row r="67" spans="2:40" hidden="1" outlineLevel="1">
      <c r="B67" s="444" t="s">
        <v>1</v>
      </c>
      <c r="L67" s="451">
        <f>+L$19</f>
        <v>286.57830000000058</v>
      </c>
      <c r="M67" s="451">
        <f>+L67</f>
        <v>286.57830000000058</v>
      </c>
      <c r="N67" s="451">
        <f t="shared" si="34"/>
        <v>286.57830000000058</v>
      </c>
      <c r="O67" s="451">
        <f t="shared" si="34"/>
        <v>286.57830000000058</v>
      </c>
      <c r="P67" s="451">
        <f t="shared" si="34"/>
        <v>286.57830000000058</v>
      </c>
      <c r="Q67" s="451">
        <f t="shared" si="34"/>
        <v>286.57830000000058</v>
      </c>
      <c r="R67" s="451">
        <f t="shared" si="34"/>
        <v>286.57830000000058</v>
      </c>
      <c r="S67" s="451">
        <f t="shared" si="34"/>
        <v>286.57830000000058</v>
      </c>
      <c r="T67" s="451">
        <f t="shared" si="34"/>
        <v>286.57830000000058</v>
      </c>
      <c r="U67" s="451">
        <f t="shared" si="34"/>
        <v>286.57830000000058</v>
      </c>
      <c r="V67" s="451">
        <f t="shared" si="34"/>
        <v>286.57830000000058</v>
      </c>
      <c r="W67" s="451">
        <f t="shared" si="34"/>
        <v>286.57830000000058</v>
      </c>
      <c r="X67" s="451">
        <f t="shared" si="34"/>
        <v>286.57830000000058</v>
      </c>
      <c r="Y67" s="451">
        <f t="shared" si="34"/>
        <v>286.57830000000058</v>
      </c>
      <c r="Z67" s="451">
        <f t="shared" si="34"/>
        <v>286.57830000000058</v>
      </c>
      <c r="AA67" s="451">
        <f t="shared" si="34"/>
        <v>286.57830000000058</v>
      </c>
      <c r="AB67" s="451">
        <f t="shared" si="34"/>
        <v>286.57830000000058</v>
      </c>
      <c r="AC67" s="451">
        <f t="shared" si="34"/>
        <v>286.57830000000058</v>
      </c>
      <c r="AD67" s="451"/>
      <c r="AE67" s="451"/>
      <c r="AF67" s="451"/>
      <c r="AG67" s="451"/>
    </row>
    <row r="68" spans="2:40" hidden="1" outlineLevel="1">
      <c r="B68" s="444" t="s">
        <v>2</v>
      </c>
      <c r="M68" s="451">
        <f>+M$19</f>
        <v>183.45269999999982</v>
      </c>
      <c r="N68" s="451">
        <f>+M68</f>
        <v>183.45269999999982</v>
      </c>
      <c r="O68" s="451">
        <f t="shared" si="34"/>
        <v>183.45269999999982</v>
      </c>
      <c r="P68" s="451">
        <f t="shared" si="34"/>
        <v>183.45269999999982</v>
      </c>
      <c r="Q68" s="451">
        <f t="shared" si="34"/>
        <v>183.45269999999982</v>
      </c>
      <c r="R68" s="451">
        <f t="shared" si="34"/>
        <v>183.45269999999982</v>
      </c>
      <c r="S68" s="451">
        <f t="shared" si="34"/>
        <v>183.45269999999982</v>
      </c>
      <c r="T68" s="451">
        <f t="shared" si="34"/>
        <v>183.45269999999982</v>
      </c>
      <c r="U68" s="451">
        <f t="shared" si="34"/>
        <v>183.45269999999982</v>
      </c>
      <c r="V68" s="451">
        <f t="shared" si="34"/>
        <v>183.45269999999982</v>
      </c>
      <c r="W68" s="451">
        <f t="shared" si="34"/>
        <v>183.45269999999982</v>
      </c>
      <c r="X68" s="451">
        <f t="shared" si="34"/>
        <v>183.45269999999982</v>
      </c>
      <c r="Y68" s="451">
        <f t="shared" si="34"/>
        <v>183.45269999999982</v>
      </c>
      <c r="Z68" s="451">
        <f t="shared" si="34"/>
        <v>183.45269999999982</v>
      </c>
      <c r="AA68" s="451">
        <f t="shared" si="34"/>
        <v>183.45269999999982</v>
      </c>
      <c r="AB68" s="451">
        <f t="shared" si="34"/>
        <v>183.45269999999982</v>
      </c>
      <c r="AC68" s="451">
        <f t="shared" si="34"/>
        <v>183.45269999999982</v>
      </c>
      <c r="AD68" s="451"/>
      <c r="AE68" s="451"/>
      <c r="AF68" s="451"/>
      <c r="AG68" s="451"/>
      <c r="AH68" s="451"/>
    </row>
    <row r="69" spans="2:40" hidden="1" outlineLevel="1">
      <c r="B69" s="444" t="s">
        <v>3</v>
      </c>
      <c r="N69" s="451">
        <f>+N$19</f>
        <v>819.0063999999993</v>
      </c>
      <c r="O69" s="451">
        <f>+N69</f>
        <v>819.0063999999993</v>
      </c>
      <c r="P69" s="451">
        <f t="shared" si="34"/>
        <v>819.0063999999993</v>
      </c>
      <c r="Q69" s="451">
        <f t="shared" si="34"/>
        <v>819.0063999999993</v>
      </c>
      <c r="R69" s="451">
        <f t="shared" si="34"/>
        <v>819.0063999999993</v>
      </c>
      <c r="S69" s="451">
        <f t="shared" si="34"/>
        <v>819.0063999999993</v>
      </c>
      <c r="T69" s="451">
        <f t="shared" si="34"/>
        <v>819.0063999999993</v>
      </c>
      <c r="U69" s="451">
        <f t="shared" si="34"/>
        <v>819.0063999999993</v>
      </c>
      <c r="V69" s="451">
        <f t="shared" si="34"/>
        <v>819.0063999999993</v>
      </c>
      <c r="W69" s="451">
        <f t="shared" si="34"/>
        <v>819.0063999999993</v>
      </c>
      <c r="X69" s="451">
        <f t="shared" si="34"/>
        <v>819.0063999999993</v>
      </c>
      <c r="Y69" s="451">
        <f t="shared" si="34"/>
        <v>819.0063999999993</v>
      </c>
      <c r="Z69" s="451">
        <f t="shared" si="34"/>
        <v>819.0063999999993</v>
      </c>
      <c r="AA69" s="451">
        <f t="shared" si="34"/>
        <v>819.0063999999993</v>
      </c>
      <c r="AB69" s="451">
        <f t="shared" si="34"/>
        <v>819.0063999999993</v>
      </c>
      <c r="AC69" s="451">
        <f t="shared" si="34"/>
        <v>819.0063999999993</v>
      </c>
      <c r="AD69" s="451"/>
      <c r="AE69" s="451"/>
      <c r="AF69" s="451"/>
      <c r="AG69" s="451"/>
      <c r="AH69" s="451"/>
      <c r="AI69" s="451"/>
    </row>
    <row r="70" spans="2:40" hidden="1" outlineLevel="1">
      <c r="B70" s="444" t="s">
        <v>4</v>
      </c>
      <c r="O70" s="451">
        <f>+O$19</f>
        <v>439.18540000000121</v>
      </c>
      <c r="P70" s="451">
        <f>+O70</f>
        <v>439.18540000000121</v>
      </c>
      <c r="Q70" s="451">
        <f t="shared" si="34"/>
        <v>439.18540000000121</v>
      </c>
      <c r="R70" s="451">
        <f t="shared" si="34"/>
        <v>439.18540000000121</v>
      </c>
      <c r="S70" s="451">
        <f t="shared" si="34"/>
        <v>439.18540000000121</v>
      </c>
      <c r="T70" s="451">
        <f t="shared" si="34"/>
        <v>439.18540000000121</v>
      </c>
      <c r="U70" s="451">
        <f t="shared" si="34"/>
        <v>439.18540000000121</v>
      </c>
      <c r="V70" s="451">
        <f t="shared" si="34"/>
        <v>439.18540000000121</v>
      </c>
      <c r="W70" s="451">
        <f t="shared" si="34"/>
        <v>439.18540000000121</v>
      </c>
      <c r="X70" s="451">
        <f t="shared" si="34"/>
        <v>439.18540000000121</v>
      </c>
      <c r="Y70" s="451">
        <f t="shared" si="34"/>
        <v>439.18540000000121</v>
      </c>
      <c r="Z70" s="451">
        <f t="shared" si="34"/>
        <v>439.18540000000121</v>
      </c>
      <c r="AA70" s="451">
        <f t="shared" si="34"/>
        <v>439.18540000000121</v>
      </c>
      <c r="AB70" s="451">
        <f t="shared" si="34"/>
        <v>439.18540000000121</v>
      </c>
      <c r="AC70" s="451">
        <f t="shared" si="34"/>
        <v>439.18540000000121</v>
      </c>
      <c r="AD70" s="451"/>
      <c r="AE70" s="451"/>
      <c r="AF70" s="451"/>
      <c r="AG70" s="451"/>
      <c r="AH70" s="451"/>
      <c r="AI70" s="451"/>
      <c r="AJ70" s="451"/>
    </row>
    <row r="71" spans="2:40" hidden="1" outlineLevel="1">
      <c r="B71" s="444" t="s">
        <v>5</v>
      </c>
      <c r="P71" s="451">
        <f>+P$19</f>
        <v>380.51629999999932</v>
      </c>
      <c r="Q71" s="451">
        <f>+P71</f>
        <v>380.51629999999932</v>
      </c>
      <c r="R71" s="451">
        <f t="shared" si="34"/>
        <v>380.51629999999932</v>
      </c>
      <c r="S71" s="451">
        <f t="shared" si="34"/>
        <v>380.51629999999932</v>
      </c>
      <c r="T71" s="451">
        <f t="shared" si="34"/>
        <v>380.51629999999932</v>
      </c>
      <c r="U71" s="451">
        <f t="shared" si="34"/>
        <v>380.51629999999932</v>
      </c>
      <c r="V71" s="451">
        <f t="shared" si="34"/>
        <v>380.51629999999932</v>
      </c>
      <c r="W71" s="451">
        <f t="shared" si="34"/>
        <v>380.51629999999932</v>
      </c>
      <c r="X71" s="451">
        <f t="shared" si="34"/>
        <v>380.51629999999932</v>
      </c>
      <c r="Y71" s="451">
        <f t="shared" si="34"/>
        <v>380.51629999999932</v>
      </c>
      <c r="Z71" s="451">
        <f t="shared" si="34"/>
        <v>380.51629999999932</v>
      </c>
      <c r="AA71" s="451">
        <f t="shared" si="34"/>
        <v>380.51629999999932</v>
      </c>
      <c r="AB71" s="451">
        <f t="shared" si="34"/>
        <v>380.51629999999932</v>
      </c>
      <c r="AC71" s="451">
        <f t="shared" si="34"/>
        <v>380.51629999999932</v>
      </c>
      <c r="AD71" s="451"/>
      <c r="AE71" s="451"/>
      <c r="AF71" s="451"/>
      <c r="AG71" s="451"/>
      <c r="AH71" s="451"/>
      <c r="AI71" s="451"/>
      <c r="AJ71" s="451"/>
      <c r="AK71" s="451"/>
    </row>
    <row r="72" spans="2:40" hidden="1" outlineLevel="1">
      <c r="B72" s="444" t="s">
        <v>68</v>
      </c>
      <c r="Q72" s="451">
        <f>+Q$19</f>
        <v>1284.6161999999995</v>
      </c>
      <c r="R72" s="451">
        <f>+Q72</f>
        <v>1284.6161999999995</v>
      </c>
      <c r="S72" s="451">
        <f t="shared" si="34"/>
        <v>1284.6161999999995</v>
      </c>
      <c r="T72" s="451">
        <f t="shared" si="34"/>
        <v>1284.6161999999995</v>
      </c>
      <c r="U72" s="451">
        <f t="shared" si="34"/>
        <v>1284.6161999999995</v>
      </c>
      <c r="V72" s="451">
        <f t="shared" si="34"/>
        <v>1284.6161999999995</v>
      </c>
      <c r="W72" s="451">
        <f t="shared" si="34"/>
        <v>1284.6161999999995</v>
      </c>
      <c r="X72" s="451">
        <f t="shared" si="34"/>
        <v>1284.6161999999995</v>
      </c>
      <c r="Y72" s="451">
        <f t="shared" si="34"/>
        <v>1284.6161999999995</v>
      </c>
      <c r="Z72" s="451">
        <f t="shared" si="34"/>
        <v>1284.6161999999995</v>
      </c>
      <c r="AA72" s="451">
        <f t="shared" si="34"/>
        <v>1284.6161999999995</v>
      </c>
      <c r="AB72" s="451">
        <f t="shared" si="34"/>
        <v>1284.6161999999995</v>
      </c>
      <c r="AC72" s="451">
        <f t="shared" si="34"/>
        <v>1284.6161999999995</v>
      </c>
      <c r="AD72" s="451"/>
      <c r="AE72" s="451"/>
      <c r="AF72" s="451"/>
      <c r="AG72" s="451"/>
      <c r="AH72" s="451"/>
      <c r="AI72" s="451"/>
      <c r="AJ72" s="451"/>
      <c r="AK72" s="451"/>
      <c r="AL72" s="451"/>
    </row>
    <row r="73" spans="2:40" hidden="1" outlineLevel="1">
      <c r="B73" s="444" t="s">
        <v>6</v>
      </c>
      <c r="R73" s="451">
        <f ca="1">+R$19</f>
        <v>891.16573658294215</v>
      </c>
      <c r="S73" s="451">
        <f ca="1">+R73</f>
        <v>891.16573658294215</v>
      </c>
      <c r="T73" s="451">
        <f t="shared" ca="1" si="34"/>
        <v>891.16573658294215</v>
      </c>
      <c r="U73" s="451">
        <f t="shared" ca="1" si="34"/>
        <v>891.16573658294215</v>
      </c>
      <c r="V73" s="451">
        <f t="shared" ca="1" si="34"/>
        <v>891.16573658294215</v>
      </c>
      <c r="W73" s="451">
        <f t="shared" ca="1" si="34"/>
        <v>891.16573658294215</v>
      </c>
      <c r="X73" s="451">
        <f t="shared" ca="1" si="34"/>
        <v>891.16573658294215</v>
      </c>
      <c r="Y73" s="451">
        <f t="shared" ca="1" si="34"/>
        <v>891.16573658294215</v>
      </c>
      <c r="Z73" s="451">
        <f t="shared" ca="1" si="34"/>
        <v>891.16573658294215</v>
      </c>
      <c r="AA73" s="451">
        <f t="shared" ca="1" si="34"/>
        <v>891.16573658294215</v>
      </c>
      <c r="AB73" s="451">
        <f t="shared" ca="1" si="34"/>
        <v>891.16573658294215</v>
      </c>
      <c r="AC73" s="451">
        <f t="shared" ca="1" si="34"/>
        <v>891.16573658294215</v>
      </c>
      <c r="AD73" s="451"/>
      <c r="AE73" s="451"/>
      <c r="AF73" s="451"/>
      <c r="AG73" s="451"/>
      <c r="AH73" s="451"/>
      <c r="AI73" s="451"/>
      <c r="AJ73" s="451"/>
      <c r="AK73" s="451"/>
      <c r="AL73" s="451"/>
      <c r="AM73" s="451"/>
    </row>
    <row r="74" spans="2:40" hidden="1" outlineLevel="1">
      <c r="B74" s="444" t="s">
        <v>22</v>
      </c>
      <c r="S74" s="451">
        <f ca="1">+S$19</f>
        <v>1119.2847288700232</v>
      </c>
      <c r="T74" s="451">
        <f ca="1">+S74</f>
        <v>1119.2847288700232</v>
      </c>
      <c r="U74" s="451">
        <f t="shared" ca="1" si="34"/>
        <v>1119.2847288700232</v>
      </c>
      <c r="V74" s="451">
        <f t="shared" ca="1" si="34"/>
        <v>1119.2847288700232</v>
      </c>
      <c r="W74" s="451">
        <f t="shared" ca="1" si="34"/>
        <v>1119.2847288700232</v>
      </c>
      <c r="X74" s="451">
        <f t="shared" ca="1" si="34"/>
        <v>1119.2847288700232</v>
      </c>
      <c r="Y74" s="451">
        <f t="shared" ca="1" si="34"/>
        <v>1119.2847288700232</v>
      </c>
      <c r="Z74" s="451">
        <f t="shared" ca="1" si="34"/>
        <v>1119.2847288700232</v>
      </c>
      <c r="AA74" s="451">
        <f t="shared" ca="1" si="34"/>
        <v>1119.2847288700232</v>
      </c>
      <c r="AB74" s="451">
        <f t="shared" ca="1" si="34"/>
        <v>1119.2847288700232</v>
      </c>
      <c r="AC74" s="451">
        <f t="shared" ca="1" si="34"/>
        <v>1119.2847288700232</v>
      </c>
      <c r="AD74" s="451"/>
      <c r="AE74" s="451"/>
      <c r="AF74" s="451"/>
      <c r="AG74" s="451"/>
      <c r="AH74" s="451"/>
      <c r="AI74" s="451"/>
      <c r="AJ74" s="451"/>
      <c r="AK74" s="451"/>
      <c r="AL74" s="451"/>
      <c r="AM74" s="451"/>
      <c r="AN74" s="451"/>
    </row>
    <row r="75" spans="2:40" hidden="1" outlineLevel="1">
      <c r="B75" s="444" t="s">
        <v>23</v>
      </c>
      <c r="S75" s="451"/>
      <c r="T75" s="451">
        <f ca="1">+T$19</f>
        <v>1343.2846968029478</v>
      </c>
      <c r="U75" s="451">
        <f ca="1">+T75</f>
        <v>1343.2846968029478</v>
      </c>
      <c r="V75" s="451">
        <f t="shared" ca="1" si="34"/>
        <v>1343.2846968029478</v>
      </c>
      <c r="W75" s="451">
        <f t="shared" ca="1" si="34"/>
        <v>1343.2846968029478</v>
      </c>
      <c r="X75" s="451">
        <f t="shared" ca="1" si="34"/>
        <v>1343.2846968029478</v>
      </c>
      <c r="Y75" s="451">
        <f t="shared" ca="1" si="34"/>
        <v>1343.2846968029478</v>
      </c>
      <c r="Z75" s="451">
        <f t="shared" ca="1" si="34"/>
        <v>1343.2846968029478</v>
      </c>
      <c r="AA75" s="451">
        <f t="shared" ca="1" si="34"/>
        <v>1343.2846968029478</v>
      </c>
      <c r="AB75" s="451">
        <f t="shared" ca="1" si="34"/>
        <v>1343.2846968029478</v>
      </c>
      <c r="AC75" s="451">
        <f t="shared" ca="1" si="34"/>
        <v>1343.2846968029478</v>
      </c>
      <c r="AD75" s="451"/>
      <c r="AE75" s="451"/>
      <c r="AF75" s="451"/>
      <c r="AG75" s="451"/>
      <c r="AH75" s="451"/>
      <c r="AI75" s="451"/>
      <c r="AJ75" s="451"/>
      <c r="AK75" s="451"/>
      <c r="AL75" s="451"/>
      <c r="AM75" s="451"/>
      <c r="AN75" s="451"/>
    </row>
    <row r="76" spans="2:40" hidden="1" outlineLevel="1">
      <c r="B76" s="444" t="s">
        <v>24</v>
      </c>
      <c r="S76" s="451"/>
      <c r="T76" s="451"/>
      <c r="U76" s="451">
        <f ca="1">+U$19</f>
        <v>1570.0685613401554</v>
      </c>
      <c r="V76" s="451">
        <f ca="1">+U76</f>
        <v>1570.0685613401554</v>
      </c>
      <c r="W76" s="451">
        <f t="shared" ref="W76:AC81" ca="1" si="35">+V76</f>
        <v>1570.0685613401554</v>
      </c>
      <c r="X76" s="451">
        <f t="shared" ca="1" si="35"/>
        <v>1570.0685613401554</v>
      </c>
      <c r="Y76" s="451">
        <f t="shared" ca="1" si="35"/>
        <v>1570.0685613401554</v>
      </c>
      <c r="Z76" s="451">
        <f t="shared" ca="1" si="35"/>
        <v>1570.0685613401554</v>
      </c>
      <c r="AA76" s="451">
        <f t="shared" ca="1" si="35"/>
        <v>1570.0685613401554</v>
      </c>
      <c r="AB76" s="451">
        <f t="shared" ca="1" si="35"/>
        <v>1570.0685613401554</v>
      </c>
      <c r="AC76" s="451">
        <f t="shared" ca="1" si="35"/>
        <v>1570.0685613401554</v>
      </c>
      <c r="AD76" s="451"/>
      <c r="AE76" s="451"/>
      <c r="AF76" s="451"/>
      <c r="AG76" s="451"/>
      <c r="AH76" s="451"/>
      <c r="AI76" s="451"/>
      <c r="AJ76" s="451"/>
      <c r="AK76" s="451"/>
      <c r="AL76" s="451"/>
      <c r="AM76" s="451"/>
      <c r="AN76" s="451"/>
    </row>
    <row r="77" spans="2:40" hidden="1" outlineLevel="1">
      <c r="B77" s="444" t="s">
        <v>25</v>
      </c>
      <c r="S77" s="451"/>
      <c r="T77" s="451"/>
      <c r="U77" s="451"/>
      <c r="V77" s="451">
        <f ca="1">+V$19</f>
        <v>1810.087403575664</v>
      </c>
      <c r="W77" s="451">
        <f ca="1">+V77</f>
        <v>1810.087403575664</v>
      </c>
      <c r="X77" s="451">
        <f t="shared" ca="1" si="35"/>
        <v>1810.087403575664</v>
      </c>
      <c r="Y77" s="451">
        <f t="shared" ca="1" si="35"/>
        <v>1810.087403575664</v>
      </c>
      <c r="Z77" s="451">
        <f t="shared" ca="1" si="35"/>
        <v>1810.087403575664</v>
      </c>
      <c r="AA77" s="451">
        <f t="shared" ca="1" si="35"/>
        <v>1810.087403575664</v>
      </c>
      <c r="AB77" s="451">
        <f t="shared" ca="1" si="35"/>
        <v>1810.087403575664</v>
      </c>
      <c r="AC77" s="451">
        <f t="shared" ca="1" si="35"/>
        <v>1810.087403575664</v>
      </c>
      <c r="AD77" s="451"/>
      <c r="AE77" s="451"/>
      <c r="AF77" s="451"/>
      <c r="AG77" s="451"/>
      <c r="AH77" s="451"/>
      <c r="AI77" s="451"/>
      <c r="AJ77" s="451"/>
      <c r="AK77" s="451"/>
      <c r="AL77" s="451"/>
      <c r="AM77" s="451"/>
      <c r="AN77" s="451"/>
    </row>
    <row r="78" spans="2:40" hidden="1" outlineLevel="1">
      <c r="B78" s="444" t="s">
        <v>26</v>
      </c>
      <c r="S78" s="451"/>
      <c r="T78" s="451"/>
      <c r="U78" s="451"/>
      <c r="V78" s="451"/>
      <c r="W78" s="451">
        <f ca="1">+W$19</f>
        <v>2087.2416691598492</v>
      </c>
      <c r="X78" s="451">
        <f ca="1">+W78</f>
        <v>2087.2416691598492</v>
      </c>
      <c r="Y78" s="451">
        <f t="shared" ca="1" si="35"/>
        <v>2087.2416691598492</v>
      </c>
      <c r="Z78" s="451">
        <f t="shared" ca="1" si="35"/>
        <v>2087.2416691598492</v>
      </c>
      <c r="AA78" s="451">
        <f t="shared" ca="1" si="35"/>
        <v>2087.2416691598492</v>
      </c>
      <c r="AB78" s="451">
        <f t="shared" ca="1" si="35"/>
        <v>2087.2416691598492</v>
      </c>
      <c r="AC78" s="451">
        <f t="shared" ca="1" si="35"/>
        <v>2087.2416691598492</v>
      </c>
      <c r="AD78" s="451"/>
      <c r="AE78" s="451"/>
      <c r="AF78" s="451"/>
      <c r="AG78" s="451"/>
      <c r="AH78" s="451"/>
      <c r="AI78" s="451"/>
      <c r="AJ78" s="451"/>
      <c r="AK78" s="451"/>
      <c r="AL78" s="451"/>
      <c r="AM78" s="451"/>
      <c r="AN78" s="451"/>
    </row>
    <row r="79" spans="2:40" hidden="1" outlineLevel="1">
      <c r="B79" s="444" t="s">
        <v>27</v>
      </c>
      <c r="S79" s="451"/>
      <c r="T79" s="451"/>
      <c r="U79" s="451"/>
      <c r="V79" s="451"/>
      <c r="W79" s="451"/>
      <c r="X79" s="451">
        <f ca="1">+X$19</f>
        <v>2415.4401923149726</v>
      </c>
      <c r="Y79" s="451">
        <f ca="1">+X79</f>
        <v>2415.4401923149726</v>
      </c>
      <c r="Z79" s="451">
        <f t="shared" ca="1" si="35"/>
        <v>2415.4401923149726</v>
      </c>
      <c r="AA79" s="451">
        <f t="shared" ca="1" si="35"/>
        <v>2415.4401923149726</v>
      </c>
      <c r="AB79" s="451">
        <f t="shared" ca="1" si="35"/>
        <v>2415.4401923149726</v>
      </c>
      <c r="AC79" s="451">
        <f t="shared" ca="1" si="35"/>
        <v>2415.4401923149726</v>
      </c>
      <c r="AD79" s="451"/>
      <c r="AE79" s="451"/>
      <c r="AF79" s="451"/>
      <c r="AG79" s="451"/>
      <c r="AH79" s="451"/>
      <c r="AI79" s="451"/>
      <c r="AJ79" s="451"/>
      <c r="AK79" s="451"/>
      <c r="AL79" s="451"/>
      <c r="AM79" s="451"/>
      <c r="AN79" s="451"/>
    </row>
    <row r="80" spans="2:40" hidden="1" outlineLevel="1">
      <c r="B80" s="444" t="s">
        <v>38</v>
      </c>
      <c r="S80" s="451"/>
      <c r="T80" s="451"/>
      <c r="U80" s="451"/>
      <c r="V80" s="451"/>
      <c r="W80" s="451"/>
      <c r="X80" s="451"/>
      <c r="Y80" s="451">
        <f ca="1">+Y$19</f>
        <v>2789.7340808373774</v>
      </c>
      <c r="Z80" s="451">
        <f ca="1">+Y80</f>
        <v>2789.7340808373774</v>
      </c>
      <c r="AA80" s="451">
        <f t="shared" ca="1" si="35"/>
        <v>2789.7340808373774</v>
      </c>
      <c r="AB80" s="451">
        <f t="shared" ca="1" si="35"/>
        <v>2789.7340808373774</v>
      </c>
      <c r="AC80" s="451">
        <f t="shared" ca="1" si="35"/>
        <v>2789.7340808373774</v>
      </c>
      <c r="AD80" s="451"/>
      <c r="AE80" s="451"/>
      <c r="AF80" s="451"/>
      <c r="AG80" s="451"/>
      <c r="AH80" s="451"/>
      <c r="AI80" s="451"/>
      <c r="AJ80" s="451"/>
      <c r="AK80" s="451"/>
      <c r="AL80" s="451"/>
      <c r="AM80" s="451"/>
      <c r="AN80" s="451"/>
    </row>
    <row r="81" spans="2:40" hidden="1" outlineLevel="1">
      <c r="B81" s="444" t="s">
        <v>39</v>
      </c>
      <c r="S81" s="451"/>
      <c r="T81" s="451"/>
      <c r="U81" s="451"/>
      <c r="V81" s="451"/>
      <c r="W81" s="451"/>
      <c r="X81" s="451"/>
      <c r="Y81" s="451"/>
      <c r="Z81" s="451">
        <f ca="1">+Z$19</f>
        <v>3219.7674630568163</v>
      </c>
      <c r="AA81" s="451">
        <f ca="1">+Z81</f>
        <v>3219.7674630568163</v>
      </c>
      <c r="AB81" s="451">
        <f t="shared" ca="1" si="35"/>
        <v>3219.7674630568163</v>
      </c>
      <c r="AC81" s="451">
        <f t="shared" ca="1" si="35"/>
        <v>3219.7674630568163</v>
      </c>
      <c r="AD81" s="451"/>
      <c r="AE81" s="451"/>
      <c r="AF81" s="451"/>
      <c r="AG81" s="451"/>
      <c r="AH81" s="451"/>
      <c r="AI81" s="451"/>
      <c r="AJ81" s="451"/>
      <c r="AK81" s="451"/>
      <c r="AL81" s="451"/>
      <c r="AM81" s="451"/>
      <c r="AN81" s="451"/>
    </row>
    <row r="82" spans="2:40" hidden="1" outlineLevel="1">
      <c r="B82" s="444" t="s">
        <v>40</v>
      </c>
      <c r="S82" s="451"/>
      <c r="T82" s="451"/>
      <c r="U82" s="451"/>
      <c r="V82" s="451"/>
      <c r="W82" s="451"/>
      <c r="X82" s="451"/>
      <c r="Y82" s="451"/>
      <c r="Z82" s="451"/>
      <c r="AA82" s="451">
        <f ca="1">+AA$19</f>
        <v>3715.8327120144991</v>
      </c>
      <c r="AB82" s="451">
        <f ca="1">+AA82</f>
        <v>3715.8327120144991</v>
      </c>
      <c r="AC82" s="451">
        <f ca="1">+AB82</f>
        <v>3715.8327120144991</v>
      </c>
      <c r="AD82" s="451"/>
      <c r="AE82" s="451"/>
      <c r="AF82" s="451"/>
      <c r="AG82" s="451"/>
      <c r="AH82" s="451"/>
      <c r="AI82" s="451"/>
      <c r="AJ82" s="451"/>
      <c r="AK82" s="451"/>
      <c r="AL82" s="451"/>
      <c r="AM82" s="451"/>
      <c r="AN82" s="451"/>
    </row>
    <row r="83" spans="2:40" hidden="1" outlineLevel="1">
      <c r="B83" s="444" t="s">
        <v>41</v>
      </c>
      <c r="S83" s="451"/>
      <c r="T83" s="451"/>
      <c r="U83" s="451"/>
      <c r="V83" s="451"/>
      <c r="W83" s="451"/>
      <c r="X83" s="451"/>
      <c r="Y83" s="451"/>
      <c r="Z83" s="451"/>
      <c r="AA83" s="451"/>
      <c r="AB83" s="451">
        <f ca="1">+AB$19</f>
        <v>4288.7280397859822</v>
      </c>
      <c r="AC83" s="451">
        <f ca="1">+AB83</f>
        <v>4288.7280397859822</v>
      </c>
      <c r="AD83" s="451"/>
      <c r="AE83" s="451"/>
      <c r="AF83" s="451"/>
      <c r="AG83" s="451"/>
      <c r="AH83" s="451"/>
      <c r="AI83" s="451"/>
      <c r="AJ83" s="451"/>
      <c r="AK83" s="451"/>
      <c r="AL83" s="451"/>
      <c r="AM83" s="451"/>
      <c r="AN83" s="451"/>
    </row>
    <row r="84" spans="2:40" hidden="1" outlineLevel="1">
      <c r="B84" s="444" t="s">
        <v>112</v>
      </c>
      <c r="S84" s="451"/>
      <c r="T84" s="451"/>
      <c r="U84" s="451"/>
      <c r="V84" s="451"/>
      <c r="W84" s="451"/>
      <c r="X84" s="451"/>
      <c r="Y84" s="451"/>
      <c r="Z84" s="451"/>
      <c r="AA84" s="451"/>
      <c r="AB84" s="451"/>
      <c r="AC84" s="451">
        <f ca="1">+AC$19</f>
        <v>4950.441219700383</v>
      </c>
      <c r="AD84" s="451"/>
      <c r="AE84" s="451"/>
      <c r="AF84" s="451"/>
      <c r="AG84" s="451"/>
      <c r="AH84" s="451"/>
      <c r="AI84" s="451"/>
      <c r="AJ84" s="451"/>
      <c r="AK84" s="451"/>
      <c r="AL84" s="451"/>
      <c r="AM84" s="451"/>
      <c r="AN84" s="451"/>
    </row>
    <row r="85" spans="2:40" hidden="1" outlineLevel="1"/>
    <row r="86" spans="2:40" hidden="1" outlineLevel="1">
      <c r="B86" s="449" t="s">
        <v>672</v>
      </c>
    </row>
    <row r="87" spans="2:40" hidden="1" outlineLevel="1">
      <c r="B87" s="444" t="s">
        <v>172</v>
      </c>
      <c r="E87" s="451">
        <f>+SUM($D22:E22)</f>
        <v>15.91309174311929</v>
      </c>
      <c r="F87" s="451">
        <f>+SUM($D22:F22)</f>
        <v>47.739275229357872</v>
      </c>
      <c r="G87" s="451">
        <f>+SUM($D22:G22)</f>
        <v>79.565458715596449</v>
      </c>
      <c r="H87" s="451">
        <f>+SUM($D22:H22)</f>
        <v>111.39164220183503</v>
      </c>
      <c r="I87" s="451">
        <f>+SUM($D22:I22)</f>
        <v>143.21782568807362</v>
      </c>
      <c r="J87" s="451">
        <f>+SUM($D22:J22)</f>
        <v>173.45270000000028</v>
      </c>
      <c r="K87" s="451">
        <f>+SUM($D22:K22)</f>
        <v>173.45270000000028</v>
      </c>
      <c r="L87" s="451">
        <f>+SUM($D22:L22)</f>
        <v>173.45270000000028</v>
      </c>
      <c r="M87" s="451">
        <f>+SUM($D22:M22)</f>
        <v>173.45270000000028</v>
      </c>
      <c r="N87" s="451">
        <f>+SUM($D22:N22)</f>
        <v>173.45270000000028</v>
      </c>
      <c r="O87" s="451">
        <f>+SUM($D22:O22)</f>
        <v>173.45270000000028</v>
      </c>
      <c r="P87" s="451">
        <f>+SUM($D22:P22)</f>
        <v>173.45270000000028</v>
      </c>
      <c r="Q87" s="451">
        <f>+SUM($D22:Q22)</f>
        <v>173.45270000000028</v>
      </c>
      <c r="R87" s="451">
        <f>+SUM($D22:R22)</f>
        <v>173.45270000000028</v>
      </c>
      <c r="S87" s="451">
        <f>+SUM($D22:S22)</f>
        <v>173.45270000000028</v>
      </c>
      <c r="T87" s="451">
        <f>+SUM($D22:T22)</f>
        <v>173.45270000000028</v>
      </c>
      <c r="U87" s="451">
        <f>+SUM($D22:U22)</f>
        <v>173.45270000000028</v>
      </c>
      <c r="V87" s="451">
        <f>+SUM($D22:V22)</f>
        <v>173.45270000000028</v>
      </c>
      <c r="W87" s="451">
        <f>+SUM($D22:W22)</f>
        <v>173.45270000000028</v>
      </c>
      <c r="X87" s="451">
        <f>+SUM($D22:X22)</f>
        <v>173.45270000000028</v>
      </c>
      <c r="Y87" s="451">
        <f>+SUM($D22:Y22)</f>
        <v>173.45270000000028</v>
      </c>
      <c r="Z87" s="451">
        <f>+SUM($D22:Z22)</f>
        <v>173.45270000000028</v>
      </c>
      <c r="AA87" s="451">
        <f>+SUM($D22:AA22)</f>
        <v>173.45270000000028</v>
      </c>
      <c r="AB87" s="451">
        <f>+SUM($D22:AB22)</f>
        <v>173.45270000000028</v>
      </c>
      <c r="AC87" s="451">
        <f>+SUM($D22:AC22)</f>
        <v>173.45270000000028</v>
      </c>
    </row>
    <row r="88" spans="2:40" hidden="1" outlineLevel="1">
      <c r="B88" s="444" t="s">
        <v>153</v>
      </c>
      <c r="F88" s="451">
        <f>+SUM($D23:F23)</f>
        <v>22.930495412844028</v>
      </c>
      <c r="G88" s="451">
        <f>+SUM($D23:G23)</f>
        <v>68.791486238532087</v>
      </c>
      <c r="H88" s="451">
        <f>+SUM($D23:H23)</f>
        <v>114.65247706422014</v>
      </c>
      <c r="I88" s="451">
        <f>+SUM($D23:I23)</f>
        <v>160.51346788990818</v>
      </c>
      <c r="J88" s="451">
        <f>+SUM($D23:J23)</f>
        <v>206.37445871559623</v>
      </c>
      <c r="K88" s="451">
        <f>+SUM($D23:K23)</f>
        <v>249.94239999999991</v>
      </c>
      <c r="L88" s="451">
        <f>+SUM($D23:L23)</f>
        <v>249.94239999999991</v>
      </c>
      <c r="M88" s="451">
        <f>+SUM($D23:M23)</f>
        <v>249.94239999999991</v>
      </c>
      <c r="N88" s="451">
        <f>+SUM($D23:N23)</f>
        <v>249.94239999999991</v>
      </c>
      <c r="O88" s="451">
        <f>+SUM($D23:O23)</f>
        <v>249.94239999999991</v>
      </c>
      <c r="P88" s="451">
        <f>+SUM($D23:P23)</f>
        <v>249.94239999999991</v>
      </c>
      <c r="Q88" s="451">
        <f>+SUM($D23:Q23)</f>
        <v>249.94239999999991</v>
      </c>
      <c r="R88" s="451">
        <f>+SUM($D23:R23)</f>
        <v>249.94239999999991</v>
      </c>
      <c r="S88" s="451">
        <f>+SUM($D23:S23)</f>
        <v>249.94239999999991</v>
      </c>
      <c r="T88" s="451">
        <f>+SUM($D23:T23)</f>
        <v>249.94239999999991</v>
      </c>
      <c r="U88" s="451">
        <f>+SUM($D23:U23)</f>
        <v>249.94239999999991</v>
      </c>
      <c r="V88" s="451">
        <f>+SUM($D23:V23)</f>
        <v>249.94239999999991</v>
      </c>
      <c r="W88" s="451">
        <f>+SUM($D23:W23)</f>
        <v>249.94239999999991</v>
      </c>
      <c r="X88" s="451">
        <f>+SUM($D23:X23)</f>
        <v>249.94239999999991</v>
      </c>
      <c r="Y88" s="451">
        <f>+SUM($D23:Y23)</f>
        <v>249.94239999999991</v>
      </c>
      <c r="Z88" s="451">
        <f>+SUM($D23:Z23)</f>
        <v>249.94239999999991</v>
      </c>
      <c r="AA88" s="451">
        <f>+SUM($D23:AA23)</f>
        <v>249.94239999999991</v>
      </c>
      <c r="AB88" s="451">
        <f>+SUM($D23:AB23)</f>
        <v>249.94239999999991</v>
      </c>
      <c r="AC88" s="451">
        <f>+SUM($D23:AC23)</f>
        <v>249.94239999999991</v>
      </c>
    </row>
    <row r="89" spans="2:40" hidden="1" outlineLevel="1">
      <c r="B89" s="444" t="s">
        <v>152</v>
      </c>
      <c r="G89" s="451">
        <f>+SUM($D24:G24)</f>
        <v>15.393724770642182</v>
      </c>
      <c r="H89" s="451">
        <f>+SUM($D24:H24)</f>
        <v>46.181174311926547</v>
      </c>
      <c r="I89" s="451">
        <f>+SUM($D24:I24)</f>
        <v>76.968623853210914</v>
      </c>
      <c r="J89" s="451">
        <f>+SUM($D24:J24)</f>
        <v>107.75607339449527</v>
      </c>
      <c r="K89" s="451">
        <f>+SUM($D24:K24)</f>
        <v>138.54352293577963</v>
      </c>
      <c r="L89" s="451">
        <f>+SUM($D24:L24)</f>
        <v>167.79159999999979</v>
      </c>
      <c r="M89" s="451">
        <f>+SUM($D24:M24)</f>
        <v>167.79159999999979</v>
      </c>
      <c r="N89" s="451">
        <f>+SUM($D24:N24)</f>
        <v>167.79159999999979</v>
      </c>
      <c r="O89" s="451">
        <f>+SUM($D24:O24)</f>
        <v>167.79159999999979</v>
      </c>
      <c r="P89" s="451">
        <f>+SUM($D24:P24)</f>
        <v>167.79159999999979</v>
      </c>
      <c r="Q89" s="451">
        <f>+SUM($D24:Q24)</f>
        <v>167.79159999999979</v>
      </c>
      <c r="R89" s="451">
        <f>+SUM($D24:R24)</f>
        <v>167.79159999999979</v>
      </c>
      <c r="S89" s="451">
        <f>+SUM($D24:S24)</f>
        <v>167.79159999999979</v>
      </c>
      <c r="T89" s="451">
        <f>+SUM($D24:T24)</f>
        <v>167.79159999999979</v>
      </c>
      <c r="U89" s="451">
        <f>+SUM($D24:U24)</f>
        <v>167.79159999999979</v>
      </c>
      <c r="V89" s="451">
        <f>+SUM($D24:V24)</f>
        <v>167.79159999999979</v>
      </c>
      <c r="W89" s="451">
        <f>+SUM($D24:W24)</f>
        <v>167.79159999999979</v>
      </c>
      <c r="X89" s="451">
        <f>+SUM($D24:X24)</f>
        <v>167.79159999999979</v>
      </c>
      <c r="Y89" s="451">
        <f>+SUM($D24:Y24)</f>
        <v>167.79159999999979</v>
      </c>
      <c r="Z89" s="451">
        <f>+SUM($D24:Z24)</f>
        <v>167.79159999999979</v>
      </c>
      <c r="AA89" s="451">
        <f>+SUM($D24:AA24)</f>
        <v>167.79159999999979</v>
      </c>
      <c r="AB89" s="451">
        <f>+SUM($D24:AB24)</f>
        <v>167.79159999999979</v>
      </c>
      <c r="AC89" s="451">
        <f>+SUM($D24:AC24)</f>
        <v>167.79159999999979</v>
      </c>
    </row>
    <row r="90" spans="2:40" hidden="1" outlineLevel="1">
      <c r="B90" s="444" t="s">
        <v>151</v>
      </c>
      <c r="H90" s="451">
        <f>+SUM($D25:H25)</f>
        <v>35.424807339449586</v>
      </c>
      <c r="I90" s="451">
        <f>+SUM($D25:I25)</f>
        <v>106.27442201834876</v>
      </c>
      <c r="J90" s="451">
        <f>+SUM($D25:J25)</f>
        <v>177.12403669724793</v>
      </c>
      <c r="K90" s="451">
        <f>+SUM($D25:K25)</f>
        <v>247.9736513761471</v>
      </c>
      <c r="L90" s="451">
        <f>+SUM($D25:L25)</f>
        <v>318.82326605504625</v>
      </c>
      <c r="M90" s="451">
        <f>+SUM($D25:M25)</f>
        <v>386.13040000000046</v>
      </c>
      <c r="N90" s="451">
        <f>+SUM($D25:N25)</f>
        <v>386.13040000000046</v>
      </c>
      <c r="O90" s="451">
        <f>+SUM($D25:O25)</f>
        <v>386.13040000000046</v>
      </c>
      <c r="P90" s="451">
        <f>+SUM($D25:P25)</f>
        <v>386.13040000000046</v>
      </c>
      <c r="Q90" s="451">
        <f>+SUM($D25:Q25)</f>
        <v>386.13040000000046</v>
      </c>
      <c r="R90" s="451">
        <f>+SUM($D25:R25)</f>
        <v>386.13040000000046</v>
      </c>
      <c r="S90" s="451">
        <f>+SUM($D25:S25)</f>
        <v>386.13040000000046</v>
      </c>
      <c r="T90" s="451">
        <f>+SUM($D25:T25)</f>
        <v>386.13040000000046</v>
      </c>
      <c r="U90" s="451">
        <f>+SUM($D25:U25)</f>
        <v>386.13040000000046</v>
      </c>
      <c r="V90" s="451">
        <f>+SUM($D25:V25)</f>
        <v>386.13040000000046</v>
      </c>
      <c r="W90" s="451">
        <f>+SUM($D25:W25)</f>
        <v>386.13040000000046</v>
      </c>
      <c r="X90" s="451">
        <f>+SUM($D25:X25)</f>
        <v>386.13040000000046</v>
      </c>
      <c r="Y90" s="451">
        <f>+SUM($D25:Y25)</f>
        <v>386.13040000000046</v>
      </c>
      <c r="Z90" s="451">
        <f>+SUM($D25:Z25)</f>
        <v>386.13040000000046</v>
      </c>
      <c r="AA90" s="451">
        <f>+SUM($D25:AA25)</f>
        <v>386.13040000000046</v>
      </c>
      <c r="AB90" s="451">
        <f>+SUM($D25:AB25)</f>
        <v>386.13040000000046</v>
      </c>
      <c r="AC90" s="451">
        <f>+SUM($D25:AC25)</f>
        <v>386.13040000000046</v>
      </c>
    </row>
    <row r="91" spans="2:40" hidden="1" outlineLevel="1">
      <c r="B91" s="444" t="s">
        <v>150</v>
      </c>
      <c r="I91" s="451">
        <f>+SUM($D26:I26)</f>
        <v>15.568495412844014</v>
      </c>
      <c r="J91" s="451">
        <f>+SUM($D26:J26)</f>
        <v>46.705486238532039</v>
      </c>
      <c r="K91" s="451">
        <f>+SUM($D26:K26)</f>
        <v>77.842477064220063</v>
      </c>
      <c r="L91" s="451">
        <f>+SUM($D26:L26)</f>
        <v>108.97946788990809</v>
      </c>
      <c r="M91" s="451">
        <f>+SUM($D26:M26)</f>
        <v>140.11645871559611</v>
      </c>
      <c r="N91" s="451">
        <f>+SUM($D26:N26)</f>
        <v>169.69659999999976</v>
      </c>
      <c r="O91" s="451">
        <f>+SUM($D26:O26)</f>
        <v>169.69659999999976</v>
      </c>
      <c r="P91" s="451">
        <f>+SUM($D26:P26)</f>
        <v>169.69659999999976</v>
      </c>
      <c r="Q91" s="451">
        <f>+SUM($D26:Q26)</f>
        <v>169.69659999999976</v>
      </c>
      <c r="R91" s="451">
        <f>+SUM($D26:R26)</f>
        <v>169.69659999999976</v>
      </c>
      <c r="S91" s="451">
        <f>+SUM($D26:S26)</f>
        <v>169.69659999999976</v>
      </c>
      <c r="T91" s="451">
        <f>+SUM($D26:T26)</f>
        <v>169.69659999999976</v>
      </c>
      <c r="U91" s="451">
        <f>+SUM($D26:U26)</f>
        <v>169.69659999999976</v>
      </c>
      <c r="V91" s="451">
        <f>+SUM($D26:V26)</f>
        <v>169.69659999999976</v>
      </c>
      <c r="W91" s="451">
        <f>+SUM($D26:W26)</f>
        <v>169.69659999999976</v>
      </c>
      <c r="X91" s="451">
        <f>+SUM($D26:X26)</f>
        <v>169.69659999999976</v>
      </c>
      <c r="Y91" s="451">
        <f>+SUM($D26:Y26)</f>
        <v>169.69659999999976</v>
      </c>
      <c r="Z91" s="451">
        <f>+SUM($D26:Z26)</f>
        <v>169.69659999999976</v>
      </c>
      <c r="AA91" s="451">
        <f>+SUM($D26:AA26)</f>
        <v>169.69659999999976</v>
      </c>
      <c r="AB91" s="451">
        <f>+SUM($D26:AB26)</f>
        <v>169.69659999999976</v>
      </c>
      <c r="AC91" s="451">
        <f>+SUM($D26:AC26)</f>
        <v>169.69659999999976</v>
      </c>
      <c r="AD91" s="451"/>
    </row>
    <row r="92" spans="2:40" hidden="1" outlineLevel="1">
      <c r="B92" s="444" t="s">
        <v>10</v>
      </c>
      <c r="J92" s="451">
        <f>+SUM($D27:J27)</f>
        <v>14.771587155963294</v>
      </c>
      <c r="K92" s="451">
        <f>+SUM($D27:K27)</f>
        <v>44.31476146788988</v>
      </c>
      <c r="L92" s="451">
        <f>+SUM($D27:L27)</f>
        <v>73.857935779816472</v>
      </c>
      <c r="M92" s="451">
        <f>+SUM($D27:M27)</f>
        <v>103.40111009174306</v>
      </c>
      <c r="N92" s="451">
        <f>+SUM($D27:N27)</f>
        <v>132.94428440366966</v>
      </c>
      <c r="O92" s="451">
        <f>+SUM($D27:O27)</f>
        <v>161.01029999999992</v>
      </c>
      <c r="P92" s="451">
        <f>+SUM($D27:P27)</f>
        <v>161.01029999999992</v>
      </c>
      <c r="Q92" s="451">
        <f>+SUM($D27:Q27)</f>
        <v>161.01029999999992</v>
      </c>
      <c r="R92" s="451">
        <f>+SUM($D27:R27)</f>
        <v>161.01029999999992</v>
      </c>
      <c r="S92" s="451">
        <f>+SUM($D27:S27)</f>
        <v>161.01029999999992</v>
      </c>
      <c r="T92" s="451">
        <f>+SUM($D27:T27)</f>
        <v>161.01029999999992</v>
      </c>
      <c r="U92" s="451">
        <f>+SUM($D27:U27)</f>
        <v>161.01029999999992</v>
      </c>
      <c r="V92" s="451">
        <f>+SUM($D27:V27)</f>
        <v>161.01029999999992</v>
      </c>
      <c r="W92" s="451">
        <f>+SUM($D27:W27)</f>
        <v>161.01029999999992</v>
      </c>
      <c r="X92" s="451">
        <f>+SUM($D27:X27)</f>
        <v>161.01029999999992</v>
      </c>
      <c r="Y92" s="451">
        <f>+SUM($D27:Y27)</f>
        <v>161.01029999999992</v>
      </c>
      <c r="Z92" s="451">
        <f>+SUM($D27:Z27)</f>
        <v>161.01029999999992</v>
      </c>
      <c r="AA92" s="451">
        <f>+SUM($D27:AA27)</f>
        <v>161.01029999999992</v>
      </c>
      <c r="AB92" s="451">
        <f>+SUM($D27:AB27)</f>
        <v>161.01029999999992</v>
      </c>
      <c r="AC92" s="451">
        <f>+SUM($D27:AC27)</f>
        <v>161.01029999999992</v>
      </c>
      <c r="AD92" s="451"/>
      <c r="AE92" s="451"/>
    </row>
    <row r="93" spans="2:40" hidden="1" outlineLevel="1">
      <c r="B93" s="444" t="s">
        <v>11</v>
      </c>
      <c r="K93" s="451">
        <f>+SUM($D28:K28)</f>
        <v>48.373999999999967</v>
      </c>
      <c r="L93" s="451">
        <f>+SUM($D28:L28)</f>
        <v>145.1219999999999</v>
      </c>
      <c r="M93" s="451">
        <f>+SUM($D28:M28)</f>
        <v>241.86999999999983</v>
      </c>
      <c r="N93" s="451">
        <f>+SUM($D28:N28)</f>
        <v>338.61799999999977</v>
      </c>
      <c r="O93" s="451">
        <f>+SUM($D28:O28)</f>
        <v>435.3659999999997</v>
      </c>
      <c r="P93" s="451">
        <f>+SUM($D28:P28)</f>
        <v>527.27659999999969</v>
      </c>
      <c r="Q93" s="451">
        <f>+SUM($D28:Q28)</f>
        <v>527.27659999999969</v>
      </c>
      <c r="R93" s="451">
        <f>+SUM($D28:R28)</f>
        <v>527.27659999999969</v>
      </c>
      <c r="S93" s="451">
        <f>+SUM($D28:S28)</f>
        <v>527.27659999999969</v>
      </c>
      <c r="T93" s="451">
        <f>+SUM($D28:T28)</f>
        <v>527.27659999999969</v>
      </c>
      <c r="U93" s="451">
        <f>+SUM($D28:U28)</f>
        <v>527.27659999999969</v>
      </c>
      <c r="V93" s="451">
        <f>+SUM($D28:V28)</f>
        <v>527.27659999999969</v>
      </c>
      <c r="W93" s="451">
        <f>+SUM($D28:W28)</f>
        <v>527.27659999999969</v>
      </c>
      <c r="X93" s="451">
        <f>+SUM($D28:X28)</f>
        <v>527.27659999999969</v>
      </c>
      <c r="Y93" s="451">
        <f>+SUM($D28:Y28)</f>
        <v>527.27659999999969</v>
      </c>
      <c r="Z93" s="451">
        <f>+SUM($D28:Z28)</f>
        <v>527.27659999999969</v>
      </c>
      <c r="AA93" s="451">
        <f>+SUM($D28:AA28)</f>
        <v>527.27659999999969</v>
      </c>
      <c r="AB93" s="451">
        <f>+SUM($D28:AB28)</f>
        <v>527.27659999999969</v>
      </c>
      <c r="AC93" s="451">
        <f>+SUM($D28:AC28)</f>
        <v>527.27659999999969</v>
      </c>
      <c r="AD93" s="451"/>
      <c r="AE93" s="451"/>
      <c r="AF93" s="451"/>
    </row>
    <row r="94" spans="2:40" hidden="1" outlineLevel="1">
      <c r="B94" s="444" t="s">
        <v>1</v>
      </c>
      <c r="L94" s="451">
        <f>+SUM($D29:L29)</f>
        <v>26.291587155963356</v>
      </c>
      <c r="M94" s="451">
        <f>+SUM($D29:M29)</f>
        <v>78.874761467890067</v>
      </c>
      <c r="N94" s="451">
        <f>+SUM($D29:N29)</f>
        <v>131.45793577981678</v>
      </c>
      <c r="O94" s="451">
        <f>+SUM($D29:O29)</f>
        <v>184.04111009174349</v>
      </c>
      <c r="P94" s="451">
        <f>+SUM($D29:P29)</f>
        <v>236.6242844036702</v>
      </c>
      <c r="Q94" s="451">
        <f>+SUM($D29:Q29)</f>
        <v>286.57830000000058</v>
      </c>
      <c r="R94" s="451">
        <f>+SUM($D29:R29)</f>
        <v>286.57830000000058</v>
      </c>
      <c r="S94" s="451">
        <f>+SUM($D29:S29)</f>
        <v>286.57830000000058</v>
      </c>
      <c r="T94" s="451">
        <f>+SUM($D29:T29)</f>
        <v>286.57830000000058</v>
      </c>
      <c r="U94" s="451">
        <f>+SUM($D29:U29)</f>
        <v>286.57830000000058</v>
      </c>
      <c r="V94" s="451">
        <f>+SUM($D29:V29)</f>
        <v>286.57830000000058</v>
      </c>
      <c r="W94" s="451">
        <f>+SUM($D29:W29)</f>
        <v>286.57830000000058</v>
      </c>
      <c r="X94" s="451">
        <f>+SUM($D29:X29)</f>
        <v>286.57830000000058</v>
      </c>
      <c r="Y94" s="451">
        <f>+SUM($D29:Y29)</f>
        <v>286.57830000000058</v>
      </c>
      <c r="Z94" s="451">
        <f>+SUM($D29:Z29)</f>
        <v>286.57830000000058</v>
      </c>
      <c r="AA94" s="451">
        <f>+SUM($D29:AA29)</f>
        <v>286.57830000000058</v>
      </c>
      <c r="AB94" s="451">
        <f>+SUM($D29:AB29)</f>
        <v>286.57830000000058</v>
      </c>
      <c r="AC94" s="451">
        <f>+SUM($D29:AC29)</f>
        <v>286.57830000000058</v>
      </c>
      <c r="AD94" s="451"/>
      <c r="AE94" s="451"/>
      <c r="AF94" s="451"/>
      <c r="AG94" s="451"/>
    </row>
    <row r="95" spans="2:40" hidden="1" outlineLevel="1">
      <c r="B95" s="444" t="s">
        <v>2</v>
      </c>
      <c r="M95" s="451">
        <f>+SUM($D30:M30)</f>
        <v>16.830522935779801</v>
      </c>
      <c r="N95" s="451">
        <f>+SUM($D30:N30)</f>
        <v>50.491568807339405</v>
      </c>
      <c r="O95" s="451">
        <f>+SUM($D30:O30)</f>
        <v>84.152614678898999</v>
      </c>
      <c r="P95" s="451">
        <f>+SUM($D30:P30)</f>
        <v>117.81366055045859</v>
      </c>
      <c r="Q95" s="451">
        <f>+SUM($D30:Q30)</f>
        <v>151.47470642201819</v>
      </c>
      <c r="R95" s="451">
        <f>+SUM($D30:R30)</f>
        <v>183.45269999999982</v>
      </c>
      <c r="S95" s="451">
        <f>+SUM($D30:S30)</f>
        <v>183.45269999999982</v>
      </c>
      <c r="T95" s="451">
        <f>+SUM($D30:T30)</f>
        <v>183.45269999999982</v>
      </c>
      <c r="U95" s="451">
        <f>+SUM($D30:U30)</f>
        <v>183.45269999999982</v>
      </c>
      <c r="V95" s="451">
        <f>+SUM($D30:V30)</f>
        <v>183.45269999999982</v>
      </c>
      <c r="W95" s="451">
        <f>+SUM($D30:W30)</f>
        <v>183.45269999999982</v>
      </c>
      <c r="X95" s="451">
        <f>+SUM($D30:X30)</f>
        <v>183.45269999999982</v>
      </c>
      <c r="Y95" s="451">
        <f>+SUM($D30:Y30)</f>
        <v>183.45269999999982</v>
      </c>
      <c r="Z95" s="451">
        <f>+SUM($D30:Z30)</f>
        <v>183.45269999999982</v>
      </c>
      <c r="AA95" s="451">
        <f>+SUM($D30:AA30)</f>
        <v>183.45269999999982</v>
      </c>
      <c r="AB95" s="451">
        <f>+SUM($D30:AB30)</f>
        <v>183.45269999999982</v>
      </c>
      <c r="AC95" s="451">
        <f>+SUM($D30:AC30)</f>
        <v>183.45269999999982</v>
      </c>
      <c r="AD95" s="451"/>
      <c r="AE95" s="451"/>
      <c r="AF95" s="451"/>
      <c r="AG95" s="451"/>
      <c r="AH95" s="451"/>
    </row>
    <row r="96" spans="2:40" hidden="1" outlineLevel="1">
      <c r="B96" s="444" t="s">
        <v>3</v>
      </c>
      <c r="N96" s="451">
        <f>+SUM($D31:N31)</f>
        <v>75.138201834862315</v>
      </c>
      <c r="O96" s="451">
        <f>+SUM($D31:O31)</f>
        <v>225.41460550458694</v>
      </c>
      <c r="P96" s="451">
        <f>+SUM($D31:P31)</f>
        <v>375.6910091743116</v>
      </c>
      <c r="Q96" s="451">
        <f>+SUM($D31:Q31)</f>
        <v>525.96741284403629</v>
      </c>
      <c r="R96" s="451">
        <f>+SUM($D31:R31)</f>
        <v>676.24381651376098</v>
      </c>
      <c r="S96" s="451">
        <f>+SUM($D31:S31)</f>
        <v>819.0063999999993</v>
      </c>
      <c r="T96" s="451">
        <f>+SUM($D31:T31)</f>
        <v>819.0063999999993</v>
      </c>
      <c r="U96" s="451">
        <f>+SUM($D31:U31)</f>
        <v>819.0063999999993</v>
      </c>
      <c r="V96" s="451">
        <f>+SUM($D31:V31)</f>
        <v>819.0063999999993</v>
      </c>
      <c r="W96" s="451">
        <f>+SUM($D31:W31)</f>
        <v>819.0063999999993</v>
      </c>
      <c r="X96" s="451">
        <f>+SUM($D31:X31)</f>
        <v>819.0063999999993</v>
      </c>
      <c r="Y96" s="451">
        <f>+SUM($D31:Y31)</f>
        <v>819.0063999999993</v>
      </c>
      <c r="Z96" s="451">
        <f>+SUM($D31:Z31)</f>
        <v>819.0063999999993</v>
      </c>
      <c r="AA96" s="451">
        <f>+SUM($D31:AA31)</f>
        <v>819.0063999999993</v>
      </c>
      <c r="AB96" s="451">
        <f>+SUM($D31:AB31)</f>
        <v>819.0063999999993</v>
      </c>
      <c r="AC96" s="451">
        <f>+SUM($D31:AC31)</f>
        <v>819.0063999999993</v>
      </c>
      <c r="AD96" s="451"/>
      <c r="AE96" s="451"/>
      <c r="AF96" s="451"/>
      <c r="AG96" s="451"/>
      <c r="AH96" s="451"/>
      <c r="AI96" s="451"/>
    </row>
    <row r="97" spans="2:40" hidden="1" outlineLevel="1">
      <c r="B97" s="444" t="s">
        <v>4</v>
      </c>
      <c r="O97" s="451">
        <f>+SUM($D32:O32)</f>
        <v>40.292238532110204</v>
      </c>
      <c r="P97" s="451">
        <f>+SUM($D32:P32)</f>
        <v>120.87671559633061</v>
      </c>
      <c r="Q97" s="451">
        <f>+SUM($D32:Q32)</f>
        <v>201.46119266055103</v>
      </c>
      <c r="R97" s="451">
        <f>+SUM($D32:R32)</f>
        <v>282.04566972477141</v>
      </c>
      <c r="S97" s="451">
        <f>+SUM($D32:S32)</f>
        <v>362.63014678899185</v>
      </c>
      <c r="T97" s="451">
        <f>+SUM($D32:T32)</f>
        <v>439.18540000000121</v>
      </c>
      <c r="U97" s="451">
        <f>+SUM($D32:U32)</f>
        <v>439.18540000000121</v>
      </c>
      <c r="V97" s="451">
        <f>+SUM($D32:V32)</f>
        <v>439.18540000000121</v>
      </c>
      <c r="W97" s="451">
        <f>+SUM($D32:W32)</f>
        <v>439.18540000000121</v>
      </c>
      <c r="X97" s="451">
        <f>+SUM($D32:X32)</f>
        <v>439.18540000000121</v>
      </c>
      <c r="Y97" s="451">
        <f>+SUM($D32:Y32)</f>
        <v>439.18540000000121</v>
      </c>
      <c r="Z97" s="451">
        <f>+SUM($D32:Z32)</f>
        <v>439.18540000000121</v>
      </c>
      <c r="AA97" s="451">
        <f>+SUM($D32:AA32)</f>
        <v>439.18540000000121</v>
      </c>
      <c r="AB97" s="451">
        <f>+SUM($D32:AB32)</f>
        <v>439.18540000000121</v>
      </c>
      <c r="AC97" s="451">
        <f>+SUM($D32:AC32)</f>
        <v>439.18540000000121</v>
      </c>
      <c r="AD97" s="451"/>
      <c r="AE97" s="451"/>
      <c r="AF97" s="451"/>
      <c r="AG97" s="451"/>
      <c r="AH97" s="451"/>
      <c r="AI97" s="451"/>
      <c r="AJ97" s="451"/>
    </row>
    <row r="98" spans="2:40" hidden="1" outlineLevel="1">
      <c r="B98" s="444" t="s">
        <v>5</v>
      </c>
      <c r="P98" s="451">
        <f>+SUM($D33:P33)</f>
        <v>34.909752293577917</v>
      </c>
      <c r="Q98" s="451">
        <f>+SUM($D33:Q33)</f>
        <v>104.72925688073374</v>
      </c>
      <c r="R98" s="451">
        <f>+SUM($D33:R33)</f>
        <v>174.54876146788956</v>
      </c>
      <c r="S98" s="451">
        <f>+SUM($D33:S33)</f>
        <v>244.36826605504541</v>
      </c>
      <c r="T98" s="451">
        <f>+SUM($D33:T33)</f>
        <v>314.18777064220126</v>
      </c>
      <c r="U98" s="451">
        <f>+SUM($D33:U33)</f>
        <v>380.51629999999932</v>
      </c>
      <c r="V98" s="451">
        <f>+SUM($D33:V33)</f>
        <v>380.51629999999932</v>
      </c>
      <c r="W98" s="451">
        <f>+SUM($D33:W33)</f>
        <v>380.51629999999932</v>
      </c>
      <c r="X98" s="451">
        <f>+SUM($D33:X33)</f>
        <v>380.51629999999932</v>
      </c>
      <c r="Y98" s="451">
        <f>+SUM($D33:Y33)</f>
        <v>380.51629999999932</v>
      </c>
      <c r="Z98" s="451">
        <f>+SUM($D33:Z33)</f>
        <v>380.51629999999932</v>
      </c>
      <c r="AA98" s="451">
        <f>+SUM($D33:AA33)</f>
        <v>380.51629999999932</v>
      </c>
      <c r="AB98" s="451">
        <f>+SUM($D33:AB33)</f>
        <v>380.51629999999932</v>
      </c>
      <c r="AC98" s="451">
        <f>+SUM($D33:AC33)</f>
        <v>380.51629999999932</v>
      </c>
      <c r="AD98" s="451"/>
      <c r="AE98" s="451"/>
      <c r="AF98" s="451"/>
      <c r="AG98" s="451"/>
      <c r="AH98" s="451"/>
      <c r="AI98" s="451"/>
      <c r="AJ98" s="451"/>
      <c r="AK98" s="451"/>
    </row>
    <row r="99" spans="2:40" hidden="1" outlineLevel="1">
      <c r="B99" s="444" t="s">
        <v>68</v>
      </c>
      <c r="Q99" s="451">
        <f>+SUM($D34:Q34)</f>
        <v>117.85469724770637</v>
      </c>
      <c r="R99" s="451">
        <f>+SUM($D34:R34)</f>
        <v>353.56409174311909</v>
      </c>
      <c r="S99" s="451">
        <f>+SUM($D34:S34)</f>
        <v>589.27348623853186</v>
      </c>
      <c r="T99" s="451">
        <f>+SUM($D34:T34)</f>
        <v>824.98288073394463</v>
      </c>
      <c r="U99" s="451">
        <f>+SUM($D34:U34)</f>
        <v>1060.6922752293574</v>
      </c>
      <c r="V99" s="451">
        <f>+SUM($D34:V34)</f>
        <v>1284.6161999999995</v>
      </c>
      <c r="W99" s="451">
        <f>+SUM($D34:W34)</f>
        <v>1284.6161999999995</v>
      </c>
      <c r="X99" s="451">
        <f>+SUM($D34:X34)</f>
        <v>1284.6161999999995</v>
      </c>
      <c r="Y99" s="451">
        <f>+SUM($D34:Y34)</f>
        <v>1284.6161999999995</v>
      </c>
      <c r="Z99" s="451">
        <f>+SUM($D34:Z34)</f>
        <v>1284.6161999999995</v>
      </c>
      <c r="AA99" s="451">
        <f>+SUM($D34:AA34)</f>
        <v>1284.6161999999995</v>
      </c>
      <c r="AB99" s="451">
        <f>+SUM($D34:AB34)</f>
        <v>1284.6161999999995</v>
      </c>
      <c r="AC99" s="451">
        <f>+SUM($D34:AC34)</f>
        <v>1284.6161999999995</v>
      </c>
      <c r="AD99" s="451"/>
      <c r="AE99" s="451"/>
      <c r="AF99" s="451"/>
      <c r="AG99" s="451"/>
      <c r="AH99" s="451"/>
      <c r="AI99" s="451"/>
      <c r="AJ99" s="451"/>
      <c r="AK99" s="451"/>
      <c r="AL99" s="451"/>
    </row>
    <row r="100" spans="2:40" hidden="1" outlineLevel="1">
      <c r="B100" s="444" t="s">
        <v>6</v>
      </c>
      <c r="R100" s="451">
        <f ca="1">+SUM($D35:R35)</f>
        <v>81.75832445715065</v>
      </c>
      <c r="S100" s="451">
        <f ca="1">+SUM($D35:S35)</f>
        <v>245.27497337145195</v>
      </c>
      <c r="T100" s="451">
        <f ca="1">+SUM($D35:T35)</f>
        <v>408.79162228575325</v>
      </c>
      <c r="U100" s="451">
        <f ca="1">+SUM($D35:U35)</f>
        <v>572.30827120005461</v>
      </c>
      <c r="V100" s="451">
        <f ca="1">+SUM($D35:V35)</f>
        <v>735.8249201143559</v>
      </c>
      <c r="W100" s="451">
        <f ca="1">+SUM($D35:W35)</f>
        <v>891.16573658294215</v>
      </c>
      <c r="X100" s="451">
        <f ca="1">+SUM($D35:X35)</f>
        <v>891.16573658294215</v>
      </c>
      <c r="Y100" s="451">
        <f ca="1">+SUM($D35:Y35)</f>
        <v>891.16573658294215</v>
      </c>
      <c r="Z100" s="451">
        <f ca="1">+SUM($D35:Z35)</f>
        <v>891.16573658294215</v>
      </c>
      <c r="AA100" s="451">
        <f ca="1">+SUM($D35:AA35)</f>
        <v>891.16573658294215</v>
      </c>
      <c r="AB100" s="451">
        <f ca="1">+SUM($D35:AB35)</f>
        <v>891.16573658294215</v>
      </c>
      <c r="AC100" s="451">
        <f ca="1">+SUM($D35:AC35)</f>
        <v>891.16573658294215</v>
      </c>
      <c r="AD100" s="451"/>
      <c r="AE100" s="451"/>
      <c r="AF100" s="451"/>
      <c r="AG100" s="451"/>
      <c r="AH100" s="451"/>
      <c r="AI100" s="451"/>
      <c r="AJ100" s="451"/>
      <c r="AK100" s="451"/>
      <c r="AL100" s="451"/>
      <c r="AM100" s="451"/>
    </row>
    <row r="101" spans="2:40" hidden="1" outlineLevel="1">
      <c r="B101" s="444" t="s">
        <v>22</v>
      </c>
      <c r="S101" s="451">
        <f ca="1">+SUM($D36:S36)</f>
        <v>102.68667237339662</v>
      </c>
      <c r="T101" s="451">
        <f ca="1">+SUM($D36:T36)</f>
        <v>308.06001712018985</v>
      </c>
      <c r="U101" s="451">
        <f ca="1">+SUM($D36:U36)</f>
        <v>513.43336186698309</v>
      </c>
      <c r="V101" s="451">
        <f ca="1">+SUM($D36:V36)</f>
        <v>718.80670661377633</v>
      </c>
      <c r="W101" s="451">
        <f ca="1">+SUM($D36:W36)</f>
        <v>924.18005136056956</v>
      </c>
      <c r="X101" s="451">
        <f ca="1">+SUM($D36:X36)</f>
        <v>1119.2847288700232</v>
      </c>
      <c r="Y101" s="451">
        <f ca="1">+SUM($D36:Y36)</f>
        <v>1119.2847288700232</v>
      </c>
      <c r="Z101" s="451">
        <f ca="1">+SUM($D36:Z36)</f>
        <v>1119.2847288700232</v>
      </c>
      <c r="AA101" s="451">
        <f ca="1">+SUM($D36:AA36)</f>
        <v>1119.2847288700232</v>
      </c>
      <c r="AB101" s="451">
        <f ca="1">+SUM($D36:AB36)</f>
        <v>1119.2847288700232</v>
      </c>
      <c r="AC101" s="451">
        <f ca="1">+SUM($D36:AC36)</f>
        <v>1119.2847288700232</v>
      </c>
      <c r="AD101" s="451"/>
      <c r="AE101" s="451"/>
      <c r="AF101" s="451"/>
      <c r="AG101" s="451"/>
      <c r="AH101" s="451"/>
      <c r="AI101" s="451"/>
      <c r="AJ101" s="451"/>
      <c r="AK101" s="451"/>
      <c r="AL101" s="451"/>
      <c r="AM101" s="451"/>
      <c r="AN101" s="451"/>
    </row>
    <row r="102" spans="2:40" hidden="1" outlineLevel="1">
      <c r="B102" s="444" t="s">
        <v>23</v>
      </c>
      <c r="S102" s="451"/>
      <c r="T102" s="451">
        <f ca="1">+SUM($D37:T37)</f>
        <v>123.23712814705942</v>
      </c>
      <c r="U102" s="451">
        <f ca="1">+SUM($D37:U37)</f>
        <v>369.71138444117827</v>
      </c>
      <c r="V102" s="451">
        <f ca="1">+SUM($D37:V37)</f>
        <v>616.18564073529706</v>
      </c>
      <c r="W102" s="451">
        <f ca="1">+SUM($D37:W37)</f>
        <v>862.6598970294159</v>
      </c>
      <c r="X102" s="451">
        <f ca="1">+SUM($D37:X37)</f>
        <v>1109.1341533235347</v>
      </c>
      <c r="Y102" s="451">
        <f ca="1">+SUM($D37:Y37)</f>
        <v>1343.2846968029478</v>
      </c>
      <c r="Z102" s="451">
        <f ca="1">+SUM($D37:Z37)</f>
        <v>1343.2846968029478</v>
      </c>
      <c r="AA102" s="451">
        <f ca="1">+SUM($D37:AA37)</f>
        <v>1343.2846968029478</v>
      </c>
      <c r="AB102" s="451">
        <f ca="1">+SUM($D37:AB37)</f>
        <v>1343.2846968029478</v>
      </c>
      <c r="AC102" s="451">
        <f ca="1">+SUM($D37:AC37)</f>
        <v>1343.2846968029478</v>
      </c>
      <c r="AD102" s="451"/>
      <c r="AE102" s="451"/>
      <c r="AF102" s="451"/>
      <c r="AG102" s="451"/>
      <c r="AH102" s="451"/>
      <c r="AI102" s="451"/>
      <c r="AJ102" s="451"/>
      <c r="AK102" s="451"/>
      <c r="AL102" s="451"/>
      <c r="AM102" s="451"/>
      <c r="AN102" s="451"/>
    </row>
    <row r="103" spans="2:40" hidden="1" outlineLevel="1">
      <c r="B103" s="444" t="s">
        <v>24</v>
      </c>
      <c r="S103" s="451"/>
      <c r="T103" s="451"/>
      <c r="U103" s="451">
        <f ca="1">+SUM($D38:U38)</f>
        <v>144.04298727891333</v>
      </c>
      <c r="V103" s="451">
        <f ca="1">+SUM($D38:V38)</f>
        <v>432.12896183674002</v>
      </c>
      <c r="W103" s="451">
        <f ca="1">+SUM($D38:W38)</f>
        <v>720.21493639456662</v>
      </c>
      <c r="X103" s="451">
        <f ca="1">+SUM($D38:X38)</f>
        <v>1008.3009109523932</v>
      </c>
      <c r="Y103" s="451">
        <f ca="1">+SUM($D38:Y38)</f>
        <v>1296.3868855102198</v>
      </c>
      <c r="Z103" s="451">
        <f ca="1">+SUM($D38:Z38)</f>
        <v>1570.0685613401554</v>
      </c>
      <c r="AA103" s="451">
        <f ca="1">+SUM($D38:AA38)</f>
        <v>1570.0685613401554</v>
      </c>
      <c r="AB103" s="451">
        <f ca="1">+SUM($D38:AB38)</f>
        <v>1570.0685613401554</v>
      </c>
      <c r="AC103" s="451">
        <f ca="1">+SUM($D38:AC38)</f>
        <v>1570.0685613401554</v>
      </c>
      <c r="AD103" s="451"/>
      <c r="AE103" s="451"/>
      <c r="AF103" s="451"/>
      <c r="AG103" s="451"/>
      <c r="AH103" s="451"/>
      <c r="AI103" s="451"/>
      <c r="AJ103" s="451"/>
      <c r="AK103" s="451"/>
      <c r="AL103" s="451"/>
      <c r="AM103" s="451"/>
      <c r="AN103" s="451"/>
    </row>
    <row r="104" spans="2:40" hidden="1" outlineLevel="1">
      <c r="B104" s="444" t="s">
        <v>25</v>
      </c>
      <c r="S104" s="451"/>
      <c r="T104" s="451"/>
      <c r="U104" s="451"/>
      <c r="V104" s="451">
        <f ca="1">+SUM($D39:V39)</f>
        <v>166.06306454822604</v>
      </c>
      <c r="W104" s="451">
        <f ca="1">+SUM($D39:W39)</f>
        <v>498.18919364467808</v>
      </c>
      <c r="X104" s="451">
        <f ca="1">+SUM($D39:X39)</f>
        <v>830.3153227411301</v>
      </c>
      <c r="Y104" s="451">
        <f ca="1">+SUM($D39:Y39)</f>
        <v>1162.4414518375822</v>
      </c>
      <c r="Z104" s="451">
        <f ca="1">+SUM($D39:Z39)</f>
        <v>1494.5675809340344</v>
      </c>
      <c r="AA104" s="451">
        <f ca="1">+SUM($D39:AA39)</f>
        <v>1810.087403575664</v>
      </c>
      <c r="AB104" s="451">
        <f ca="1">+SUM($D39:AB39)</f>
        <v>1810.087403575664</v>
      </c>
      <c r="AC104" s="451">
        <f ca="1">+SUM($D39:AC39)</f>
        <v>1810.087403575664</v>
      </c>
      <c r="AD104" s="451"/>
      <c r="AE104" s="451"/>
      <c r="AF104" s="451"/>
      <c r="AG104" s="451"/>
      <c r="AH104" s="451"/>
      <c r="AI104" s="451"/>
      <c r="AJ104" s="451"/>
      <c r="AK104" s="451"/>
      <c r="AL104" s="451"/>
      <c r="AM104" s="451"/>
      <c r="AN104" s="451"/>
    </row>
    <row r="105" spans="2:40" hidden="1" outlineLevel="1">
      <c r="B105" s="444" t="s">
        <v>26</v>
      </c>
      <c r="S105" s="451"/>
      <c r="T105" s="451"/>
      <c r="U105" s="451"/>
      <c r="V105" s="451"/>
      <c r="W105" s="451">
        <f ca="1">+SUM($D40:W40)</f>
        <v>191.4900613908118</v>
      </c>
      <c r="X105" s="451">
        <f ca="1">+SUM($D40:X40)</f>
        <v>574.47018417243544</v>
      </c>
      <c r="Y105" s="451">
        <f ca="1">+SUM($D40:Y40)</f>
        <v>957.45030695405899</v>
      </c>
      <c r="Z105" s="451">
        <f ca="1">+SUM($D40:Z40)</f>
        <v>1340.4304297356825</v>
      </c>
      <c r="AA105" s="451">
        <f ca="1">+SUM($D40:AA40)</f>
        <v>1723.4105525173061</v>
      </c>
      <c r="AB105" s="451">
        <f ca="1">+SUM($D40:AB40)</f>
        <v>2087.2416691598482</v>
      </c>
      <c r="AC105" s="451">
        <f ca="1">+SUM($D40:AC40)</f>
        <v>2087.2416691598482</v>
      </c>
      <c r="AD105" s="451"/>
      <c r="AE105" s="451"/>
      <c r="AF105" s="451"/>
      <c r="AG105" s="451"/>
      <c r="AH105" s="451"/>
      <c r="AI105" s="451"/>
      <c r="AJ105" s="451"/>
      <c r="AK105" s="451"/>
      <c r="AL105" s="451"/>
      <c r="AM105" s="451"/>
      <c r="AN105" s="451"/>
    </row>
    <row r="106" spans="2:40" hidden="1" outlineLevel="1">
      <c r="B106" s="444" t="s">
        <v>27</v>
      </c>
      <c r="S106" s="451"/>
      <c r="T106" s="451"/>
      <c r="U106" s="451"/>
      <c r="V106" s="451"/>
      <c r="W106" s="451"/>
      <c r="X106" s="451">
        <f ca="1">+SUM($D41:X41)</f>
        <v>221.60001764357543</v>
      </c>
      <c r="Y106" s="451">
        <f ca="1">+SUM($D41:Y41)</f>
        <v>664.80005293072622</v>
      </c>
      <c r="Z106" s="451">
        <f ca="1">+SUM($D41:Z41)</f>
        <v>1108.000088217877</v>
      </c>
      <c r="AA106" s="451">
        <f ca="1">+SUM($D41:AA41)</f>
        <v>1551.2001235050279</v>
      </c>
      <c r="AB106" s="451">
        <f ca="1">+SUM($D41:AB41)</f>
        <v>1994.4001587921789</v>
      </c>
      <c r="AC106" s="451">
        <f ca="1">+SUM($D41:AC41)</f>
        <v>2415.4401923149717</v>
      </c>
      <c r="AD106" s="451"/>
      <c r="AE106" s="451"/>
      <c r="AF106" s="451"/>
      <c r="AG106" s="451"/>
      <c r="AH106" s="451"/>
      <c r="AI106" s="451"/>
      <c r="AJ106" s="451"/>
      <c r="AK106" s="451"/>
      <c r="AL106" s="451"/>
      <c r="AM106" s="451"/>
      <c r="AN106" s="451"/>
    </row>
    <row r="107" spans="2:40" hidden="1" outlineLevel="1">
      <c r="B107" s="444" t="s">
        <v>38</v>
      </c>
      <c r="S107" s="451"/>
      <c r="T107" s="451"/>
      <c r="U107" s="451"/>
      <c r="V107" s="451"/>
      <c r="W107" s="451"/>
      <c r="X107" s="451"/>
      <c r="Y107" s="451">
        <f ca="1">+SUM($D42:Y42)</f>
        <v>255.93890649884196</v>
      </c>
      <c r="Z107" s="451">
        <f ca="1">+SUM($D42:Z42)</f>
        <v>767.81671949652582</v>
      </c>
      <c r="AA107" s="451">
        <f ca="1">+SUM($D42:AA42)</f>
        <v>1279.6945324942099</v>
      </c>
      <c r="AB107" s="451">
        <f ca="1">+SUM($D42:AB42)</f>
        <v>1791.5723454918939</v>
      </c>
      <c r="AC107" s="451">
        <f ca="1">+SUM($D42:AC42)</f>
        <v>2303.4501584895779</v>
      </c>
      <c r="AD107" s="451"/>
      <c r="AE107" s="451"/>
      <c r="AF107" s="451"/>
      <c r="AG107" s="451"/>
      <c r="AH107" s="451"/>
      <c r="AI107" s="451"/>
      <c r="AJ107" s="451"/>
      <c r="AK107" s="451"/>
      <c r="AL107" s="451"/>
      <c r="AM107" s="451"/>
      <c r="AN107" s="451"/>
    </row>
    <row r="108" spans="2:40" hidden="1" outlineLevel="1">
      <c r="B108" s="444" t="s">
        <v>39</v>
      </c>
      <c r="S108" s="451"/>
      <c r="T108" s="451"/>
      <c r="U108" s="451"/>
      <c r="V108" s="451"/>
      <c r="W108" s="451"/>
      <c r="X108" s="451"/>
      <c r="Y108" s="451"/>
      <c r="Z108" s="451">
        <f ca="1">+SUM($D43:Z43)</f>
        <v>295.391510372185</v>
      </c>
      <c r="AA108" s="451">
        <f ca="1">+SUM($D43:AA43)</f>
        <v>886.17453111655504</v>
      </c>
      <c r="AB108" s="451">
        <f ca="1">+SUM($D43:AB43)</f>
        <v>1476.9575518609249</v>
      </c>
      <c r="AC108" s="451">
        <f ca="1">+SUM($D43:AC43)</f>
        <v>2067.7405726052948</v>
      </c>
      <c r="AD108" s="451"/>
      <c r="AE108" s="451"/>
      <c r="AF108" s="451"/>
      <c r="AG108" s="451"/>
      <c r="AH108" s="451"/>
      <c r="AI108" s="451"/>
      <c r="AJ108" s="451"/>
      <c r="AK108" s="451"/>
      <c r="AL108" s="451"/>
      <c r="AM108" s="451"/>
      <c r="AN108" s="451"/>
    </row>
    <row r="109" spans="2:40" hidden="1" outlineLevel="1">
      <c r="B109" s="444" t="s">
        <v>40</v>
      </c>
      <c r="S109" s="451"/>
      <c r="T109" s="451"/>
      <c r="U109" s="451"/>
      <c r="V109" s="451"/>
      <c r="W109" s="451"/>
      <c r="X109" s="451"/>
      <c r="Y109" s="451"/>
      <c r="Z109" s="451"/>
      <c r="AA109" s="451">
        <f ca="1">+SUM($D44:AA44)</f>
        <v>340.90208367105492</v>
      </c>
      <c r="AB109" s="451">
        <f ca="1">+SUM($D44:AB44)</f>
        <v>1022.7062510131648</v>
      </c>
      <c r="AC109" s="451">
        <f ca="1">+SUM($D44:AC44)</f>
        <v>1704.5104183552746</v>
      </c>
      <c r="AD109" s="451"/>
      <c r="AE109" s="451"/>
      <c r="AF109" s="451"/>
      <c r="AG109" s="451"/>
      <c r="AH109" s="451"/>
      <c r="AI109" s="451"/>
      <c r="AJ109" s="451"/>
      <c r="AK109" s="451"/>
      <c r="AL109" s="451"/>
      <c r="AM109" s="451"/>
      <c r="AN109" s="451"/>
    </row>
    <row r="110" spans="2:40" hidden="1" outlineLevel="1">
      <c r="B110" s="444" t="s">
        <v>41</v>
      </c>
      <c r="S110" s="451"/>
      <c r="T110" s="451"/>
      <c r="U110" s="451"/>
      <c r="V110" s="451"/>
      <c r="W110" s="451"/>
      <c r="X110" s="451"/>
      <c r="Y110" s="451"/>
      <c r="Z110" s="451"/>
      <c r="AA110" s="451"/>
      <c r="AB110" s="451">
        <f ca="1">+SUM($D45:AB45)</f>
        <v>393.4612880537598</v>
      </c>
      <c r="AC110" s="451">
        <f ca="1">+SUM($D45:AC45)</f>
        <v>1180.3838641612795</v>
      </c>
      <c r="AD110" s="451"/>
      <c r="AE110" s="451"/>
      <c r="AF110" s="451"/>
      <c r="AG110" s="451"/>
      <c r="AH110" s="451"/>
      <c r="AI110" s="451"/>
      <c r="AJ110" s="451"/>
      <c r="AK110" s="451"/>
      <c r="AL110" s="451"/>
      <c r="AM110" s="451"/>
      <c r="AN110" s="451"/>
    </row>
    <row r="111" spans="2:40" hidden="1" outlineLevel="1">
      <c r="B111" s="444" t="s">
        <v>112</v>
      </c>
      <c r="S111" s="451"/>
      <c r="T111" s="451"/>
      <c r="U111" s="451"/>
      <c r="V111" s="451"/>
      <c r="W111" s="451"/>
      <c r="X111" s="451"/>
      <c r="Y111" s="451"/>
      <c r="Z111" s="451"/>
      <c r="AA111" s="451"/>
      <c r="AB111" s="451"/>
      <c r="AC111" s="451">
        <f ca="1">+SUM($D46:AC46)</f>
        <v>454.16891923856724</v>
      </c>
      <c r="AD111" s="451"/>
      <c r="AE111" s="451"/>
      <c r="AF111" s="451"/>
      <c r="AG111" s="451"/>
      <c r="AH111" s="451"/>
      <c r="AI111" s="451"/>
      <c r="AJ111" s="451"/>
      <c r="AK111" s="451"/>
      <c r="AL111" s="451"/>
      <c r="AM111" s="451"/>
      <c r="AN111" s="451"/>
    </row>
    <row r="112" spans="2:40" hidden="1" outlineLevel="1"/>
    <row r="113" spans="2:40" hidden="1" outlineLevel="1">
      <c r="B113" s="449" t="s">
        <v>681</v>
      </c>
    </row>
    <row r="114" spans="2:40" hidden="1" outlineLevel="1">
      <c r="B114" s="444" t="s">
        <v>172</v>
      </c>
      <c r="E114" s="451">
        <f>+E60-E87</f>
        <v>157.539608256881</v>
      </c>
      <c r="F114" s="451">
        <f t="shared" ref="F114:AC114" si="36">+F60-F87</f>
        <v>125.7134247706424</v>
      </c>
      <c r="G114" s="451">
        <f t="shared" si="36"/>
        <v>93.887241284403828</v>
      </c>
      <c r="H114" s="451">
        <f t="shared" si="36"/>
        <v>62.061057798165251</v>
      </c>
      <c r="I114" s="451">
        <f t="shared" si="36"/>
        <v>30.23487431192666</v>
      </c>
      <c r="J114" s="451">
        <f t="shared" si="36"/>
        <v>0</v>
      </c>
      <c r="K114" s="451">
        <f t="shared" si="36"/>
        <v>0</v>
      </c>
      <c r="L114" s="451">
        <f t="shared" si="36"/>
        <v>0</v>
      </c>
      <c r="M114" s="451">
        <f t="shared" si="36"/>
        <v>0</v>
      </c>
      <c r="N114" s="451">
        <f t="shared" si="36"/>
        <v>0</v>
      </c>
      <c r="O114" s="451">
        <f t="shared" si="36"/>
        <v>0</v>
      </c>
      <c r="P114" s="451">
        <f t="shared" si="36"/>
        <v>0</v>
      </c>
      <c r="Q114" s="451">
        <f t="shared" si="36"/>
        <v>0</v>
      </c>
      <c r="R114" s="451">
        <f t="shared" si="36"/>
        <v>0</v>
      </c>
      <c r="S114" s="451">
        <f t="shared" si="36"/>
        <v>0</v>
      </c>
      <c r="T114" s="451">
        <f t="shared" si="36"/>
        <v>0</v>
      </c>
      <c r="U114" s="451">
        <f t="shared" si="36"/>
        <v>0</v>
      </c>
      <c r="V114" s="451">
        <f t="shared" si="36"/>
        <v>0</v>
      </c>
      <c r="W114" s="451">
        <f t="shared" si="36"/>
        <v>0</v>
      </c>
      <c r="X114" s="451">
        <f t="shared" si="36"/>
        <v>0</v>
      </c>
      <c r="Y114" s="451">
        <f t="shared" si="36"/>
        <v>0</v>
      </c>
      <c r="Z114" s="451">
        <f t="shared" si="36"/>
        <v>0</v>
      </c>
      <c r="AA114" s="451">
        <f t="shared" si="36"/>
        <v>0</v>
      </c>
      <c r="AB114" s="451">
        <f t="shared" si="36"/>
        <v>0</v>
      </c>
      <c r="AC114" s="451">
        <f t="shared" si="36"/>
        <v>0</v>
      </c>
    </row>
    <row r="115" spans="2:40" hidden="1" outlineLevel="1">
      <c r="B115" s="444" t="s">
        <v>153</v>
      </c>
      <c r="F115" s="451">
        <f t="shared" ref="F115:AC127" si="37">+F61-F88</f>
        <v>227.01190458715587</v>
      </c>
      <c r="G115" s="451">
        <f t="shared" si="37"/>
        <v>181.15091376146782</v>
      </c>
      <c r="H115" s="451">
        <f t="shared" si="37"/>
        <v>135.28992293577977</v>
      </c>
      <c r="I115" s="451">
        <f t="shared" si="37"/>
        <v>89.428932110091722</v>
      </c>
      <c r="J115" s="451">
        <f t="shared" si="37"/>
        <v>43.567941284403673</v>
      </c>
      <c r="K115" s="451">
        <f t="shared" si="37"/>
        <v>0</v>
      </c>
      <c r="L115" s="451">
        <f t="shared" si="37"/>
        <v>0</v>
      </c>
      <c r="M115" s="451">
        <f t="shared" si="37"/>
        <v>0</v>
      </c>
      <c r="N115" s="451">
        <f t="shared" si="37"/>
        <v>0</v>
      </c>
      <c r="O115" s="451">
        <f t="shared" si="37"/>
        <v>0</v>
      </c>
      <c r="P115" s="451">
        <f t="shared" si="37"/>
        <v>0</v>
      </c>
      <c r="Q115" s="451">
        <f t="shared" si="37"/>
        <v>0</v>
      </c>
      <c r="R115" s="451">
        <f t="shared" si="37"/>
        <v>0</v>
      </c>
      <c r="S115" s="451">
        <f t="shared" si="37"/>
        <v>0</v>
      </c>
      <c r="T115" s="451">
        <f t="shared" si="37"/>
        <v>0</v>
      </c>
      <c r="U115" s="451">
        <f t="shared" si="37"/>
        <v>0</v>
      </c>
      <c r="V115" s="451">
        <f t="shared" si="37"/>
        <v>0</v>
      </c>
      <c r="W115" s="451">
        <f t="shared" si="37"/>
        <v>0</v>
      </c>
      <c r="X115" s="451">
        <f t="shared" si="37"/>
        <v>0</v>
      </c>
      <c r="Y115" s="451">
        <f t="shared" si="37"/>
        <v>0</v>
      </c>
      <c r="Z115" s="451">
        <f t="shared" si="37"/>
        <v>0</v>
      </c>
      <c r="AA115" s="451">
        <f t="shared" si="37"/>
        <v>0</v>
      </c>
      <c r="AB115" s="451">
        <f t="shared" si="37"/>
        <v>0</v>
      </c>
      <c r="AC115" s="451">
        <f t="shared" si="37"/>
        <v>0</v>
      </c>
    </row>
    <row r="116" spans="2:40" hidden="1" outlineLevel="1">
      <c r="B116" s="444" t="s">
        <v>152</v>
      </c>
      <c r="G116" s="451">
        <f t="shared" si="37"/>
        <v>152.3978752293576</v>
      </c>
      <c r="H116" s="451">
        <f t="shared" si="37"/>
        <v>121.61042568807324</v>
      </c>
      <c r="I116" s="451">
        <f t="shared" si="37"/>
        <v>90.822976146788875</v>
      </c>
      <c r="J116" s="451">
        <f t="shared" si="37"/>
        <v>60.035526605504515</v>
      </c>
      <c r="K116" s="451">
        <f t="shared" si="37"/>
        <v>29.248077064220155</v>
      </c>
      <c r="L116" s="451">
        <f t="shared" si="37"/>
        <v>0</v>
      </c>
      <c r="M116" s="451">
        <f t="shared" si="37"/>
        <v>0</v>
      </c>
      <c r="N116" s="451">
        <f t="shared" si="37"/>
        <v>0</v>
      </c>
      <c r="O116" s="451">
        <f t="shared" si="37"/>
        <v>0</v>
      </c>
      <c r="P116" s="451">
        <f t="shared" si="37"/>
        <v>0</v>
      </c>
      <c r="Q116" s="451">
        <f t="shared" si="37"/>
        <v>0</v>
      </c>
      <c r="R116" s="451">
        <f t="shared" si="37"/>
        <v>0</v>
      </c>
      <c r="S116" s="451">
        <f t="shared" si="37"/>
        <v>0</v>
      </c>
      <c r="T116" s="451">
        <f t="shared" si="37"/>
        <v>0</v>
      </c>
      <c r="U116" s="451">
        <f t="shared" si="37"/>
        <v>0</v>
      </c>
      <c r="V116" s="451">
        <f t="shared" si="37"/>
        <v>0</v>
      </c>
      <c r="W116" s="451">
        <f t="shared" si="37"/>
        <v>0</v>
      </c>
      <c r="X116" s="451">
        <f t="shared" si="37"/>
        <v>0</v>
      </c>
      <c r="Y116" s="451">
        <f t="shared" si="37"/>
        <v>0</v>
      </c>
      <c r="Z116" s="451">
        <f t="shared" si="37"/>
        <v>0</v>
      </c>
      <c r="AA116" s="451">
        <f t="shared" si="37"/>
        <v>0</v>
      </c>
      <c r="AB116" s="451">
        <f t="shared" si="37"/>
        <v>0</v>
      </c>
      <c r="AC116" s="451">
        <f t="shared" si="37"/>
        <v>0</v>
      </c>
    </row>
    <row r="117" spans="2:40" hidden="1" outlineLevel="1">
      <c r="B117" s="444" t="s">
        <v>151</v>
      </c>
      <c r="H117" s="451">
        <f t="shared" si="37"/>
        <v>350.70559266055091</v>
      </c>
      <c r="I117" s="451">
        <f t="shared" si="37"/>
        <v>279.85597798165168</v>
      </c>
      <c r="J117" s="451">
        <f t="shared" si="37"/>
        <v>209.00636330275253</v>
      </c>
      <c r="K117" s="451">
        <f t="shared" si="37"/>
        <v>138.15674862385336</v>
      </c>
      <c r="L117" s="451">
        <f t="shared" si="37"/>
        <v>67.307133944954217</v>
      </c>
      <c r="M117" s="451">
        <f t="shared" si="37"/>
        <v>0</v>
      </c>
      <c r="N117" s="451">
        <f t="shared" si="37"/>
        <v>0</v>
      </c>
      <c r="O117" s="451">
        <f t="shared" si="37"/>
        <v>0</v>
      </c>
      <c r="P117" s="451">
        <f t="shared" si="37"/>
        <v>0</v>
      </c>
      <c r="Q117" s="451">
        <f t="shared" si="37"/>
        <v>0</v>
      </c>
      <c r="R117" s="451">
        <f t="shared" si="37"/>
        <v>0</v>
      </c>
      <c r="S117" s="451">
        <f t="shared" si="37"/>
        <v>0</v>
      </c>
      <c r="T117" s="451">
        <f t="shared" si="37"/>
        <v>0</v>
      </c>
      <c r="U117" s="451">
        <f t="shared" si="37"/>
        <v>0</v>
      </c>
      <c r="V117" s="451">
        <f t="shared" si="37"/>
        <v>0</v>
      </c>
      <c r="W117" s="451">
        <f t="shared" si="37"/>
        <v>0</v>
      </c>
      <c r="X117" s="451">
        <f t="shared" si="37"/>
        <v>0</v>
      </c>
      <c r="Y117" s="451">
        <f t="shared" si="37"/>
        <v>0</v>
      </c>
      <c r="Z117" s="451">
        <f t="shared" si="37"/>
        <v>0</v>
      </c>
      <c r="AA117" s="451">
        <f t="shared" si="37"/>
        <v>0</v>
      </c>
      <c r="AB117" s="451">
        <f t="shared" si="37"/>
        <v>0</v>
      </c>
      <c r="AC117" s="451">
        <f t="shared" si="37"/>
        <v>0</v>
      </c>
    </row>
    <row r="118" spans="2:40" hidden="1" outlineLevel="1">
      <c r="B118" s="444" t="s">
        <v>150</v>
      </c>
      <c r="I118" s="451">
        <f t="shared" si="37"/>
        <v>154.12810458715575</v>
      </c>
      <c r="J118" s="451">
        <f t="shared" si="37"/>
        <v>122.99111376146772</v>
      </c>
      <c r="K118" s="451">
        <f t="shared" si="37"/>
        <v>91.854122935779699</v>
      </c>
      <c r="L118" s="451">
        <f t="shared" si="37"/>
        <v>60.717132110091669</v>
      </c>
      <c r="M118" s="451">
        <f t="shared" si="37"/>
        <v>29.580141284403652</v>
      </c>
      <c r="N118" s="451">
        <f t="shared" si="37"/>
        <v>0</v>
      </c>
      <c r="O118" s="451">
        <f t="shared" si="37"/>
        <v>0</v>
      </c>
      <c r="P118" s="451">
        <f t="shared" si="37"/>
        <v>0</v>
      </c>
      <c r="Q118" s="451">
        <f t="shared" si="37"/>
        <v>0</v>
      </c>
      <c r="R118" s="451">
        <f t="shared" si="37"/>
        <v>0</v>
      </c>
      <c r="S118" s="451">
        <f t="shared" si="37"/>
        <v>0</v>
      </c>
      <c r="T118" s="451">
        <f t="shared" si="37"/>
        <v>0</v>
      </c>
      <c r="U118" s="451">
        <f t="shared" si="37"/>
        <v>0</v>
      </c>
      <c r="V118" s="451">
        <f t="shared" si="37"/>
        <v>0</v>
      </c>
      <c r="W118" s="451">
        <f t="shared" si="37"/>
        <v>0</v>
      </c>
      <c r="X118" s="451">
        <f t="shared" si="37"/>
        <v>0</v>
      </c>
      <c r="Y118" s="451">
        <f t="shared" si="37"/>
        <v>0</v>
      </c>
      <c r="Z118" s="451">
        <f t="shared" si="37"/>
        <v>0</v>
      </c>
      <c r="AA118" s="451">
        <f t="shared" si="37"/>
        <v>0</v>
      </c>
      <c r="AB118" s="451">
        <f t="shared" si="37"/>
        <v>0</v>
      </c>
      <c r="AC118" s="451">
        <f t="shared" si="37"/>
        <v>0</v>
      </c>
      <c r="AD118" s="451"/>
    </row>
    <row r="119" spans="2:40" hidden="1" outlineLevel="1">
      <c r="B119" s="444" t="s">
        <v>10</v>
      </c>
      <c r="J119" s="451">
        <f t="shared" si="37"/>
        <v>146.23871284403663</v>
      </c>
      <c r="K119" s="451">
        <f t="shared" si="37"/>
        <v>116.69553853211004</v>
      </c>
      <c r="L119" s="451">
        <f t="shared" si="37"/>
        <v>87.152364220183443</v>
      </c>
      <c r="M119" s="451">
        <f t="shared" si="37"/>
        <v>57.609189908256852</v>
      </c>
      <c r="N119" s="451">
        <f t="shared" si="37"/>
        <v>28.06601559633026</v>
      </c>
      <c r="O119" s="451">
        <f t="shared" si="37"/>
        <v>0</v>
      </c>
      <c r="P119" s="451">
        <f t="shared" si="37"/>
        <v>0</v>
      </c>
      <c r="Q119" s="451">
        <f t="shared" si="37"/>
        <v>0</v>
      </c>
      <c r="R119" s="451">
        <f t="shared" si="37"/>
        <v>0</v>
      </c>
      <c r="S119" s="451">
        <f t="shared" si="37"/>
        <v>0</v>
      </c>
      <c r="T119" s="451">
        <f t="shared" si="37"/>
        <v>0</v>
      </c>
      <c r="U119" s="451">
        <f t="shared" si="37"/>
        <v>0</v>
      </c>
      <c r="V119" s="451">
        <f t="shared" si="37"/>
        <v>0</v>
      </c>
      <c r="W119" s="451">
        <f t="shared" si="37"/>
        <v>0</v>
      </c>
      <c r="X119" s="451">
        <f t="shared" si="37"/>
        <v>0</v>
      </c>
      <c r="Y119" s="451">
        <f t="shared" si="37"/>
        <v>0</v>
      </c>
      <c r="Z119" s="451">
        <f t="shared" si="37"/>
        <v>0</v>
      </c>
      <c r="AA119" s="451">
        <f t="shared" si="37"/>
        <v>0</v>
      </c>
      <c r="AB119" s="451">
        <f t="shared" si="37"/>
        <v>0</v>
      </c>
      <c r="AC119" s="451">
        <f t="shared" si="37"/>
        <v>0</v>
      </c>
      <c r="AD119" s="451"/>
      <c r="AE119" s="451"/>
    </row>
    <row r="120" spans="2:40" hidden="1" outlineLevel="1">
      <c r="B120" s="444" t="s">
        <v>11</v>
      </c>
      <c r="K120" s="451">
        <f t="shared" si="37"/>
        <v>478.90259999999972</v>
      </c>
      <c r="L120" s="451">
        <f t="shared" si="37"/>
        <v>382.15459999999979</v>
      </c>
      <c r="M120" s="451">
        <f t="shared" si="37"/>
        <v>285.40659999999986</v>
      </c>
      <c r="N120" s="451">
        <f t="shared" si="37"/>
        <v>188.65859999999992</v>
      </c>
      <c r="O120" s="451">
        <f t="shared" si="37"/>
        <v>91.910599999999988</v>
      </c>
      <c r="P120" s="451">
        <f t="shared" si="37"/>
        <v>0</v>
      </c>
      <c r="Q120" s="451">
        <f t="shared" si="37"/>
        <v>0</v>
      </c>
      <c r="R120" s="451">
        <f t="shared" si="37"/>
        <v>0</v>
      </c>
      <c r="S120" s="451">
        <f t="shared" si="37"/>
        <v>0</v>
      </c>
      <c r="T120" s="451">
        <f t="shared" si="37"/>
        <v>0</v>
      </c>
      <c r="U120" s="451">
        <f t="shared" si="37"/>
        <v>0</v>
      </c>
      <c r="V120" s="451">
        <f t="shared" si="37"/>
        <v>0</v>
      </c>
      <c r="W120" s="451">
        <f t="shared" si="37"/>
        <v>0</v>
      </c>
      <c r="X120" s="451">
        <f t="shared" si="37"/>
        <v>0</v>
      </c>
      <c r="Y120" s="451">
        <f t="shared" si="37"/>
        <v>0</v>
      </c>
      <c r="Z120" s="451">
        <f t="shared" si="37"/>
        <v>0</v>
      </c>
      <c r="AA120" s="451">
        <f t="shared" si="37"/>
        <v>0</v>
      </c>
      <c r="AB120" s="451">
        <f t="shared" si="37"/>
        <v>0</v>
      </c>
      <c r="AC120" s="451">
        <f t="shared" si="37"/>
        <v>0</v>
      </c>
      <c r="AD120" s="451"/>
      <c r="AE120" s="451"/>
      <c r="AF120" s="451"/>
    </row>
    <row r="121" spans="2:40" hidden="1" outlineLevel="1">
      <c r="B121" s="444" t="s">
        <v>1</v>
      </c>
      <c r="L121" s="451">
        <f t="shared" si="37"/>
        <v>260.2867128440372</v>
      </c>
      <c r="M121" s="451">
        <f t="shared" si="37"/>
        <v>207.70353853211051</v>
      </c>
      <c r="N121" s="451">
        <f t="shared" si="37"/>
        <v>155.1203642201838</v>
      </c>
      <c r="O121" s="451">
        <f t="shared" si="37"/>
        <v>102.53718990825709</v>
      </c>
      <c r="P121" s="451">
        <f t="shared" si="37"/>
        <v>49.954015596330379</v>
      </c>
      <c r="Q121" s="451">
        <f t="shared" si="37"/>
        <v>0</v>
      </c>
      <c r="R121" s="451">
        <f t="shared" si="37"/>
        <v>0</v>
      </c>
      <c r="S121" s="451">
        <f t="shared" si="37"/>
        <v>0</v>
      </c>
      <c r="T121" s="451">
        <f t="shared" si="37"/>
        <v>0</v>
      </c>
      <c r="U121" s="451">
        <f t="shared" si="37"/>
        <v>0</v>
      </c>
      <c r="V121" s="451">
        <f t="shared" si="37"/>
        <v>0</v>
      </c>
      <c r="W121" s="451">
        <f t="shared" si="37"/>
        <v>0</v>
      </c>
      <c r="X121" s="451">
        <f t="shared" si="37"/>
        <v>0</v>
      </c>
      <c r="Y121" s="451">
        <f t="shared" si="37"/>
        <v>0</v>
      </c>
      <c r="Z121" s="451">
        <f t="shared" si="37"/>
        <v>0</v>
      </c>
      <c r="AA121" s="451">
        <f t="shared" si="37"/>
        <v>0</v>
      </c>
      <c r="AB121" s="451">
        <f t="shared" si="37"/>
        <v>0</v>
      </c>
      <c r="AC121" s="451">
        <f t="shared" si="37"/>
        <v>0</v>
      </c>
      <c r="AD121" s="451"/>
      <c r="AE121" s="451"/>
      <c r="AF121" s="451"/>
      <c r="AG121" s="451"/>
    </row>
    <row r="122" spans="2:40" hidden="1" outlineLevel="1">
      <c r="B122" s="444" t="s">
        <v>2</v>
      </c>
      <c r="M122" s="451">
        <f t="shared" si="37"/>
        <v>166.62217706422001</v>
      </c>
      <c r="N122" s="451">
        <f t="shared" si="37"/>
        <v>132.96113119266042</v>
      </c>
      <c r="O122" s="451">
        <f t="shared" si="37"/>
        <v>99.300085321100823</v>
      </c>
      <c r="P122" s="451">
        <f t="shared" si="37"/>
        <v>65.639039449541229</v>
      </c>
      <c r="Q122" s="451">
        <f t="shared" si="37"/>
        <v>31.977993577981636</v>
      </c>
      <c r="R122" s="451">
        <f t="shared" si="37"/>
        <v>0</v>
      </c>
      <c r="S122" s="451">
        <f t="shared" si="37"/>
        <v>0</v>
      </c>
      <c r="T122" s="451">
        <f t="shared" si="37"/>
        <v>0</v>
      </c>
      <c r="U122" s="451">
        <f t="shared" si="37"/>
        <v>0</v>
      </c>
      <c r="V122" s="451">
        <f t="shared" si="37"/>
        <v>0</v>
      </c>
      <c r="W122" s="451">
        <f t="shared" si="37"/>
        <v>0</v>
      </c>
      <c r="X122" s="451">
        <f t="shared" si="37"/>
        <v>0</v>
      </c>
      <c r="Y122" s="451">
        <f t="shared" si="37"/>
        <v>0</v>
      </c>
      <c r="Z122" s="451">
        <f t="shared" si="37"/>
        <v>0</v>
      </c>
      <c r="AA122" s="451">
        <f t="shared" si="37"/>
        <v>0</v>
      </c>
      <c r="AB122" s="451">
        <f t="shared" si="37"/>
        <v>0</v>
      </c>
      <c r="AC122" s="451">
        <f t="shared" si="37"/>
        <v>0</v>
      </c>
      <c r="AD122" s="451"/>
      <c r="AE122" s="451"/>
      <c r="AF122" s="451"/>
      <c r="AG122" s="451"/>
      <c r="AH122" s="451"/>
    </row>
    <row r="123" spans="2:40" hidden="1" outlineLevel="1">
      <c r="B123" s="444" t="s">
        <v>3</v>
      </c>
      <c r="N123" s="451">
        <f t="shared" si="37"/>
        <v>743.86819816513696</v>
      </c>
      <c r="O123" s="451">
        <f t="shared" si="37"/>
        <v>593.59179449541239</v>
      </c>
      <c r="P123" s="451">
        <f t="shared" si="37"/>
        <v>443.3153908256877</v>
      </c>
      <c r="Q123" s="451">
        <f t="shared" si="37"/>
        <v>293.03898715596301</v>
      </c>
      <c r="R123" s="451">
        <f t="shared" si="37"/>
        <v>142.76258348623833</v>
      </c>
      <c r="S123" s="451">
        <f t="shared" si="37"/>
        <v>0</v>
      </c>
      <c r="T123" s="451">
        <f t="shared" si="37"/>
        <v>0</v>
      </c>
      <c r="U123" s="451">
        <f t="shared" si="37"/>
        <v>0</v>
      </c>
      <c r="V123" s="451">
        <f t="shared" si="37"/>
        <v>0</v>
      </c>
      <c r="W123" s="451">
        <f t="shared" si="37"/>
        <v>0</v>
      </c>
      <c r="X123" s="451">
        <f t="shared" si="37"/>
        <v>0</v>
      </c>
      <c r="Y123" s="451">
        <f t="shared" si="37"/>
        <v>0</v>
      </c>
      <c r="Z123" s="451">
        <f t="shared" si="37"/>
        <v>0</v>
      </c>
      <c r="AA123" s="451">
        <f t="shared" si="37"/>
        <v>0</v>
      </c>
      <c r="AB123" s="451">
        <f t="shared" si="37"/>
        <v>0</v>
      </c>
      <c r="AC123" s="451">
        <f t="shared" si="37"/>
        <v>0</v>
      </c>
      <c r="AD123" s="451"/>
      <c r="AE123" s="451"/>
      <c r="AF123" s="451"/>
      <c r="AG123" s="451"/>
      <c r="AH123" s="451"/>
      <c r="AI123" s="451"/>
    </row>
    <row r="124" spans="2:40" hidden="1" outlineLevel="1">
      <c r="B124" s="444" t="s">
        <v>4</v>
      </c>
      <c r="O124" s="451">
        <f t="shared" si="37"/>
        <v>398.89316146789099</v>
      </c>
      <c r="P124" s="451">
        <f t="shared" si="37"/>
        <v>318.30868440367061</v>
      </c>
      <c r="Q124" s="451">
        <f t="shared" si="37"/>
        <v>237.72420733945017</v>
      </c>
      <c r="R124" s="451">
        <f t="shared" si="37"/>
        <v>157.13973027522979</v>
      </c>
      <c r="S124" s="451">
        <f t="shared" si="37"/>
        <v>76.555253211009358</v>
      </c>
      <c r="T124" s="451">
        <f t="shared" si="37"/>
        <v>0</v>
      </c>
      <c r="U124" s="451">
        <f t="shared" si="37"/>
        <v>0</v>
      </c>
      <c r="V124" s="451">
        <f t="shared" si="37"/>
        <v>0</v>
      </c>
      <c r="W124" s="451">
        <f t="shared" si="37"/>
        <v>0</v>
      </c>
      <c r="X124" s="451">
        <f t="shared" si="37"/>
        <v>0</v>
      </c>
      <c r="Y124" s="451">
        <f t="shared" si="37"/>
        <v>0</v>
      </c>
      <c r="Z124" s="451">
        <f t="shared" si="37"/>
        <v>0</v>
      </c>
      <c r="AA124" s="451">
        <f t="shared" si="37"/>
        <v>0</v>
      </c>
      <c r="AB124" s="451">
        <f t="shared" si="37"/>
        <v>0</v>
      </c>
      <c r="AC124" s="451">
        <f t="shared" si="37"/>
        <v>0</v>
      </c>
      <c r="AD124" s="451"/>
      <c r="AE124" s="451"/>
      <c r="AF124" s="451"/>
      <c r="AG124" s="451"/>
      <c r="AH124" s="451"/>
      <c r="AI124" s="451"/>
      <c r="AJ124" s="451"/>
    </row>
    <row r="125" spans="2:40" hidden="1" outlineLevel="1">
      <c r="B125" s="444" t="s">
        <v>5</v>
      </c>
      <c r="P125" s="451">
        <f t="shared" si="37"/>
        <v>345.6065477064214</v>
      </c>
      <c r="Q125" s="451">
        <f t="shared" si="37"/>
        <v>275.7870431192656</v>
      </c>
      <c r="R125" s="451">
        <f t="shared" si="37"/>
        <v>205.96753853210976</v>
      </c>
      <c r="S125" s="451">
        <f t="shared" si="37"/>
        <v>136.14803394495391</v>
      </c>
      <c r="T125" s="451">
        <f t="shared" si="37"/>
        <v>66.328529357798061</v>
      </c>
      <c r="U125" s="451">
        <f t="shared" si="37"/>
        <v>0</v>
      </c>
      <c r="V125" s="451">
        <f t="shared" si="37"/>
        <v>0</v>
      </c>
      <c r="W125" s="451">
        <f t="shared" si="37"/>
        <v>0</v>
      </c>
      <c r="X125" s="451">
        <f t="shared" si="37"/>
        <v>0</v>
      </c>
      <c r="Y125" s="451">
        <f t="shared" si="37"/>
        <v>0</v>
      </c>
      <c r="Z125" s="451">
        <f t="shared" si="37"/>
        <v>0</v>
      </c>
      <c r="AA125" s="451">
        <f t="shared" si="37"/>
        <v>0</v>
      </c>
      <c r="AB125" s="451">
        <f t="shared" si="37"/>
        <v>0</v>
      </c>
      <c r="AC125" s="451">
        <f t="shared" si="37"/>
        <v>0</v>
      </c>
      <c r="AD125" s="451"/>
      <c r="AE125" s="451"/>
      <c r="AF125" s="451"/>
      <c r="AG125" s="451"/>
      <c r="AH125" s="451"/>
      <c r="AI125" s="451"/>
      <c r="AJ125" s="451"/>
      <c r="AK125" s="451"/>
    </row>
    <row r="126" spans="2:40" hidden="1" outlineLevel="1">
      <c r="B126" s="444" t="s">
        <v>68</v>
      </c>
      <c r="Q126" s="451">
        <f t="shared" si="37"/>
        <v>1166.7615027522932</v>
      </c>
      <c r="R126" s="451">
        <f t="shared" si="37"/>
        <v>931.05210825688039</v>
      </c>
      <c r="S126" s="451">
        <f t="shared" si="37"/>
        <v>695.34271376146762</v>
      </c>
      <c r="T126" s="451">
        <f t="shared" si="37"/>
        <v>459.63331926605485</v>
      </c>
      <c r="U126" s="451">
        <f t="shared" si="37"/>
        <v>223.92392477064209</v>
      </c>
      <c r="V126" s="451">
        <f t="shared" si="37"/>
        <v>0</v>
      </c>
      <c r="W126" s="451">
        <f t="shared" si="37"/>
        <v>0</v>
      </c>
      <c r="X126" s="451">
        <f t="shared" si="37"/>
        <v>0</v>
      </c>
      <c r="Y126" s="451">
        <f t="shared" si="37"/>
        <v>0</v>
      </c>
      <c r="Z126" s="451">
        <f t="shared" si="37"/>
        <v>0</v>
      </c>
      <c r="AA126" s="451">
        <f t="shared" si="37"/>
        <v>0</v>
      </c>
      <c r="AB126" s="451">
        <f t="shared" si="37"/>
        <v>0</v>
      </c>
      <c r="AC126" s="451">
        <f t="shared" si="37"/>
        <v>0</v>
      </c>
      <c r="AD126" s="451"/>
      <c r="AE126" s="451"/>
      <c r="AF126" s="451"/>
      <c r="AG126" s="451"/>
      <c r="AH126" s="451"/>
      <c r="AI126" s="451"/>
      <c r="AJ126" s="451"/>
      <c r="AK126" s="451"/>
      <c r="AL126" s="451"/>
    </row>
    <row r="127" spans="2:40" hidden="1" outlineLevel="1">
      <c r="B127" s="444" t="s">
        <v>6</v>
      </c>
      <c r="R127" s="451">
        <f t="shared" ca="1" si="37"/>
        <v>809.40741212579155</v>
      </c>
      <c r="S127" s="451">
        <f t="shared" ca="1" si="37"/>
        <v>645.89076321149014</v>
      </c>
      <c r="T127" s="451">
        <f t="shared" ca="1" si="37"/>
        <v>482.3741142971889</v>
      </c>
      <c r="U127" s="451">
        <f t="shared" ca="1" si="37"/>
        <v>318.85746538288754</v>
      </c>
      <c r="V127" s="451">
        <f t="shared" ca="1" si="37"/>
        <v>155.34081646858624</v>
      </c>
      <c r="W127" s="451">
        <f t="shared" ca="1" si="37"/>
        <v>0</v>
      </c>
      <c r="X127" s="451">
        <f t="shared" ca="1" si="37"/>
        <v>0</v>
      </c>
      <c r="Y127" s="451">
        <f t="shared" ca="1" si="37"/>
        <v>0</v>
      </c>
      <c r="Z127" s="451">
        <f t="shared" ref="Z127:AC132" ca="1" si="38">+Z73-Z100</f>
        <v>0</v>
      </c>
      <c r="AA127" s="451">
        <f t="shared" ca="1" si="38"/>
        <v>0</v>
      </c>
      <c r="AB127" s="451">
        <f t="shared" ca="1" si="38"/>
        <v>0</v>
      </c>
      <c r="AC127" s="451">
        <f t="shared" ca="1" si="38"/>
        <v>0</v>
      </c>
      <c r="AD127" s="451"/>
      <c r="AE127" s="451"/>
      <c r="AF127" s="451"/>
      <c r="AG127" s="451"/>
      <c r="AH127" s="451"/>
      <c r="AI127" s="451"/>
      <c r="AJ127" s="451"/>
      <c r="AK127" s="451"/>
      <c r="AL127" s="451"/>
      <c r="AM127" s="451"/>
    </row>
    <row r="128" spans="2:40" hidden="1" outlineLevel="1">
      <c r="B128" s="444" t="s">
        <v>22</v>
      </c>
      <c r="S128" s="451">
        <f t="shared" ref="S128:AC133" ca="1" si="39">+S74-S101</f>
        <v>1016.5980564966266</v>
      </c>
      <c r="T128" s="451">
        <f t="shared" ca="1" si="39"/>
        <v>811.22471174983332</v>
      </c>
      <c r="U128" s="451">
        <f t="shared" ca="1" si="39"/>
        <v>605.85136700304008</v>
      </c>
      <c r="V128" s="451">
        <f t="shared" ca="1" si="39"/>
        <v>400.47802225624685</v>
      </c>
      <c r="W128" s="451">
        <f t="shared" ca="1" si="39"/>
        <v>195.10467750945361</v>
      </c>
      <c r="X128" s="451">
        <f t="shared" ca="1" si="39"/>
        <v>0</v>
      </c>
      <c r="Y128" s="451">
        <f t="shared" ca="1" si="39"/>
        <v>0</v>
      </c>
      <c r="Z128" s="451">
        <f t="shared" ca="1" si="39"/>
        <v>0</v>
      </c>
      <c r="AA128" s="451">
        <f t="shared" ca="1" si="39"/>
        <v>0</v>
      </c>
      <c r="AB128" s="451">
        <f t="shared" ca="1" si="39"/>
        <v>0</v>
      </c>
      <c r="AC128" s="451">
        <f t="shared" ca="1" si="38"/>
        <v>0</v>
      </c>
      <c r="AD128" s="451"/>
      <c r="AE128" s="451"/>
      <c r="AF128" s="451"/>
      <c r="AG128" s="451"/>
      <c r="AH128" s="451"/>
      <c r="AI128" s="451"/>
      <c r="AJ128" s="451"/>
      <c r="AK128" s="451"/>
      <c r="AL128" s="451"/>
      <c r="AM128" s="451"/>
      <c r="AN128" s="451"/>
    </row>
    <row r="129" spans="2:40" hidden="1" outlineLevel="1">
      <c r="B129" s="444" t="s">
        <v>23</v>
      </c>
      <c r="S129" s="451"/>
      <c r="T129" s="451">
        <f t="shared" ca="1" si="39"/>
        <v>1220.0475686558884</v>
      </c>
      <c r="U129" s="451">
        <f t="shared" ca="1" si="39"/>
        <v>973.57331236176947</v>
      </c>
      <c r="V129" s="451">
        <f t="shared" ca="1" si="39"/>
        <v>727.09905606765074</v>
      </c>
      <c r="W129" s="451">
        <f t="shared" ca="1" si="39"/>
        <v>480.62479977353189</v>
      </c>
      <c r="X129" s="451">
        <f t="shared" ca="1" si="39"/>
        <v>234.15054347941305</v>
      </c>
      <c r="Y129" s="451">
        <f t="shared" ca="1" si="39"/>
        <v>0</v>
      </c>
      <c r="Z129" s="451">
        <f ca="1">+Z75-Z102</f>
        <v>0</v>
      </c>
      <c r="AA129" s="451">
        <f t="shared" ca="1" si="39"/>
        <v>0</v>
      </c>
      <c r="AB129" s="451">
        <f t="shared" ca="1" si="39"/>
        <v>0</v>
      </c>
      <c r="AC129" s="451">
        <f t="shared" ca="1" si="38"/>
        <v>0</v>
      </c>
      <c r="AD129" s="451"/>
      <c r="AE129" s="451"/>
      <c r="AF129" s="451"/>
      <c r="AG129" s="451"/>
      <c r="AH129" s="451"/>
      <c r="AI129" s="451"/>
      <c r="AJ129" s="451"/>
      <c r="AK129" s="451"/>
      <c r="AL129" s="451"/>
      <c r="AM129" s="451"/>
      <c r="AN129" s="451"/>
    </row>
    <row r="130" spans="2:40" hidden="1" outlineLevel="1">
      <c r="B130" s="444" t="s">
        <v>24</v>
      </c>
      <c r="S130" s="451"/>
      <c r="T130" s="451"/>
      <c r="U130" s="451">
        <f t="shared" ca="1" si="39"/>
        <v>1426.025574061242</v>
      </c>
      <c r="V130" s="451">
        <f t="shared" ca="1" si="39"/>
        <v>1137.9395995034154</v>
      </c>
      <c r="W130" s="451">
        <f t="shared" ca="1" si="39"/>
        <v>849.85362494558876</v>
      </c>
      <c r="X130" s="451">
        <f t="shared" ca="1" si="39"/>
        <v>561.76765038776216</v>
      </c>
      <c r="Y130" s="451">
        <f t="shared" ca="1" si="39"/>
        <v>273.68167582993556</v>
      </c>
      <c r="Z130" s="451">
        <f t="shared" ca="1" si="39"/>
        <v>0</v>
      </c>
      <c r="AA130" s="451">
        <f t="shared" ca="1" si="39"/>
        <v>0</v>
      </c>
      <c r="AB130" s="451">
        <f t="shared" ca="1" si="39"/>
        <v>0</v>
      </c>
      <c r="AC130" s="451">
        <f t="shared" ca="1" si="38"/>
        <v>0</v>
      </c>
      <c r="AD130" s="451"/>
      <c r="AE130" s="451"/>
      <c r="AF130" s="451"/>
      <c r="AG130" s="451"/>
      <c r="AH130" s="451"/>
      <c r="AI130" s="451"/>
      <c r="AJ130" s="451"/>
      <c r="AK130" s="451"/>
      <c r="AL130" s="451"/>
      <c r="AM130" s="451"/>
      <c r="AN130" s="451"/>
    </row>
    <row r="131" spans="2:40" hidden="1" outlineLevel="1">
      <c r="B131" s="444" t="s">
        <v>25</v>
      </c>
      <c r="S131" s="451"/>
      <c r="T131" s="451"/>
      <c r="U131" s="451"/>
      <c r="V131" s="451">
        <f t="shared" ca="1" si="39"/>
        <v>1644.0243390274379</v>
      </c>
      <c r="W131" s="451">
        <f t="shared" ca="1" si="39"/>
        <v>1311.898209930986</v>
      </c>
      <c r="X131" s="451">
        <f t="shared" ca="1" si="39"/>
        <v>979.77208083453388</v>
      </c>
      <c r="Y131" s="451">
        <f t="shared" ca="1" si="39"/>
        <v>647.64595173808175</v>
      </c>
      <c r="Z131" s="451">
        <f t="shared" ca="1" si="39"/>
        <v>315.51982264162962</v>
      </c>
      <c r="AA131" s="451">
        <f t="shared" ca="1" si="39"/>
        <v>0</v>
      </c>
      <c r="AB131" s="451">
        <f t="shared" ca="1" si="39"/>
        <v>0</v>
      </c>
      <c r="AC131" s="451">
        <f t="shared" ca="1" si="38"/>
        <v>0</v>
      </c>
      <c r="AD131" s="451"/>
      <c r="AE131" s="451"/>
      <c r="AF131" s="451"/>
      <c r="AG131" s="451"/>
      <c r="AH131" s="451"/>
      <c r="AI131" s="451"/>
      <c r="AJ131" s="451"/>
      <c r="AK131" s="451"/>
      <c r="AL131" s="451"/>
      <c r="AM131" s="451"/>
      <c r="AN131" s="451"/>
    </row>
    <row r="132" spans="2:40" hidden="1" outlineLevel="1">
      <c r="B132" s="444" t="s">
        <v>26</v>
      </c>
      <c r="S132" s="451"/>
      <c r="T132" s="451"/>
      <c r="U132" s="451"/>
      <c r="V132" s="451"/>
      <c r="W132" s="451">
        <f t="shared" ca="1" si="39"/>
        <v>1895.7516077690373</v>
      </c>
      <c r="X132" s="451">
        <f t="shared" ca="1" si="39"/>
        <v>1512.7714849874137</v>
      </c>
      <c r="Y132" s="451">
        <f t="shared" ca="1" si="39"/>
        <v>1129.7913622057902</v>
      </c>
      <c r="Z132" s="451">
        <f t="shared" ca="1" si="39"/>
        <v>746.81123942416662</v>
      </c>
      <c r="AA132" s="451">
        <f t="shared" ca="1" si="39"/>
        <v>363.83111664254307</v>
      </c>
      <c r="AB132" s="451">
        <f t="shared" ca="1" si="39"/>
        <v>0</v>
      </c>
      <c r="AC132" s="451">
        <f t="shared" ca="1" si="38"/>
        <v>0</v>
      </c>
      <c r="AD132" s="451"/>
      <c r="AE132" s="451"/>
      <c r="AF132" s="451"/>
      <c r="AG132" s="451"/>
      <c r="AH132" s="451"/>
      <c r="AI132" s="451"/>
      <c r="AJ132" s="451"/>
      <c r="AK132" s="451"/>
      <c r="AL132" s="451"/>
      <c r="AM132" s="451"/>
      <c r="AN132" s="451"/>
    </row>
    <row r="133" spans="2:40" hidden="1" outlineLevel="1">
      <c r="B133" s="444" t="s">
        <v>27</v>
      </c>
      <c r="S133" s="451"/>
      <c r="T133" s="451"/>
      <c r="U133" s="451"/>
      <c r="V133" s="451"/>
      <c r="W133" s="451"/>
      <c r="X133" s="451">
        <f t="shared" ca="1" si="39"/>
        <v>2193.8401746713971</v>
      </c>
      <c r="Y133" s="451">
        <f t="shared" ca="1" si="39"/>
        <v>1750.6401393842464</v>
      </c>
      <c r="Z133" s="451">
        <f t="shared" ca="1" si="39"/>
        <v>1307.4401040970956</v>
      </c>
      <c r="AA133" s="451">
        <f t="shared" ca="1" si="39"/>
        <v>864.24006880994466</v>
      </c>
      <c r="AB133" s="451">
        <f t="shared" ca="1" si="39"/>
        <v>421.04003352279369</v>
      </c>
      <c r="AC133" s="451">
        <f t="shared" ca="1" si="39"/>
        <v>0</v>
      </c>
      <c r="AD133" s="451"/>
      <c r="AE133" s="451"/>
      <c r="AF133" s="451"/>
      <c r="AG133" s="451"/>
      <c r="AH133" s="451"/>
      <c r="AI133" s="451"/>
      <c r="AJ133" s="451"/>
      <c r="AK133" s="451"/>
      <c r="AL133" s="451"/>
      <c r="AM133" s="451"/>
      <c r="AN133" s="451"/>
    </row>
    <row r="134" spans="2:40" hidden="1" outlineLevel="1">
      <c r="B134" s="444" t="s">
        <v>38</v>
      </c>
      <c r="S134" s="451"/>
      <c r="T134" s="451"/>
      <c r="U134" s="451"/>
      <c r="V134" s="451"/>
      <c r="W134" s="451"/>
      <c r="X134" s="451"/>
      <c r="Y134" s="451">
        <f ca="1">+Y80-Y107</f>
        <v>2533.7951743385356</v>
      </c>
      <c r="Z134" s="451">
        <f ca="1">+Z80-Z107</f>
        <v>2021.9173613408516</v>
      </c>
      <c r="AA134" s="451">
        <f ca="1">+AA80-AA107</f>
        <v>1510.0395483431676</v>
      </c>
      <c r="AB134" s="451">
        <f ca="1">+AB80-AB107</f>
        <v>998.16173534548352</v>
      </c>
      <c r="AC134" s="451">
        <f ca="1">+AC80-AC107</f>
        <v>486.28392234779949</v>
      </c>
      <c r="AD134" s="451"/>
      <c r="AE134" s="451"/>
      <c r="AF134" s="451"/>
      <c r="AG134" s="451"/>
      <c r="AH134" s="451"/>
      <c r="AI134" s="451"/>
      <c r="AJ134" s="451"/>
      <c r="AK134" s="451"/>
      <c r="AL134" s="451"/>
      <c r="AM134" s="451"/>
      <c r="AN134" s="451"/>
    </row>
    <row r="135" spans="2:40" hidden="1" outlineLevel="1">
      <c r="B135" s="444" t="s">
        <v>39</v>
      </c>
      <c r="S135" s="451"/>
      <c r="T135" s="451"/>
      <c r="U135" s="451"/>
      <c r="V135" s="451"/>
      <c r="W135" s="451"/>
      <c r="X135" s="451"/>
      <c r="Y135" s="451"/>
      <c r="Z135" s="451">
        <f ca="1">+Z81-Z108</f>
        <v>2924.3759526846311</v>
      </c>
      <c r="AA135" s="451">
        <f ca="1">+AA81-AA108</f>
        <v>2333.5929319402612</v>
      </c>
      <c r="AB135" s="451">
        <f ca="1">+AB81-AB108</f>
        <v>1742.8099111958913</v>
      </c>
      <c r="AC135" s="451">
        <f ca="1">+AC81-AC108</f>
        <v>1152.0268904515215</v>
      </c>
      <c r="AD135" s="451"/>
      <c r="AE135" s="451"/>
      <c r="AF135" s="451"/>
      <c r="AG135" s="451"/>
      <c r="AH135" s="451"/>
      <c r="AI135" s="451"/>
      <c r="AJ135" s="451"/>
      <c r="AK135" s="451"/>
      <c r="AL135" s="451"/>
      <c r="AM135" s="451"/>
      <c r="AN135" s="451"/>
    </row>
    <row r="136" spans="2:40" hidden="1" outlineLevel="1">
      <c r="B136" s="444" t="s">
        <v>40</v>
      </c>
      <c r="S136" s="451"/>
      <c r="T136" s="451"/>
      <c r="U136" s="451"/>
      <c r="V136" s="451"/>
      <c r="W136" s="451"/>
      <c r="X136" s="451"/>
      <c r="Y136" s="451"/>
      <c r="Z136" s="451"/>
      <c r="AA136" s="451">
        <f ca="1">+AA82-AA109</f>
        <v>3374.9306283434444</v>
      </c>
      <c r="AB136" s="451">
        <f ca="1">+AB82-AB109</f>
        <v>2693.1264610013341</v>
      </c>
      <c r="AC136" s="451">
        <f ca="1">+AC82-AC109</f>
        <v>2011.3222936592244</v>
      </c>
      <c r="AD136" s="451"/>
      <c r="AE136" s="451"/>
      <c r="AF136" s="451"/>
      <c r="AG136" s="451"/>
      <c r="AH136" s="451"/>
      <c r="AI136" s="451"/>
      <c r="AJ136" s="451"/>
      <c r="AK136" s="451"/>
      <c r="AL136" s="451"/>
      <c r="AM136" s="451"/>
      <c r="AN136" s="451"/>
    </row>
    <row r="137" spans="2:40" hidden="1" outlineLevel="1">
      <c r="B137" s="444" t="s">
        <v>41</v>
      </c>
      <c r="S137" s="451"/>
      <c r="T137" s="451"/>
      <c r="U137" s="451"/>
      <c r="V137" s="451"/>
      <c r="W137" s="451"/>
      <c r="X137" s="451"/>
      <c r="Y137" s="451"/>
      <c r="Z137" s="451"/>
      <c r="AA137" s="451"/>
      <c r="AB137" s="451">
        <f ca="1">+AB83-AB110</f>
        <v>3895.2667517322225</v>
      </c>
      <c r="AC137" s="451">
        <f ca="1">+AC83-AC110</f>
        <v>3108.344175624703</v>
      </c>
      <c r="AD137" s="451"/>
      <c r="AE137" s="451"/>
      <c r="AF137" s="451"/>
      <c r="AG137" s="451"/>
      <c r="AH137" s="451"/>
      <c r="AI137" s="451"/>
      <c r="AJ137" s="451"/>
      <c r="AK137" s="451"/>
      <c r="AL137" s="451"/>
      <c r="AM137" s="451"/>
      <c r="AN137" s="451"/>
    </row>
    <row r="138" spans="2:40" hidden="1" outlineLevel="1">
      <c r="B138" s="444" t="s">
        <v>112</v>
      </c>
      <c r="S138" s="451"/>
      <c r="T138" s="451"/>
      <c r="U138" s="451"/>
      <c r="V138" s="451"/>
      <c r="W138" s="451"/>
      <c r="X138" s="451"/>
      <c r="Y138" s="451"/>
      <c r="Z138" s="451"/>
      <c r="AA138" s="451"/>
      <c r="AB138" s="451"/>
      <c r="AC138" s="451">
        <f ca="1">+AC84-AC111</f>
        <v>4496.2723004618156</v>
      </c>
      <c r="AD138" s="451"/>
      <c r="AE138" s="451"/>
      <c r="AF138" s="451"/>
      <c r="AG138" s="451"/>
      <c r="AH138" s="451"/>
      <c r="AI138" s="451"/>
      <c r="AJ138" s="451"/>
      <c r="AK138" s="451"/>
      <c r="AL138" s="451"/>
      <c r="AM138" s="451"/>
      <c r="AN138" s="451"/>
    </row>
    <row r="139" spans="2:40" collapsed="1"/>
    <row r="140" spans="2:40">
      <c r="B140" s="447" t="s">
        <v>651</v>
      </c>
      <c r="C140" s="448"/>
    </row>
    <row r="142" spans="2:40">
      <c r="B142" s="449" t="s">
        <v>652</v>
      </c>
    </row>
    <row r="143" spans="2:40">
      <c r="B143" s="444" t="s">
        <v>668</v>
      </c>
      <c r="D143" s="464">
        <v>0.89119999999999999</v>
      </c>
      <c r="E143" s="464">
        <v>1.5410999999999999</v>
      </c>
      <c r="F143" s="464">
        <v>1.5270999999999999</v>
      </c>
      <c r="G143" s="464">
        <v>3.9868999999999999</v>
      </c>
      <c r="H143" s="464">
        <v>4.0368000000000004</v>
      </c>
      <c r="I143" s="464">
        <v>4.0674000000000001</v>
      </c>
      <c r="J143" s="464">
        <v>4.0493000000000006</v>
      </c>
      <c r="K143" s="464">
        <v>3.9831999999999996</v>
      </c>
      <c r="L143" s="464">
        <v>4.0114000000000001</v>
      </c>
      <c r="M143" s="464">
        <v>3.9918</v>
      </c>
      <c r="N143" s="464">
        <v>3.9426000000000001</v>
      </c>
      <c r="O143" s="464">
        <v>6.4882</v>
      </c>
      <c r="P143" s="464">
        <v>7.6618000000000004</v>
      </c>
      <c r="Q143" s="464">
        <v>7.6219999999999999</v>
      </c>
    </row>
    <row r="144" spans="2:40">
      <c r="B144" s="444" t="s">
        <v>653</v>
      </c>
      <c r="D144" s="464">
        <v>145.96600000000001</v>
      </c>
      <c r="E144" s="464">
        <v>172.8725</v>
      </c>
      <c r="F144" s="464">
        <v>197.4118</v>
      </c>
      <c r="G144" s="464">
        <v>229.18270000000001</v>
      </c>
      <c r="H144" s="464">
        <v>269.16390000000001</v>
      </c>
      <c r="I144" s="464">
        <v>296.80190000000005</v>
      </c>
      <c r="J144" s="464">
        <v>304.40449999999998</v>
      </c>
      <c r="K144" s="464">
        <v>379.13459999999998</v>
      </c>
      <c r="L144" s="464">
        <v>418.71429999999998</v>
      </c>
      <c r="M144" s="464">
        <v>438.07499999999999</v>
      </c>
      <c r="N144" s="464">
        <v>522.44740000000002</v>
      </c>
      <c r="O144" s="464">
        <v>576.59780000000001</v>
      </c>
      <c r="P144" s="464">
        <v>637.04690000000005</v>
      </c>
      <c r="Q144" s="464">
        <v>817.82299999999998</v>
      </c>
    </row>
    <row r="145" spans="2:29">
      <c r="B145" s="444" t="s">
        <v>666</v>
      </c>
      <c r="D145" s="464">
        <v>913.15519999999992</v>
      </c>
      <c r="E145" s="464">
        <v>1057.5887</v>
      </c>
      <c r="F145" s="464">
        <v>1279.8932</v>
      </c>
      <c r="G145" s="464">
        <v>1413.9198000000001</v>
      </c>
      <c r="H145" s="464">
        <v>1754.1702</v>
      </c>
      <c r="I145" s="464">
        <v>1893.4896000000001</v>
      </c>
      <c r="J145" s="464">
        <v>2042.8677</v>
      </c>
      <c r="K145" s="464">
        <v>2487.7522999999997</v>
      </c>
      <c r="L145" s="464">
        <v>2728.7602000000002</v>
      </c>
      <c r="M145" s="464">
        <v>2886.623</v>
      </c>
      <c r="N145" s="464">
        <v>3607.0057000000002</v>
      </c>
      <c r="O145" s="464">
        <v>3984.7492000000002</v>
      </c>
      <c r="P145" s="464">
        <v>4295.9425999999994</v>
      </c>
      <c r="Q145" s="464">
        <v>5384.9856</v>
      </c>
    </row>
    <row r="146" spans="2:29">
      <c r="B146" s="444" t="s">
        <v>667</v>
      </c>
      <c r="D146" s="464">
        <v>14.8566</v>
      </c>
      <c r="E146" s="464">
        <v>16.9693</v>
      </c>
      <c r="F146" s="464">
        <v>20.067900000000002</v>
      </c>
      <c r="G146" s="464">
        <v>22.062000000000001</v>
      </c>
      <c r="H146" s="464">
        <v>27.960799999999999</v>
      </c>
      <c r="I146" s="464">
        <v>30.7</v>
      </c>
      <c r="J146" s="464">
        <v>34.729599999999998</v>
      </c>
      <c r="K146" s="464">
        <v>42.391500000000001</v>
      </c>
      <c r="L146" s="464">
        <v>48.382199999999997</v>
      </c>
      <c r="M146" s="464">
        <v>54.611400000000003</v>
      </c>
      <c r="N146" s="464">
        <v>68.862700000000004</v>
      </c>
      <c r="O146" s="464">
        <v>76.154200000000003</v>
      </c>
      <c r="P146" s="464">
        <v>85.028000000000006</v>
      </c>
      <c r="Q146" s="464">
        <v>99.825100000000006</v>
      </c>
    </row>
    <row r="147" spans="2:29">
      <c r="B147" s="444" t="s">
        <v>676</v>
      </c>
      <c r="D147" s="464">
        <v>0.7016</v>
      </c>
      <c r="E147" s="464">
        <v>0.79149999999999998</v>
      </c>
      <c r="F147" s="464">
        <v>0.76679999999999993</v>
      </c>
      <c r="G147" s="464">
        <v>0.80449999999999999</v>
      </c>
      <c r="H147" s="464">
        <v>0.84120000000000006</v>
      </c>
      <c r="I147" s="464">
        <v>7.0999999999999995E-3</v>
      </c>
      <c r="J147" s="464">
        <v>0</v>
      </c>
      <c r="K147" s="464">
        <v>0</v>
      </c>
      <c r="L147" s="464">
        <v>0</v>
      </c>
      <c r="M147" s="464">
        <v>0</v>
      </c>
      <c r="N147" s="464">
        <v>0</v>
      </c>
      <c r="O147" s="464">
        <v>0</v>
      </c>
      <c r="P147" s="464">
        <v>0</v>
      </c>
      <c r="Q147" s="464">
        <v>0</v>
      </c>
    </row>
    <row r="148" spans="2:29" ht="13.5">
      <c r="B148" s="444" t="s">
        <v>654</v>
      </c>
      <c r="D148" s="463">
        <v>86.151600000000002</v>
      </c>
      <c r="E148" s="463">
        <v>116.864</v>
      </c>
      <c r="F148" s="463">
        <v>119.06399999999999</v>
      </c>
      <c r="G148" s="463">
        <v>272.17379999999997</v>
      </c>
      <c r="H148" s="463">
        <v>109.3347</v>
      </c>
      <c r="I148" s="463">
        <v>192.11150000000001</v>
      </c>
      <c r="J148" s="463">
        <v>387.19970000000001</v>
      </c>
      <c r="K148" s="463">
        <v>167.3535</v>
      </c>
      <c r="L148" s="463">
        <v>172.911</v>
      </c>
      <c r="M148" s="463">
        <v>528.29509999999993</v>
      </c>
      <c r="N148" s="463">
        <v>223.96539999999999</v>
      </c>
      <c r="O148" s="463">
        <v>593.15569999999991</v>
      </c>
      <c r="P148" s="463">
        <v>1336.8426000000002</v>
      </c>
      <c r="Q148" s="463">
        <v>908.28980000000001</v>
      </c>
    </row>
    <row r="149" spans="2:29" s="440" customFormat="1">
      <c r="B149" s="455" t="s">
        <v>669</v>
      </c>
      <c r="D149" s="456">
        <f>SUM(D143:D148)</f>
        <v>1161.7221999999999</v>
      </c>
      <c r="E149" s="456">
        <f>SUM(E143:E148)</f>
        <v>1366.6271000000002</v>
      </c>
      <c r="F149" s="456">
        <f>SUM(F143:F148)</f>
        <v>1618.7308000000003</v>
      </c>
      <c r="G149" s="456">
        <f>SUM(G143:G148)</f>
        <v>1942.1297</v>
      </c>
      <c r="H149" s="456">
        <f t="shared" ref="H149:Q149" si="40">SUM(H143:H148)</f>
        <v>2165.5075999999999</v>
      </c>
      <c r="I149" s="456">
        <f t="shared" si="40"/>
        <v>2417.1774999999998</v>
      </c>
      <c r="J149" s="456">
        <f t="shared" si="40"/>
        <v>2773.2508000000003</v>
      </c>
      <c r="K149" s="456">
        <f t="shared" si="40"/>
        <v>3080.6151</v>
      </c>
      <c r="L149" s="456">
        <f t="shared" si="40"/>
        <v>3372.7791000000002</v>
      </c>
      <c r="M149" s="456">
        <f t="shared" si="40"/>
        <v>3911.5962999999997</v>
      </c>
      <c r="N149" s="456">
        <f t="shared" si="40"/>
        <v>4426.2237999999998</v>
      </c>
      <c r="O149" s="456">
        <f t="shared" si="40"/>
        <v>5237.1451000000006</v>
      </c>
      <c r="P149" s="456">
        <f t="shared" si="40"/>
        <v>6362.5218999999997</v>
      </c>
      <c r="Q149" s="456">
        <f t="shared" si="40"/>
        <v>7218.5455000000002</v>
      </c>
      <c r="R149" s="456">
        <f ca="1">+R156</f>
        <v>8198.4524070688312</v>
      </c>
      <c r="S149" s="456">
        <f t="shared" ref="S149:AC149" ca="1" si="41">+S156</f>
        <v>9430.4297403115925</v>
      </c>
      <c r="T149" s="456">
        <f t="shared" ca="1" si="41"/>
        <v>10909.541926300693</v>
      </c>
      <c r="U149" s="456">
        <f t="shared" ca="1" si="41"/>
        <v>12638.530330698219</v>
      </c>
      <c r="V149" s="456">
        <f t="shared" ca="1" si="41"/>
        <v>14631.744728534142</v>
      </c>
      <c r="W149" s="456">
        <f t="shared" ca="1" si="41"/>
        <v>16930.07051538588</v>
      </c>
      <c r="X149" s="456">
        <f t="shared" ca="1" si="41"/>
        <v>19589.789137399053</v>
      </c>
      <c r="Y149" s="456">
        <f t="shared" ca="1" si="41"/>
        <v>22661.603142138483</v>
      </c>
      <c r="Z149" s="456">
        <f t="shared" ca="1" si="41"/>
        <v>26206.858588681131</v>
      </c>
      <c r="AA149" s="456">
        <f t="shared" ca="1" si="41"/>
        <v>30298.250166053349</v>
      </c>
      <c r="AB149" s="456">
        <f t="shared" ca="1" si="41"/>
        <v>35020.367079241172</v>
      </c>
      <c r="AC149" s="456">
        <f t="shared" ca="1" si="41"/>
        <v>40470.997849362167</v>
      </c>
    </row>
    <row r="150" spans="2:29" s="440" customFormat="1">
      <c r="B150" s="459" t="s">
        <v>655</v>
      </c>
      <c r="D150" s="460">
        <f>+D149-D148-D147-D143</f>
        <v>1073.9777999999999</v>
      </c>
      <c r="E150" s="460">
        <f t="shared" ref="E150:G150" si="42">+E149-E148-E147-E143</f>
        <v>1247.4305000000002</v>
      </c>
      <c r="F150" s="460">
        <f t="shared" si="42"/>
        <v>1497.3729000000001</v>
      </c>
      <c r="G150" s="460">
        <f t="shared" si="42"/>
        <v>1665.1644999999999</v>
      </c>
      <c r="H150" s="460">
        <f t="shared" ref="H150" si="43">+H149-H148-H147-H143</f>
        <v>2051.2949000000003</v>
      </c>
      <c r="I150" s="460">
        <f t="shared" ref="I150" si="44">+I149-I148-I147-I143</f>
        <v>2220.9915000000001</v>
      </c>
      <c r="J150" s="460">
        <f t="shared" ref="J150" si="45">+J149-J148-J147-J143</f>
        <v>2382.0018</v>
      </c>
      <c r="K150" s="460">
        <f t="shared" ref="K150" si="46">+K149-K148-K147-K143</f>
        <v>2909.2783999999997</v>
      </c>
      <c r="L150" s="460">
        <f t="shared" ref="L150" si="47">+L149-L148-L147-L143</f>
        <v>3195.8567000000003</v>
      </c>
      <c r="M150" s="460">
        <f t="shared" ref="M150" si="48">+M149-M148-M147-M143</f>
        <v>3379.3094000000001</v>
      </c>
      <c r="N150" s="460">
        <f t="shared" ref="N150" si="49">+N149-N148-N147-N143</f>
        <v>4198.3157999999994</v>
      </c>
      <c r="O150" s="460">
        <f t="shared" ref="O150" si="50">+O149-O148-O147-O143</f>
        <v>4637.5012000000006</v>
      </c>
      <c r="P150" s="460">
        <f t="shared" ref="P150" si="51">+P149-P148-P147-P143</f>
        <v>5018.0174999999999</v>
      </c>
      <c r="Q150" s="460">
        <f t="shared" ref="Q150" si="52">+Q149-Q148-Q147-Q143</f>
        <v>6302.6336999999994</v>
      </c>
      <c r="R150" s="460">
        <f t="shared" ref="R150:AC150" ca="1" si="53">+Q150+R19</f>
        <v>7193.7994365829418</v>
      </c>
      <c r="S150" s="460">
        <f t="shared" ca="1" si="53"/>
        <v>8313.084165452965</v>
      </c>
      <c r="T150" s="460">
        <f t="shared" ca="1" si="53"/>
        <v>9656.368862255913</v>
      </c>
      <c r="U150" s="460">
        <f t="shared" ca="1" si="53"/>
        <v>11226.437423596068</v>
      </c>
      <c r="V150" s="460">
        <f t="shared" ca="1" si="53"/>
        <v>13036.524827171732</v>
      </c>
      <c r="W150" s="460">
        <f t="shared" ca="1" si="53"/>
        <v>15123.76649633158</v>
      </c>
      <c r="X150" s="460">
        <f t="shared" ca="1" si="53"/>
        <v>17539.206688646555</v>
      </c>
      <c r="Y150" s="460">
        <f t="shared" ca="1" si="53"/>
        <v>20328.940769483932</v>
      </c>
      <c r="Z150" s="460">
        <f t="shared" ca="1" si="53"/>
        <v>23548.708232540746</v>
      </c>
      <c r="AA150" s="460">
        <f t="shared" ca="1" si="53"/>
        <v>27264.540944555247</v>
      </c>
      <c r="AB150" s="460">
        <f t="shared" ca="1" si="53"/>
        <v>31553.26898434123</v>
      </c>
      <c r="AC150" s="460">
        <f t="shared" ca="1" si="53"/>
        <v>36503.710204041614</v>
      </c>
    </row>
    <row r="151" spans="2:29" s="440" customFormat="1">
      <c r="B151" s="455"/>
      <c r="O151" s="456"/>
      <c r="P151" s="456"/>
      <c r="Q151" s="456"/>
    </row>
    <row r="152" spans="2:29" s="440" customFormat="1">
      <c r="B152" s="444" t="s">
        <v>670</v>
      </c>
      <c r="D152" s="451"/>
      <c r="E152" s="451">
        <f>+D149</f>
        <v>1161.7221999999999</v>
      </c>
      <c r="F152" s="451">
        <f t="shared" ref="F152:Q152" si="54">+E149</f>
        <v>1366.6271000000002</v>
      </c>
      <c r="G152" s="451">
        <f t="shared" si="54"/>
        <v>1618.7308000000003</v>
      </c>
      <c r="H152" s="451">
        <f t="shared" si="54"/>
        <v>1942.1297</v>
      </c>
      <c r="I152" s="451">
        <f t="shared" si="54"/>
        <v>2165.5075999999999</v>
      </c>
      <c r="J152" s="451">
        <f t="shared" si="54"/>
        <v>2417.1774999999998</v>
      </c>
      <c r="K152" s="451">
        <f t="shared" si="54"/>
        <v>2773.2508000000003</v>
      </c>
      <c r="L152" s="451">
        <f t="shared" si="54"/>
        <v>3080.6151</v>
      </c>
      <c r="M152" s="451">
        <f t="shared" si="54"/>
        <v>3372.7791000000002</v>
      </c>
      <c r="N152" s="451">
        <f t="shared" si="54"/>
        <v>3911.5962999999997</v>
      </c>
      <c r="O152" s="451">
        <f t="shared" si="54"/>
        <v>4426.2237999999998</v>
      </c>
      <c r="P152" s="451">
        <f t="shared" si="54"/>
        <v>5237.1451000000006</v>
      </c>
      <c r="Q152" s="451">
        <f t="shared" si="54"/>
        <v>6362.5218999999997</v>
      </c>
      <c r="R152" s="451">
        <f>+Q156</f>
        <v>7218.5455000000002</v>
      </c>
      <c r="S152" s="451">
        <f t="shared" ref="S152:AC152" ca="1" si="55">+R156</f>
        <v>8198.4524070688312</v>
      </c>
      <c r="T152" s="451">
        <f t="shared" ca="1" si="55"/>
        <v>9430.4297403115925</v>
      </c>
      <c r="U152" s="451">
        <f t="shared" ca="1" si="55"/>
        <v>10909.541926300693</v>
      </c>
      <c r="V152" s="451">
        <f t="shared" ca="1" si="55"/>
        <v>12638.530330698219</v>
      </c>
      <c r="W152" s="451">
        <f t="shared" ca="1" si="55"/>
        <v>14631.744728534142</v>
      </c>
      <c r="X152" s="451">
        <f t="shared" ca="1" si="55"/>
        <v>16930.07051538588</v>
      </c>
      <c r="Y152" s="451">
        <f t="shared" ca="1" si="55"/>
        <v>19589.789137399053</v>
      </c>
      <c r="Z152" s="451">
        <f t="shared" ca="1" si="55"/>
        <v>22661.603142138483</v>
      </c>
      <c r="AA152" s="451">
        <f t="shared" ca="1" si="55"/>
        <v>26206.858588681131</v>
      </c>
      <c r="AB152" s="451">
        <f t="shared" ca="1" si="55"/>
        <v>30298.250166053349</v>
      </c>
      <c r="AC152" s="451">
        <f t="shared" ca="1" si="55"/>
        <v>35020.367079241172</v>
      </c>
    </row>
    <row r="153" spans="2:29" s="440" customFormat="1">
      <c r="B153" s="444" t="s">
        <v>640</v>
      </c>
      <c r="D153" s="464"/>
      <c r="E153" s="474">
        <f>F153/F152*E152</f>
        <v>219.05254781499644</v>
      </c>
      <c r="F153" s="464">
        <v>257.6891</v>
      </c>
      <c r="G153" s="464">
        <v>333.80220000000003</v>
      </c>
      <c r="H153" s="464">
        <v>224.01870000000002</v>
      </c>
      <c r="I153" s="464">
        <v>219.30339999999998</v>
      </c>
      <c r="J153" s="464">
        <v>365.82759999999996</v>
      </c>
      <c r="K153" s="464">
        <v>322.4939</v>
      </c>
      <c r="L153" s="464">
        <v>300.02440000000001</v>
      </c>
      <c r="M153" s="464">
        <v>564.28300000000002</v>
      </c>
      <c r="N153" s="464">
        <v>525.72069999999997</v>
      </c>
      <c r="O153" s="464">
        <v>835.4063000000001</v>
      </c>
      <c r="P153" s="464">
        <v>1139.8921</v>
      </c>
      <c r="Q153" s="464">
        <v>897.51880000000006</v>
      </c>
      <c r="R153" s="451">
        <f t="shared" ref="R153:AC153" ca="1" si="56">+R15</f>
        <v>990.18415175882456</v>
      </c>
      <c r="S153" s="451">
        <f t="shared" ca="1" si="56"/>
        <v>1243.6496987444702</v>
      </c>
      <c r="T153" s="451">
        <f t="shared" ca="1" si="56"/>
        <v>1492.5385520032753</v>
      </c>
      <c r="U153" s="451">
        <f t="shared" ca="1" si="56"/>
        <v>1744.5206237112839</v>
      </c>
      <c r="V153" s="451">
        <f t="shared" ca="1" si="56"/>
        <v>2011.2082261951823</v>
      </c>
      <c r="W153" s="451">
        <f t="shared" ca="1" si="56"/>
        <v>2319.15741017761</v>
      </c>
      <c r="X153" s="451">
        <f t="shared" ca="1" si="56"/>
        <v>2683.8224359055253</v>
      </c>
      <c r="Y153" s="451">
        <f t="shared" ca="1" si="56"/>
        <v>3099.704534263753</v>
      </c>
      <c r="Z153" s="451">
        <f t="shared" ca="1" si="56"/>
        <v>3577.5194033964626</v>
      </c>
      <c r="AA153" s="451">
        <f t="shared" ca="1" si="56"/>
        <v>4128.7030133494436</v>
      </c>
      <c r="AB153" s="451">
        <f t="shared" ca="1" si="56"/>
        <v>4765.2533775399806</v>
      </c>
      <c r="AC153" s="451">
        <f t="shared" ca="1" si="56"/>
        <v>5500.4902441115364</v>
      </c>
    </row>
    <row r="154" spans="2:29" s="440" customFormat="1">
      <c r="B154" s="444" t="s">
        <v>641</v>
      </c>
      <c r="D154" s="464"/>
      <c r="E154" s="474">
        <f>F154/F152*E152</f>
        <v>-2.3146426544446541</v>
      </c>
      <c r="F154" s="464">
        <v>-2.7229000000000001</v>
      </c>
      <c r="G154" s="464">
        <v>-3.7131999999999996</v>
      </c>
      <c r="H154" s="464">
        <v>-2.8826999999999998</v>
      </c>
      <c r="I154" s="464">
        <v>-6.7846000000000002</v>
      </c>
      <c r="J154" s="464">
        <v>-3.5768</v>
      </c>
      <c r="K154" s="464">
        <v>-9.9677999999999987</v>
      </c>
      <c r="L154" s="464">
        <v>-7.1741999999999999</v>
      </c>
      <c r="M154" s="464">
        <v>-18.5839</v>
      </c>
      <c r="N154" s="464">
        <v>-7.1728999999999994</v>
      </c>
      <c r="O154" s="464">
        <v>-26.566700000000001</v>
      </c>
      <c r="P154" s="464">
        <v>-27.792400000000001</v>
      </c>
      <c r="Q154" s="464">
        <v>-32.436700000000002</v>
      </c>
      <c r="R154" s="456">
        <f t="shared" ref="R154:AC154" si="57">+R16</f>
        <v>0</v>
      </c>
      <c r="S154" s="456">
        <f t="shared" si="57"/>
        <v>0</v>
      </c>
      <c r="T154" s="456">
        <f t="shared" si="57"/>
        <v>0</v>
      </c>
      <c r="U154" s="456">
        <f t="shared" si="57"/>
        <v>0</v>
      </c>
      <c r="V154" s="456">
        <f t="shared" si="57"/>
        <v>0</v>
      </c>
      <c r="W154" s="456">
        <f t="shared" si="57"/>
        <v>0</v>
      </c>
      <c r="X154" s="456">
        <f t="shared" si="57"/>
        <v>0</v>
      </c>
      <c r="Y154" s="456">
        <f t="shared" si="57"/>
        <v>0</v>
      </c>
      <c r="Z154" s="456">
        <f t="shared" si="57"/>
        <v>0</v>
      </c>
      <c r="AA154" s="456">
        <f t="shared" si="57"/>
        <v>0</v>
      </c>
      <c r="AB154" s="456">
        <f t="shared" si="57"/>
        <v>0</v>
      </c>
      <c r="AC154" s="456">
        <f t="shared" si="57"/>
        <v>0</v>
      </c>
    </row>
    <row r="155" spans="2:29" s="440" customFormat="1" ht="13.5">
      <c r="B155" s="444" t="s">
        <v>19</v>
      </c>
      <c r="D155" s="453"/>
      <c r="E155" s="453">
        <f t="shared" ref="E155:Q155" si="58">+E156-SUM(E152:E154)</f>
        <v>-11.833005160551465</v>
      </c>
      <c r="F155" s="453">
        <f t="shared" si="58"/>
        <v>-2.8624999999999545</v>
      </c>
      <c r="G155" s="453">
        <f t="shared" si="58"/>
        <v>-6.6901000000004842</v>
      </c>
      <c r="H155" s="453">
        <f t="shared" si="58"/>
        <v>2.2418999999999869</v>
      </c>
      <c r="I155" s="453">
        <f t="shared" si="58"/>
        <v>39.151100000000042</v>
      </c>
      <c r="J155" s="453">
        <f t="shared" si="58"/>
        <v>-6.1774999999997817</v>
      </c>
      <c r="K155" s="453">
        <f t="shared" si="58"/>
        <v>-5.1618000000003121</v>
      </c>
      <c r="L155" s="453">
        <f t="shared" si="58"/>
        <v>-0.68620000000009895</v>
      </c>
      <c r="M155" s="453">
        <f t="shared" si="58"/>
        <v>-6.8819000000003143</v>
      </c>
      <c r="N155" s="453">
        <f t="shared" si="58"/>
        <v>-3.9203000000006796</v>
      </c>
      <c r="O155" s="453">
        <f t="shared" si="58"/>
        <v>2.0817000000006374</v>
      </c>
      <c r="P155" s="453">
        <f t="shared" si="58"/>
        <v>13.277099999999336</v>
      </c>
      <c r="Q155" s="453">
        <f t="shared" si="58"/>
        <v>-9.0584999999991851</v>
      </c>
      <c r="R155" s="454">
        <f>+Q155/Q152*R152</f>
        <v>-10.277244689993777</v>
      </c>
      <c r="S155" s="454">
        <f t="shared" ref="S155:AC155" ca="1" si="59">+R155/R152*S152</f>
        <v>-11.672365501708736</v>
      </c>
      <c r="T155" s="454">
        <f t="shared" ca="1" si="59"/>
        <v>-13.426366014175112</v>
      </c>
      <c r="U155" s="454">
        <f t="shared" ca="1" si="59"/>
        <v>-15.532219313757636</v>
      </c>
      <c r="V155" s="454">
        <f t="shared" ca="1" si="59"/>
        <v>-17.993828359257908</v>
      </c>
      <c r="W155" s="454">
        <f t="shared" ca="1" si="59"/>
        <v>-20.831623325872496</v>
      </c>
      <c r="X155" s="454">
        <f t="shared" ca="1" si="59"/>
        <v>-24.103813892351269</v>
      </c>
      <c r="Y155" s="454">
        <f t="shared" ca="1" si="59"/>
        <v>-27.890529524324837</v>
      </c>
      <c r="Z155" s="454">
        <f t="shared" ca="1" si="59"/>
        <v>-32.263956853813418</v>
      </c>
      <c r="AA155" s="454">
        <f t="shared" ca="1" si="59"/>
        <v>-37.311435977225734</v>
      </c>
      <c r="AB155" s="454">
        <f t="shared" ca="1" si="59"/>
        <v>-43.136464352157205</v>
      </c>
      <c r="AC155" s="454">
        <f t="shared" ca="1" si="59"/>
        <v>-49.859473990537865</v>
      </c>
    </row>
    <row r="156" spans="2:29" s="440" customFormat="1">
      <c r="B156" s="455" t="s">
        <v>669</v>
      </c>
      <c r="D156" s="456"/>
      <c r="E156" s="456">
        <f t="shared" ref="E156:Q156" si="60">+E149</f>
        <v>1366.6271000000002</v>
      </c>
      <c r="F156" s="456">
        <f t="shared" si="60"/>
        <v>1618.7308000000003</v>
      </c>
      <c r="G156" s="456">
        <f t="shared" si="60"/>
        <v>1942.1297</v>
      </c>
      <c r="H156" s="456">
        <f t="shared" si="60"/>
        <v>2165.5075999999999</v>
      </c>
      <c r="I156" s="456">
        <f t="shared" si="60"/>
        <v>2417.1774999999998</v>
      </c>
      <c r="J156" s="456">
        <f t="shared" si="60"/>
        <v>2773.2508000000003</v>
      </c>
      <c r="K156" s="456">
        <f t="shared" si="60"/>
        <v>3080.6151</v>
      </c>
      <c r="L156" s="456">
        <f t="shared" si="60"/>
        <v>3372.7791000000002</v>
      </c>
      <c r="M156" s="456">
        <f t="shared" si="60"/>
        <v>3911.5962999999997</v>
      </c>
      <c r="N156" s="456">
        <f t="shared" si="60"/>
        <v>4426.2237999999998</v>
      </c>
      <c r="O156" s="456">
        <f t="shared" si="60"/>
        <v>5237.1451000000006</v>
      </c>
      <c r="P156" s="456">
        <f t="shared" si="60"/>
        <v>6362.5218999999997</v>
      </c>
      <c r="Q156" s="456">
        <f t="shared" si="60"/>
        <v>7218.5455000000002</v>
      </c>
      <c r="R156" s="456">
        <f ca="1">SUM(R152:R155)</f>
        <v>8198.4524070688312</v>
      </c>
      <c r="S156" s="456">
        <f t="shared" ref="S156:AC156" ca="1" si="61">SUM(S152:S155)</f>
        <v>9430.4297403115925</v>
      </c>
      <c r="T156" s="456">
        <f t="shared" ca="1" si="61"/>
        <v>10909.541926300693</v>
      </c>
      <c r="U156" s="456">
        <f t="shared" ca="1" si="61"/>
        <v>12638.530330698219</v>
      </c>
      <c r="V156" s="456">
        <f t="shared" ca="1" si="61"/>
        <v>14631.744728534142</v>
      </c>
      <c r="W156" s="456">
        <f t="shared" ca="1" si="61"/>
        <v>16930.07051538588</v>
      </c>
      <c r="X156" s="456">
        <f t="shared" ca="1" si="61"/>
        <v>19589.789137399053</v>
      </c>
      <c r="Y156" s="456">
        <f t="shared" ca="1" si="61"/>
        <v>22661.603142138483</v>
      </c>
      <c r="Z156" s="456">
        <f t="shared" ca="1" si="61"/>
        <v>26206.858588681131</v>
      </c>
      <c r="AA156" s="456">
        <f t="shared" ca="1" si="61"/>
        <v>30298.250166053349</v>
      </c>
      <c r="AB156" s="456">
        <f t="shared" ca="1" si="61"/>
        <v>35020.367079241172</v>
      </c>
      <c r="AC156" s="456">
        <f t="shared" ca="1" si="61"/>
        <v>40470.997849362167</v>
      </c>
    </row>
    <row r="157" spans="2:29">
      <c r="M157" s="451"/>
      <c r="N157" s="451"/>
      <c r="O157" s="451"/>
      <c r="P157" s="451"/>
    </row>
    <row r="158" spans="2:29">
      <c r="B158" s="449" t="s">
        <v>656</v>
      </c>
    </row>
    <row r="159" spans="2:29" s="440" customFormat="1">
      <c r="B159" s="440" t="s">
        <v>672</v>
      </c>
      <c r="D159" s="465">
        <v>773.27819999999997</v>
      </c>
      <c r="E159" s="465">
        <v>876.2521999999999</v>
      </c>
      <c r="F159" s="465">
        <v>1001.1686</v>
      </c>
      <c r="G159" s="465">
        <v>1149.4638</v>
      </c>
      <c r="H159" s="465">
        <v>1347.3088</v>
      </c>
      <c r="I159" s="465">
        <v>1563.7072000000001</v>
      </c>
      <c r="J159" s="465">
        <v>1775.4731000000002</v>
      </c>
      <c r="K159" s="465">
        <v>2018.0728000000001</v>
      </c>
      <c r="L159" s="465">
        <v>2300.7287999999999</v>
      </c>
      <c r="M159" s="465">
        <v>2559.2824000000001</v>
      </c>
      <c r="N159" s="465">
        <v>2871.6378999999997</v>
      </c>
      <c r="O159" s="465">
        <v>3262.0311000000002</v>
      </c>
      <c r="P159" s="465">
        <v>3668.7062000000001</v>
      </c>
      <c r="Q159" s="465">
        <v>4154.1212000000005</v>
      </c>
      <c r="R159" s="456">
        <f ca="1">+R164</f>
        <v>4765.6907048474313</v>
      </c>
      <c r="S159" s="456">
        <f t="shared" ref="S159:AC159" ca="1" si="62">+S164</f>
        <v>5516.5370931672442</v>
      </c>
      <c r="T159" s="456">
        <f t="shared" ca="1" si="62"/>
        <v>6339.5464727518147</v>
      </c>
      <c r="U159" s="456">
        <f t="shared" ca="1" si="62"/>
        <v>7342.1509545683602</v>
      </c>
      <c r="V159" s="456">
        <f t="shared" ca="1" si="62"/>
        <v>8567.4417873724833</v>
      </c>
      <c r="W159" s="456">
        <f t="shared" ca="1" si="62"/>
        <v>9906.8134174990537</v>
      </c>
      <c r="X159" s="456">
        <f t="shared" ca="1" si="62"/>
        <v>11481.234227418066</v>
      </c>
      <c r="Y159" s="456">
        <f t="shared" ca="1" si="62"/>
        <v>13311.152540032073</v>
      </c>
      <c r="Z159" s="456">
        <f t="shared" ca="1" si="62"/>
        <v>15426.861988913923</v>
      </c>
      <c r="AA159" s="456">
        <f t="shared" ca="1" si="62"/>
        <v>17868.940032671911</v>
      </c>
      <c r="AB159" s="456">
        <f t="shared" ca="1" si="62"/>
        <v>20688.046403179418</v>
      </c>
      <c r="AC159" s="456">
        <f t="shared" ca="1" si="62"/>
        <v>23942.626247336269</v>
      </c>
    </row>
    <row r="161" spans="2:29">
      <c r="B161" s="444" t="s">
        <v>671</v>
      </c>
      <c r="D161" s="451"/>
      <c r="E161" s="451">
        <f>+D159</f>
        <v>773.27819999999997</v>
      </c>
      <c r="F161" s="451">
        <f t="shared" ref="F161:Q161" si="63">+E164</f>
        <v>876.2521999999999</v>
      </c>
      <c r="G161" s="451">
        <f t="shared" si="63"/>
        <v>1001.1686</v>
      </c>
      <c r="H161" s="451">
        <f t="shared" si="63"/>
        <v>1149.4638</v>
      </c>
      <c r="I161" s="451">
        <f t="shared" si="63"/>
        <v>1347.3088</v>
      </c>
      <c r="J161" s="451">
        <f t="shared" si="63"/>
        <v>1563.7072000000001</v>
      </c>
      <c r="K161" s="451">
        <f t="shared" si="63"/>
        <v>1775.4731000000002</v>
      </c>
      <c r="L161" s="451">
        <f t="shared" si="63"/>
        <v>2018.0728000000001</v>
      </c>
      <c r="M161" s="451">
        <f t="shared" si="63"/>
        <v>2300.7287999999999</v>
      </c>
      <c r="N161" s="451">
        <f t="shared" si="63"/>
        <v>2559.2824000000001</v>
      </c>
      <c r="O161" s="451">
        <f t="shared" si="63"/>
        <v>2871.6378999999997</v>
      </c>
      <c r="P161" s="451">
        <f t="shared" si="63"/>
        <v>3262.0311000000002</v>
      </c>
      <c r="Q161" s="451">
        <f t="shared" si="63"/>
        <v>3668.7062000000001</v>
      </c>
      <c r="R161" s="451">
        <f>+Q164</f>
        <v>4154.1212000000005</v>
      </c>
      <c r="S161" s="451">
        <f t="shared" ref="S161:AC161" ca="1" si="64">+R164</f>
        <v>4765.6907048474313</v>
      </c>
      <c r="T161" s="451">
        <f t="shared" ca="1" si="64"/>
        <v>5516.5370931672442</v>
      </c>
      <c r="U161" s="451">
        <f t="shared" ca="1" si="64"/>
        <v>6339.5464727518147</v>
      </c>
      <c r="V161" s="451">
        <f t="shared" ca="1" si="64"/>
        <v>7342.1509545683602</v>
      </c>
      <c r="W161" s="451">
        <f t="shared" ca="1" si="64"/>
        <v>8567.4417873724833</v>
      </c>
      <c r="X161" s="451">
        <f t="shared" ca="1" si="64"/>
        <v>9906.8134174990537</v>
      </c>
      <c r="Y161" s="451">
        <f t="shared" ca="1" si="64"/>
        <v>11481.234227418066</v>
      </c>
      <c r="Z161" s="451">
        <f t="shared" ca="1" si="64"/>
        <v>13311.152540032073</v>
      </c>
      <c r="AA161" s="451">
        <f t="shared" ca="1" si="64"/>
        <v>15426.861988913923</v>
      </c>
      <c r="AB161" s="451">
        <f t="shared" ca="1" si="64"/>
        <v>17868.940032671911</v>
      </c>
      <c r="AC161" s="451">
        <f t="shared" ca="1" si="64"/>
        <v>20688.046403179418</v>
      </c>
    </row>
    <row r="162" spans="2:29">
      <c r="B162" s="444" t="s">
        <v>657</v>
      </c>
      <c r="D162" s="464"/>
      <c r="E162" s="464">
        <v>105.32719999999999</v>
      </c>
      <c r="F162" s="464">
        <v>129.16849999999999</v>
      </c>
      <c r="G162" s="464">
        <v>153.97979999999998</v>
      </c>
      <c r="H162" s="464">
        <v>197.64520000000002</v>
      </c>
      <c r="I162" s="464">
        <v>219.30339999999998</v>
      </c>
      <c r="J162" s="464">
        <v>220.08500000000001</v>
      </c>
      <c r="K162" s="464">
        <v>255.79599999999999</v>
      </c>
      <c r="L162" s="464">
        <v>288.12490000000003</v>
      </c>
      <c r="M162" s="464">
        <v>278.76490000000001</v>
      </c>
      <c r="N162" s="464">
        <v>321.8211</v>
      </c>
      <c r="O162" s="464">
        <v>411.48390000000001</v>
      </c>
      <c r="P162" s="464">
        <v>425.41629999999998</v>
      </c>
      <c r="Q162" s="464">
        <v>519.46619999999996</v>
      </c>
      <c r="R162" s="451">
        <f t="shared" ref="R162:AC162" ca="1" si="65">+R47</f>
        <v>650.12609785164591</v>
      </c>
      <c r="S162" s="451">
        <f t="shared" ca="1" si="65"/>
        <v>795.07928092072518</v>
      </c>
      <c r="T162" s="451">
        <f t="shared" ca="1" si="65"/>
        <v>874.21127410173199</v>
      </c>
      <c r="U162" s="451">
        <f t="shared" ca="1" si="65"/>
        <v>1061.4451610873375</v>
      </c>
      <c r="V162" s="451">
        <f t="shared" ca="1" si="65"/>
        <v>1293.4372138319081</v>
      </c>
      <c r="W162" s="451">
        <f t="shared" ca="1" si="65"/>
        <v>1418.8905825545889</v>
      </c>
      <c r="X162" s="451">
        <f t="shared" ca="1" si="65"/>
        <v>1666.3711778830502</v>
      </c>
      <c r="Y162" s="451">
        <f t="shared" ca="1" si="65"/>
        <v>1936.4817117013083</v>
      </c>
      <c r="Z162" s="451">
        <f t="shared" ca="1" si="65"/>
        <v>2239.2572863650312</v>
      </c>
      <c r="AA162" s="451">
        <f t="shared" ca="1" si="65"/>
        <v>2585.262898123513</v>
      </c>
      <c r="AB162" s="451">
        <f t="shared" ca="1" si="65"/>
        <v>2984.9574410676169</v>
      </c>
      <c r="AC162" s="451">
        <f t="shared" ca="1" si="65"/>
        <v>3446.5965299530435</v>
      </c>
    </row>
    <row r="163" spans="2:29" ht="13.5">
      <c r="B163" s="444" t="s">
        <v>19</v>
      </c>
      <c r="D163" s="453"/>
      <c r="E163" s="453">
        <f t="shared" ref="E163:Q163" si="66">+E164-SUM(E161:E162)</f>
        <v>-2.3532000000000153</v>
      </c>
      <c r="F163" s="453">
        <f t="shared" si="66"/>
        <v>-4.2520999999999276</v>
      </c>
      <c r="G163" s="453">
        <f t="shared" si="66"/>
        <v>-5.6846000000000458</v>
      </c>
      <c r="H163" s="453">
        <f t="shared" si="66"/>
        <v>0.19980000000009568</v>
      </c>
      <c r="I163" s="453">
        <f t="shared" si="66"/>
        <v>-2.9049999999999727</v>
      </c>
      <c r="J163" s="453">
        <f t="shared" si="66"/>
        <v>-8.3190999999999349</v>
      </c>
      <c r="K163" s="453">
        <f t="shared" si="66"/>
        <v>-13.196300000000065</v>
      </c>
      <c r="L163" s="453">
        <f t="shared" si="66"/>
        <v>-5.4689000000003034</v>
      </c>
      <c r="M163" s="453">
        <f t="shared" si="66"/>
        <v>-20.211299999999937</v>
      </c>
      <c r="N163" s="453">
        <f t="shared" si="66"/>
        <v>-9.4656000000004497</v>
      </c>
      <c r="O163" s="453">
        <f t="shared" si="66"/>
        <v>-21.090699999999742</v>
      </c>
      <c r="P163" s="453">
        <f t="shared" si="66"/>
        <v>-18.741199999999935</v>
      </c>
      <c r="Q163" s="453">
        <f t="shared" si="66"/>
        <v>-34.051199999999881</v>
      </c>
      <c r="R163" s="454">
        <f>+Q163/Q161*R161</f>
        <v>-38.556593004214811</v>
      </c>
      <c r="S163" s="454">
        <f t="shared" ref="S163:AC163" ca="1" si="67">+R163/R161*S161</f>
        <v>-44.232892600912081</v>
      </c>
      <c r="T163" s="454">
        <f t="shared" ca="1" si="67"/>
        <v>-51.201894517161335</v>
      </c>
      <c r="U163" s="454">
        <f t="shared" ca="1" si="67"/>
        <v>-58.840679270791924</v>
      </c>
      <c r="V163" s="454">
        <f t="shared" ca="1" si="67"/>
        <v>-68.146381027785011</v>
      </c>
      <c r="W163" s="454">
        <f t="shared" ca="1" si="67"/>
        <v>-79.518952428018594</v>
      </c>
      <c r="X163" s="454">
        <f t="shared" ca="1" si="67"/>
        <v>-91.95036796403663</v>
      </c>
      <c r="Y163" s="454">
        <f t="shared" ca="1" si="67"/>
        <v>-106.56339908730131</v>
      </c>
      <c r="Z163" s="454">
        <f t="shared" ca="1" si="67"/>
        <v>-123.547837483181</v>
      </c>
      <c r="AA163" s="454">
        <f t="shared" ca="1" si="67"/>
        <v>-143.18485436552643</v>
      </c>
      <c r="AB163" s="454">
        <f t="shared" ca="1" si="67"/>
        <v>-165.85107056011071</v>
      </c>
      <c r="AC163" s="454">
        <f t="shared" ca="1" si="67"/>
        <v>-192.01668579619172</v>
      </c>
    </row>
    <row r="164" spans="2:29" s="440" customFormat="1">
      <c r="B164" s="455" t="s">
        <v>672</v>
      </c>
      <c r="D164" s="456"/>
      <c r="E164" s="456">
        <f t="shared" ref="E164:Q164" si="68">+E159</f>
        <v>876.2521999999999</v>
      </c>
      <c r="F164" s="456">
        <f t="shared" si="68"/>
        <v>1001.1686</v>
      </c>
      <c r="G164" s="456">
        <f t="shared" si="68"/>
        <v>1149.4638</v>
      </c>
      <c r="H164" s="456">
        <f t="shared" si="68"/>
        <v>1347.3088</v>
      </c>
      <c r="I164" s="456">
        <f t="shared" si="68"/>
        <v>1563.7072000000001</v>
      </c>
      <c r="J164" s="456">
        <f t="shared" si="68"/>
        <v>1775.4731000000002</v>
      </c>
      <c r="K164" s="456">
        <f t="shared" si="68"/>
        <v>2018.0728000000001</v>
      </c>
      <c r="L164" s="456">
        <f t="shared" si="68"/>
        <v>2300.7287999999999</v>
      </c>
      <c r="M164" s="456">
        <f t="shared" si="68"/>
        <v>2559.2824000000001</v>
      </c>
      <c r="N164" s="456">
        <f t="shared" si="68"/>
        <v>2871.6378999999997</v>
      </c>
      <c r="O164" s="456">
        <f t="shared" si="68"/>
        <v>3262.0311000000002</v>
      </c>
      <c r="P164" s="456">
        <f t="shared" si="68"/>
        <v>3668.7062000000001</v>
      </c>
      <c r="Q164" s="456">
        <f t="shared" si="68"/>
        <v>4154.1212000000005</v>
      </c>
      <c r="R164" s="456">
        <f ca="1">SUM(R161:R163)</f>
        <v>4765.6907048474313</v>
      </c>
      <c r="S164" s="456">
        <f t="shared" ref="S164:AC164" ca="1" si="69">SUM(S161:S163)</f>
        <v>5516.5370931672442</v>
      </c>
      <c r="T164" s="456">
        <f t="shared" ca="1" si="69"/>
        <v>6339.5464727518147</v>
      </c>
      <c r="U164" s="456">
        <f t="shared" ca="1" si="69"/>
        <v>7342.1509545683602</v>
      </c>
      <c r="V164" s="456">
        <f t="shared" ca="1" si="69"/>
        <v>8567.4417873724833</v>
      </c>
      <c r="W164" s="456">
        <f t="shared" ca="1" si="69"/>
        <v>9906.8134174990537</v>
      </c>
      <c r="X164" s="456">
        <f t="shared" ca="1" si="69"/>
        <v>11481.234227418066</v>
      </c>
      <c r="Y164" s="456">
        <f t="shared" ca="1" si="69"/>
        <v>13311.152540032073</v>
      </c>
      <c r="Z164" s="456">
        <f t="shared" ca="1" si="69"/>
        <v>15426.861988913923</v>
      </c>
      <c r="AA164" s="456">
        <f t="shared" ca="1" si="69"/>
        <v>17868.940032671911</v>
      </c>
      <c r="AB164" s="456">
        <f t="shared" ca="1" si="69"/>
        <v>20688.046403179418</v>
      </c>
      <c r="AC164" s="456">
        <f t="shared" ca="1" si="69"/>
        <v>23942.626247336269</v>
      </c>
    </row>
    <row r="165" spans="2:29">
      <c r="B165" s="459"/>
      <c r="D165" s="466"/>
      <c r="E165" s="466"/>
      <c r="F165" s="466"/>
      <c r="G165" s="466"/>
      <c r="H165" s="466"/>
      <c r="I165" s="466"/>
      <c r="J165" s="466"/>
      <c r="K165" s="466"/>
      <c r="L165" s="466"/>
      <c r="M165" s="466"/>
      <c r="N165" s="466"/>
      <c r="O165" s="466"/>
      <c r="P165" s="466"/>
      <c r="Q165" s="466"/>
    </row>
    <row r="166" spans="2:29">
      <c r="B166" s="449" t="s">
        <v>534</v>
      </c>
    </row>
    <row r="167" spans="2:29">
      <c r="B167" s="444" t="s">
        <v>669</v>
      </c>
      <c r="D167" s="451">
        <f t="shared" ref="D167:AC167" si="70">+D149</f>
        <v>1161.7221999999999</v>
      </c>
      <c r="E167" s="451">
        <f t="shared" si="70"/>
        <v>1366.6271000000002</v>
      </c>
      <c r="F167" s="451">
        <f t="shared" si="70"/>
        <v>1618.7308000000003</v>
      </c>
      <c r="G167" s="451">
        <f t="shared" si="70"/>
        <v>1942.1297</v>
      </c>
      <c r="H167" s="451">
        <f t="shared" si="70"/>
        <v>2165.5075999999999</v>
      </c>
      <c r="I167" s="451">
        <f t="shared" si="70"/>
        <v>2417.1774999999998</v>
      </c>
      <c r="J167" s="451">
        <f t="shared" si="70"/>
        <v>2773.2508000000003</v>
      </c>
      <c r="K167" s="451">
        <f t="shared" si="70"/>
        <v>3080.6151</v>
      </c>
      <c r="L167" s="451">
        <f t="shared" si="70"/>
        <v>3372.7791000000002</v>
      </c>
      <c r="M167" s="451">
        <f t="shared" si="70"/>
        <v>3911.5962999999997</v>
      </c>
      <c r="N167" s="451">
        <f t="shared" si="70"/>
        <v>4426.2237999999998</v>
      </c>
      <c r="O167" s="451">
        <f t="shared" si="70"/>
        <v>5237.1451000000006</v>
      </c>
      <c r="P167" s="451">
        <f t="shared" si="70"/>
        <v>6362.5218999999997</v>
      </c>
      <c r="Q167" s="451">
        <f t="shared" si="70"/>
        <v>7218.5455000000002</v>
      </c>
      <c r="R167" s="451">
        <f t="shared" ca="1" si="70"/>
        <v>8198.4524070688312</v>
      </c>
      <c r="S167" s="451">
        <f t="shared" ca="1" si="70"/>
        <v>9430.4297403115925</v>
      </c>
      <c r="T167" s="451">
        <f t="shared" ca="1" si="70"/>
        <v>10909.541926300693</v>
      </c>
      <c r="U167" s="451">
        <f t="shared" ca="1" si="70"/>
        <v>12638.530330698219</v>
      </c>
      <c r="V167" s="451">
        <f t="shared" ca="1" si="70"/>
        <v>14631.744728534142</v>
      </c>
      <c r="W167" s="451">
        <f t="shared" ca="1" si="70"/>
        <v>16930.07051538588</v>
      </c>
      <c r="X167" s="451">
        <f t="shared" ca="1" si="70"/>
        <v>19589.789137399053</v>
      </c>
      <c r="Y167" s="451">
        <f t="shared" ca="1" si="70"/>
        <v>22661.603142138483</v>
      </c>
      <c r="Z167" s="451">
        <f t="shared" ca="1" si="70"/>
        <v>26206.858588681131</v>
      </c>
      <c r="AA167" s="451">
        <f t="shared" ca="1" si="70"/>
        <v>30298.250166053349</v>
      </c>
      <c r="AB167" s="451">
        <f t="shared" ca="1" si="70"/>
        <v>35020.367079241172</v>
      </c>
      <c r="AC167" s="451">
        <f t="shared" ca="1" si="70"/>
        <v>40470.997849362167</v>
      </c>
    </row>
    <row r="168" spans="2:29" ht="13.5">
      <c r="B168" s="444" t="s">
        <v>672</v>
      </c>
      <c r="D168" s="453">
        <f t="shared" ref="D168:AC168" si="71">-D159</f>
        <v>-773.27819999999997</v>
      </c>
      <c r="E168" s="453">
        <f t="shared" si="71"/>
        <v>-876.2521999999999</v>
      </c>
      <c r="F168" s="453">
        <f t="shared" si="71"/>
        <v>-1001.1686</v>
      </c>
      <c r="G168" s="453">
        <f t="shared" si="71"/>
        <v>-1149.4638</v>
      </c>
      <c r="H168" s="453">
        <f t="shared" si="71"/>
        <v>-1347.3088</v>
      </c>
      <c r="I168" s="453">
        <f t="shared" si="71"/>
        <v>-1563.7072000000001</v>
      </c>
      <c r="J168" s="453">
        <f t="shared" si="71"/>
        <v>-1775.4731000000002</v>
      </c>
      <c r="K168" s="453">
        <f t="shared" si="71"/>
        <v>-2018.0728000000001</v>
      </c>
      <c r="L168" s="453">
        <f t="shared" si="71"/>
        <v>-2300.7287999999999</v>
      </c>
      <c r="M168" s="453">
        <f t="shared" si="71"/>
        <v>-2559.2824000000001</v>
      </c>
      <c r="N168" s="453">
        <f t="shared" si="71"/>
        <v>-2871.6378999999997</v>
      </c>
      <c r="O168" s="453">
        <f t="shared" si="71"/>
        <v>-3262.0311000000002</v>
      </c>
      <c r="P168" s="453">
        <f t="shared" si="71"/>
        <v>-3668.7062000000001</v>
      </c>
      <c r="Q168" s="453">
        <f t="shared" si="71"/>
        <v>-4154.1212000000005</v>
      </c>
      <c r="R168" s="453">
        <f t="shared" ca="1" si="71"/>
        <v>-4765.6907048474313</v>
      </c>
      <c r="S168" s="453">
        <f t="shared" ca="1" si="71"/>
        <v>-5516.5370931672442</v>
      </c>
      <c r="T168" s="453">
        <f t="shared" ca="1" si="71"/>
        <v>-6339.5464727518147</v>
      </c>
      <c r="U168" s="453">
        <f t="shared" ca="1" si="71"/>
        <v>-7342.1509545683602</v>
      </c>
      <c r="V168" s="453">
        <f t="shared" ca="1" si="71"/>
        <v>-8567.4417873724833</v>
      </c>
      <c r="W168" s="453">
        <f t="shared" ca="1" si="71"/>
        <v>-9906.8134174990537</v>
      </c>
      <c r="X168" s="453">
        <f t="shared" ca="1" si="71"/>
        <v>-11481.234227418066</v>
      </c>
      <c r="Y168" s="453">
        <f t="shared" ca="1" si="71"/>
        <v>-13311.152540032073</v>
      </c>
      <c r="Z168" s="453">
        <f t="shared" ca="1" si="71"/>
        <v>-15426.861988913923</v>
      </c>
      <c r="AA168" s="453">
        <f t="shared" ca="1" si="71"/>
        <v>-17868.940032671911</v>
      </c>
      <c r="AB168" s="453">
        <f t="shared" ca="1" si="71"/>
        <v>-20688.046403179418</v>
      </c>
      <c r="AC168" s="453">
        <f t="shared" ca="1" si="71"/>
        <v>-23942.626247336269</v>
      </c>
    </row>
    <row r="169" spans="2:29" s="440" customFormat="1">
      <c r="B169" s="455" t="s">
        <v>673</v>
      </c>
      <c r="D169" s="456">
        <f t="shared" ref="D169:AC169" si="72">SUM(D167:D168)</f>
        <v>388.44399999999996</v>
      </c>
      <c r="E169" s="456">
        <f t="shared" si="72"/>
        <v>490.37490000000025</v>
      </c>
      <c r="F169" s="456">
        <f t="shared" si="72"/>
        <v>617.5622000000003</v>
      </c>
      <c r="G169" s="456">
        <f t="shared" si="72"/>
        <v>792.66589999999997</v>
      </c>
      <c r="H169" s="456">
        <f t="shared" si="72"/>
        <v>818.19879999999989</v>
      </c>
      <c r="I169" s="456">
        <f t="shared" si="72"/>
        <v>853.47029999999972</v>
      </c>
      <c r="J169" s="456">
        <f t="shared" si="72"/>
        <v>997.7777000000001</v>
      </c>
      <c r="K169" s="456">
        <f t="shared" si="72"/>
        <v>1062.5422999999998</v>
      </c>
      <c r="L169" s="456">
        <f t="shared" si="72"/>
        <v>1072.0503000000003</v>
      </c>
      <c r="M169" s="456">
        <f t="shared" si="72"/>
        <v>1352.3138999999996</v>
      </c>
      <c r="N169" s="456">
        <f t="shared" si="72"/>
        <v>1554.5859</v>
      </c>
      <c r="O169" s="456">
        <f t="shared" si="72"/>
        <v>1975.1140000000005</v>
      </c>
      <c r="P169" s="456">
        <f t="shared" si="72"/>
        <v>2693.8156999999997</v>
      </c>
      <c r="Q169" s="456">
        <f t="shared" si="72"/>
        <v>3064.4242999999997</v>
      </c>
      <c r="R169" s="456">
        <f t="shared" ca="1" si="72"/>
        <v>3432.7617022213999</v>
      </c>
      <c r="S169" s="456">
        <f t="shared" ca="1" si="72"/>
        <v>3913.8926471443483</v>
      </c>
      <c r="T169" s="456">
        <f t="shared" ca="1" si="72"/>
        <v>4569.9954535488787</v>
      </c>
      <c r="U169" s="456">
        <f t="shared" ca="1" si="72"/>
        <v>5296.3793761298584</v>
      </c>
      <c r="V169" s="456">
        <f t="shared" ca="1" si="72"/>
        <v>6064.302941161659</v>
      </c>
      <c r="W169" s="456">
        <f t="shared" ca="1" si="72"/>
        <v>7023.2570978868262</v>
      </c>
      <c r="X169" s="456">
        <f t="shared" ca="1" si="72"/>
        <v>8108.5549099809868</v>
      </c>
      <c r="Y169" s="456">
        <f t="shared" ca="1" si="72"/>
        <v>9350.4506021064099</v>
      </c>
      <c r="Z169" s="456">
        <f t="shared" ca="1" si="72"/>
        <v>10779.996599767208</v>
      </c>
      <c r="AA169" s="456">
        <f t="shared" ca="1" si="72"/>
        <v>12429.310133381437</v>
      </c>
      <c r="AB169" s="456">
        <f t="shared" ca="1" si="72"/>
        <v>14332.320676061754</v>
      </c>
      <c r="AC169" s="456">
        <f t="shared" ca="1" si="72"/>
        <v>16528.371602025898</v>
      </c>
    </row>
    <row r="171" spans="2:29">
      <c r="B171" s="444" t="s">
        <v>674</v>
      </c>
      <c r="D171" s="451"/>
      <c r="E171" s="451">
        <f t="shared" ref="E171:AC171" si="73">+D169</f>
        <v>388.44399999999996</v>
      </c>
      <c r="F171" s="451">
        <f t="shared" si="73"/>
        <v>490.37490000000025</v>
      </c>
      <c r="G171" s="451">
        <f t="shared" si="73"/>
        <v>617.5622000000003</v>
      </c>
      <c r="H171" s="451">
        <f t="shared" si="73"/>
        <v>792.66589999999997</v>
      </c>
      <c r="I171" s="451">
        <f t="shared" si="73"/>
        <v>818.19879999999989</v>
      </c>
      <c r="J171" s="451">
        <f t="shared" si="73"/>
        <v>853.47029999999972</v>
      </c>
      <c r="K171" s="451">
        <f t="shared" si="73"/>
        <v>997.7777000000001</v>
      </c>
      <c r="L171" s="451">
        <f t="shared" si="73"/>
        <v>1062.5422999999998</v>
      </c>
      <c r="M171" s="451">
        <f t="shared" si="73"/>
        <v>1072.0503000000003</v>
      </c>
      <c r="N171" s="451">
        <f t="shared" si="73"/>
        <v>1352.3138999999996</v>
      </c>
      <c r="O171" s="451">
        <f t="shared" si="73"/>
        <v>1554.5859</v>
      </c>
      <c r="P171" s="451">
        <f t="shared" si="73"/>
        <v>1975.1140000000005</v>
      </c>
      <c r="Q171" s="451">
        <f t="shared" si="73"/>
        <v>2693.8156999999997</v>
      </c>
      <c r="R171" s="451">
        <f t="shared" si="73"/>
        <v>3064.4242999999997</v>
      </c>
      <c r="S171" s="451">
        <f t="shared" ca="1" si="73"/>
        <v>3432.7617022213999</v>
      </c>
      <c r="T171" s="451">
        <f t="shared" ca="1" si="73"/>
        <v>3913.8926471443483</v>
      </c>
      <c r="U171" s="451">
        <f t="shared" ca="1" si="73"/>
        <v>4569.9954535488787</v>
      </c>
      <c r="V171" s="451">
        <f t="shared" ca="1" si="73"/>
        <v>5296.3793761298584</v>
      </c>
      <c r="W171" s="451">
        <f t="shared" ca="1" si="73"/>
        <v>6064.302941161659</v>
      </c>
      <c r="X171" s="451">
        <f t="shared" ca="1" si="73"/>
        <v>7023.2570978868262</v>
      </c>
      <c r="Y171" s="451">
        <f t="shared" ca="1" si="73"/>
        <v>8108.5549099809868</v>
      </c>
      <c r="Z171" s="451">
        <f t="shared" ca="1" si="73"/>
        <v>9350.4506021064099</v>
      </c>
      <c r="AA171" s="451">
        <f t="shared" ca="1" si="73"/>
        <v>10779.996599767208</v>
      </c>
      <c r="AB171" s="451">
        <f t="shared" ca="1" si="73"/>
        <v>12429.310133381437</v>
      </c>
      <c r="AC171" s="451">
        <f t="shared" ca="1" si="73"/>
        <v>14332.320676061754</v>
      </c>
    </row>
    <row r="172" spans="2:29">
      <c r="B172" s="444" t="s">
        <v>640</v>
      </c>
      <c r="D172" s="451"/>
      <c r="E172" s="451">
        <f t="shared" ref="E172:AC173" si="74">+E153</f>
        <v>219.05254781499644</v>
      </c>
      <c r="F172" s="451">
        <f t="shared" si="74"/>
        <v>257.6891</v>
      </c>
      <c r="G172" s="451">
        <f t="shared" si="74"/>
        <v>333.80220000000003</v>
      </c>
      <c r="H172" s="451">
        <f t="shared" si="74"/>
        <v>224.01870000000002</v>
      </c>
      <c r="I172" s="451">
        <f t="shared" si="74"/>
        <v>219.30339999999998</v>
      </c>
      <c r="J172" s="451">
        <f t="shared" si="74"/>
        <v>365.82759999999996</v>
      </c>
      <c r="K172" s="451">
        <f t="shared" si="74"/>
        <v>322.4939</v>
      </c>
      <c r="L172" s="451">
        <f t="shared" si="74"/>
        <v>300.02440000000001</v>
      </c>
      <c r="M172" s="451">
        <f t="shared" si="74"/>
        <v>564.28300000000002</v>
      </c>
      <c r="N172" s="451">
        <f t="shared" si="74"/>
        <v>525.72069999999997</v>
      </c>
      <c r="O172" s="451">
        <f t="shared" si="74"/>
        <v>835.4063000000001</v>
      </c>
      <c r="P172" s="451">
        <f t="shared" si="74"/>
        <v>1139.8921</v>
      </c>
      <c r="Q172" s="451">
        <f t="shared" si="74"/>
        <v>897.51880000000006</v>
      </c>
      <c r="R172" s="451">
        <f t="shared" ca="1" si="74"/>
        <v>990.18415175882456</v>
      </c>
      <c r="S172" s="451">
        <f t="shared" ca="1" si="74"/>
        <v>1243.6496987444702</v>
      </c>
      <c r="T172" s="451">
        <f t="shared" ca="1" si="74"/>
        <v>1492.5385520032753</v>
      </c>
      <c r="U172" s="451">
        <f t="shared" ca="1" si="74"/>
        <v>1744.5206237112839</v>
      </c>
      <c r="V172" s="451">
        <f t="shared" ca="1" si="74"/>
        <v>2011.2082261951823</v>
      </c>
      <c r="W172" s="451">
        <f t="shared" ca="1" si="74"/>
        <v>2319.15741017761</v>
      </c>
      <c r="X172" s="451">
        <f t="shared" ca="1" si="74"/>
        <v>2683.8224359055253</v>
      </c>
      <c r="Y172" s="451">
        <f t="shared" ca="1" si="74"/>
        <v>3099.704534263753</v>
      </c>
      <c r="Z172" s="451">
        <f t="shared" ca="1" si="74"/>
        <v>3577.5194033964626</v>
      </c>
      <c r="AA172" s="451">
        <f t="shared" ca="1" si="74"/>
        <v>4128.7030133494436</v>
      </c>
      <c r="AB172" s="451">
        <f t="shared" ca="1" si="74"/>
        <v>4765.2533775399806</v>
      </c>
      <c r="AC172" s="451">
        <f t="shared" ca="1" si="74"/>
        <v>5500.4902441115364</v>
      </c>
    </row>
    <row r="173" spans="2:29">
      <c r="B173" s="444" t="s">
        <v>641</v>
      </c>
      <c r="D173" s="451"/>
      <c r="E173" s="451">
        <f t="shared" si="74"/>
        <v>-2.3146426544446541</v>
      </c>
      <c r="F173" s="451">
        <f t="shared" si="74"/>
        <v>-2.7229000000000001</v>
      </c>
      <c r="G173" s="451">
        <f t="shared" si="74"/>
        <v>-3.7131999999999996</v>
      </c>
      <c r="H173" s="451">
        <f t="shared" si="74"/>
        <v>-2.8826999999999998</v>
      </c>
      <c r="I173" s="451">
        <f t="shared" si="74"/>
        <v>-6.7846000000000002</v>
      </c>
      <c r="J173" s="451">
        <f t="shared" si="74"/>
        <v>-3.5768</v>
      </c>
      <c r="K173" s="451">
        <f t="shared" si="74"/>
        <v>-9.9677999999999987</v>
      </c>
      <c r="L173" s="451">
        <f t="shared" si="74"/>
        <v>-7.1741999999999999</v>
      </c>
      <c r="M173" s="451">
        <f t="shared" si="74"/>
        <v>-18.5839</v>
      </c>
      <c r="N173" s="451">
        <f t="shared" si="74"/>
        <v>-7.1728999999999994</v>
      </c>
      <c r="O173" s="451">
        <f t="shared" si="74"/>
        <v>-26.566700000000001</v>
      </c>
      <c r="P173" s="451">
        <f t="shared" si="74"/>
        <v>-27.792400000000001</v>
      </c>
      <c r="Q173" s="451">
        <f t="shared" si="74"/>
        <v>-32.436700000000002</v>
      </c>
      <c r="R173" s="451">
        <f t="shared" si="74"/>
        <v>0</v>
      </c>
      <c r="S173" s="451">
        <f t="shared" si="74"/>
        <v>0</v>
      </c>
      <c r="T173" s="451">
        <f t="shared" si="74"/>
        <v>0</v>
      </c>
      <c r="U173" s="451">
        <f t="shared" si="74"/>
        <v>0</v>
      </c>
      <c r="V173" s="451">
        <f t="shared" si="74"/>
        <v>0</v>
      </c>
      <c r="W173" s="451">
        <f t="shared" si="74"/>
        <v>0</v>
      </c>
      <c r="X173" s="451">
        <f t="shared" si="74"/>
        <v>0</v>
      </c>
      <c r="Y173" s="451">
        <f t="shared" si="74"/>
        <v>0</v>
      </c>
      <c r="Z173" s="451">
        <f t="shared" si="74"/>
        <v>0</v>
      </c>
      <c r="AA173" s="451">
        <f t="shared" si="74"/>
        <v>0</v>
      </c>
      <c r="AB173" s="451">
        <f t="shared" si="74"/>
        <v>0</v>
      </c>
      <c r="AC173" s="451">
        <f t="shared" si="74"/>
        <v>0</v>
      </c>
    </row>
    <row r="174" spans="2:29">
      <c r="B174" s="444" t="s">
        <v>657</v>
      </c>
      <c r="D174" s="451"/>
      <c r="E174" s="478">
        <f>-E162</f>
        <v>-105.32719999999999</v>
      </c>
      <c r="F174" s="478">
        <f t="shared" ref="F174:AC174" si="75">-F162</f>
        <v>-129.16849999999999</v>
      </c>
      <c r="G174" s="478">
        <f t="shared" si="75"/>
        <v>-153.97979999999998</v>
      </c>
      <c r="H174" s="478">
        <f t="shared" si="75"/>
        <v>-197.64520000000002</v>
      </c>
      <c r="I174" s="478">
        <f t="shared" si="75"/>
        <v>-219.30339999999998</v>
      </c>
      <c r="J174" s="478">
        <f t="shared" si="75"/>
        <v>-220.08500000000001</v>
      </c>
      <c r="K174" s="478">
        <f t="shared" si="75"/>
        <v>-255.79599999999999</v>
      </c>
      <c r="L174" s="478">
        <f t="shared" si="75"/>
        <v>-288.12490000000003</v>
      </c>
      <c r="M174" s="478">
        <f t="shared" si="75"/>
        <v>-278.76490000000001</v>
      </c>
      <c r="N174" s="478">
        <f t="shared" si="75"/>
        <v>-321.8211</v>
      </c>
      <c r="O174" s="478">
        <f t="shared" si="75"/>
        <v>-411.48390000000001</v>
      </c>
      <c r="P174" s="478">
        <f t="shared" si="75"/>
        <v>-425.41629999999998</v>
      </c>
      <c r="Q174" s="478">
        <f t="shared" si="75"/>
        <v>-519.46619999999996</v>
      </c>
      <c r="R174" s="478">
        <f t="shared" ca="1" si="75"/>
        <v>-650.12609785164591</v>
      </c>
      <c r="S174" s="478">
        <f t="shared" ca="1" si="75"/>
        <v>-795.07928092072518</v>
      </c>
      <c r="T174" s="478">
        <f t="shared" ca="1" si="75"/>
        <v>-874.21127410173199</v>
      </c>
      <c r="U174" s="478">
        <f t="shared" ca="1" si="75"/>
        <v>-1061.4451610873375</v>
      </c>
      <c r="V174" s="478">
        <f t="shared" ca="1" si="75"/>
        <v>-1293.4372138319081</v>
      </c>
      <c r="W174" s="478">
        <f t="shared" ca="1" si="75"/>
        <v>-1418.8905825545889</v>
      </c>
      <c r="X174" s="478">
        <f t="shared" ca="1" si="75"/>
        <v>-1666.3711778830502</v>
      </c>
      <c r="Y174" s="478">
        <f t="shared" ca="1" si="75"/>
        <v>-1936.4817117013083</v>
      </c>
      <c r="Z174" s="478">
        <f t="shared" ca="1" si="75"/>
        <v>-2239.2572863650312</v>
      </c>
      <c r="AA174" s="478">
        <f t="shared" ca="1" si="75"/>
        <v>-2585.262898123513</v>
      </c>
      <c r="AB174" s="478">
        <f t="shared" ca="1" si="75"/>
        <v>-2984.9574410676169</v>
      </c>
      <c r="AC174" s="478">
        <f t="shared" ca="1" si="75"/>
        <v>-3446.5965299530435</v>
      </c>
    </row>
    <row r="175" spans="2:29" ht="13.5">
      <c r="B175" s="444" t="s">
        <v>19</v>
      </c>
      <c r="D175" s="453"/>
      <c r="E175" s="453">
        <f t="shared" ref="E175:AC175" si="76">+E176-SUM(E171:E174)</f>
        <v>-9.4798051605513933</v>
      </c>
      <c r="F175" s="453">
        <f t="shared" si="76"/>
        <v>1.3895999999999731</v>
      </c>
      <c r="G175" s="453">
        <f t="shared" si="76"/>
        <v>-1.0055000000004384</v>
      </c>
      <c r="H175" s="453">
        <f t="shared" si="76"/>
        <v>2.0420999999998912</v>
      </c>
      <c r="I175" s="453">
        <f t="shared" si="76"/>
        <v>42.056099999999788</v>
      </c>
      <c r="J175" s="453">
        <f t="shared" si="76"/>
        <v>2.1416000000006079</v>
      </c>
      <c r="K175" s="453">
        <f t="shared" si="76"/>
        <v>8.0344999999997526</v>
      </c>
      <c r="L175" s="453">
        <f t="shared" si="76"/>
        <v>4.7827000000004318</v>
      </c>
      <c r="M175" s="453">
        <f t="shared" si="76"/>
        <v>13.329399999999623</v>
      </c>
      <c r="N175" s="453">
        <f t="shared" si="76"/>
        <v>5.5453000000006796</v>
      </c>
      <c r="O175" s="453">
        <f t="shared" si="76"/>
        <v>23.172400000000152</v>
      </c>
      <c r="P175" s="453">
        <f t="shared" si="76"/>
        <v>32.018299999998817</v>
      </c>
      <c r="Q175" s="453">
        <f t="shared" si="76"/>
        <v>24.992699999999786</v>
      </c>
      <c r="R175" s="453">
        <f t="shared" ca="1" si="76"/>
        <v>28.279348314221352</v>
      </c>
      <c r="S175" s="453">
        <f t="shared" ca="1" si="76"/>
        <v>32.560527099203682</v>
      </c>
      <c r="T175" s="453">
        <f t="shared" ca="1" si="76"/>
        <v>37.775528502987072</v>
      </c>
      <c r="U175" s="453">
        <f t="shared" ca="1" si="76"/>
        <v>43.308459957032937</v>
      </c>
      <c r="V175" s="453">
        <f t="shared" ca="1" si="76"/>
        <v>50.152552668527278</v>
      </c>
      <c r="W175" s="453">
        <f t="shared" ca="1" si="76"/>
        <v>58.687329102146577</v>
      </c>
      <c r="X175" s="453">
        <f t="shared" ca="1" si="76"/>
        <v>67.846554071685205</v>
      </c>
      <c r="Y175" s="453">
        <f t="shared" ca="1" si="76"/>
        <v>78.672869562977212</v>
      </c>
      <c r="Z175" s="453">
        <f t="shared" ca="1" si="76"/>
        <v>91.28388062936574</v>
      </c>
      <c r="AA175" s="453">
        <f t="shared" ca="1" si="76"/>
        <v>105.87341838829889</v>
      </c>
      <c r="AB175" s="453">
        <f t="shared" ca="1" si="76"/>
        <v>122.71460620795187</v>
      </c>
      <c r="AC175" s="453">
        <f t="shared" ca="1" si="76"/>
        <v>142.15721180565015</v>
      </c>
    </row>
    <row r="176" spans="2:29" s="440" customFormat="1">
      <c r="B176" s="455" t="s">
        <v>673</v>
      </c>
      <c r="D176" s="456"/>
      <c r="E176" s="456">
        <f t="shared" ref="E176:AC176" si="77">+E169</f>
        <v>490.37490000000025</v>
      </c>
      <c r="F176" s="456">
        <f t="shared" si="77"/>
        <v>617.5622000000003</v>
      </c>
      <c r="G176" s="456">
        <f t="shared" si="77"/>
        <v>792.66589999999997</v>
      </c>
      <c r="H176" s="456">
        <f t="shared" si="77"/>
        <v>818.19879999999989</v>
      </c>
      <c r="I176" s="456">
        <f t="shared" si="77"/>
        <v>853.47029999999972</v>
      </c>
      <c r="J176" s="456">
        <f t="shared" si="77"/>
        <v>997.7777000000001</v>
      </c>
      <c r="K176" s="456">
        <f t="shared" si="77"/>
        <v>1062.5422999999998</v>
      </c>
      <c r="L176" s="456">
        <f t="shared" si="77"/>
        <v>1072.0503000000003</v>
      </c>
      <c r="M176" s="456">
        <f t="shared" si="77"/>
        <v>1352.3138999999996</v>
      </c>
      <c r="N176" s="456">
        <f t="shared" si="77"/>
        <v>1554.5859</v>
      </c>
      <c r="O176" s="456">
        <f t="shared" si="77"/>
        <v>1975.1140000000005</v>
      </c>
      <c r="P176" s="456">
        <f t="shared" si="77"/>
        <v>2693.8156999999997</v>
      </c>
      <c r="Q176" s="456">
        <f t="shared" si="77"/>
        <v>3064.4242999999997</v>
      </c>
      <c r="R176" s="456">
        <f t="shared" ca="1" si="77"/>
        <v>3432.7617022213999</v>
      </c>
      <c r="S176" s="456">
        <f t="shared" ca="1" si="77"/>
        <v>3913.8926471443483</v>
      </c>
      <c r="T176" s="456">
        <f t="shared" ca="1" si="77"/>
        <v>4569.9954535488787</v>
      </c>
      <c r="U176" s="456">
        <f t="shared" ca="1" si="77"/>
        <v>5296.3793761298584</v>
      </c>
      <c r="V176" s="456">
        <f t="shared" ca="1" si="77"/>
        <v>6064.302941161659</v>
      </c>
      <c r="W176" s="456">
        <f t="shared" ca="1" si="77"/>
        <v>7023.2570978868262</v>
      </c>
      <c r="X176" s="456">
        <f t="shared" ca="1" si="77"/>
        <v>8108.5549099809868</v>
      </c>
      <c r="Y176" s="456">
        <f t="shared" ca="1" si="77"/>
        <v>9350.4506021064099</v>
      </c>
      <c r="Z176" s="456">
        <f t="shared" ca="1" si="77"/>
        <v>10779.996599767208</v>
      </c>
      <c r="AA176" s="456">
        <f t="shared" ca="1" si="77"/>
        <v>12429.310133381437</v>
      </c>
      <c r="AB176" s="456">
        <f t="shared" ca="1" si="77"/>
        <v>14332.320676061754</v>
      </c>
      <c r="AC176" s="456">
        <f t="shared" ca="1" si="77"/>
        <v>16528.371602025898</v>
      </c>
    </row>
    <row r="177" spans="2:29" s="440" customFormat="1">
      <c r="B177" s="455"/>
      <c r="D177" s="456"/>
      <c r="E177" s="456"/>
      <c r="F177" s="456"/>
      <c r="G177" s="456"/>
      <c r="H177" s="456"/>
      <c r="I177" s="456"/>
      <c r="J177" s="456"/>
      <c r="K177" s="456"/>
      <c r="L177" s="456"/>
      <c r="M177" s="456"/>
      <c r="N177" s="456"/>
      <c r="O177" s="456"/>
      <c r="P177" s="456"/>
      <c r="Q177" s="456"/>
    </row>
    <row r="178" spans="2:29" s="440" customFormat="1">
      <c r="B178" s="449" t="s">
        <v>658</v>
      </c>
      <c r="D178" s="456"/>
      <c r="E178" s="456"/>
      <c r="F178" s="456"/>
      <c r="G178" s="456"/>
      <c r="H178" s="456"/>
      <c r="I178" s="456"/>
      <c r="J178" s="456"/>
      <c r="K178" s="456"/>
      <c r="L178" s="456"/>
      <c r="M178" s="456"/>
      <c r="N178" s="456"/>
      <c r="O178" s="456"/>
      <c r="P178" s="456"/>
      <c r="Q178" s="456"/>
    </row>
    <row r="179" spans="2:29" s="440" customFormat="1">
      <c r="B179" s="450" t="s">
        <v>665</v>
      </c>
      <c r="D179" s="467"/>
      <c r="E179" s="467">
        <v>20</v>
      </c>
      <c r="F179" s="467">
        <v>20</v>
      </c>
      <c r="G179" s="467">
        <v>20</v>
      </c>
      <c r="H179" s="467">
        <v>20</v>
      </c>
      <c r="I179" s="467">
        <v>20</v>
      </c>
      <c r="J179" s="467">
        <v>20</v>
      </c>
      <c r="K179" s="467">
        <v>20</v>
      </c>
      <c r="L179" s="467">
        <v>20</v>
      </c>
      <c r="M179" s="467">
        <v>20</v>
      </c>
      <c r="N179" s="467">
        <v>20</v>
      </c>
      <c r="O179" s="467">
        <v>20</v>
      </c>
      <c r="P179" s="467">
        <v>20</v>
      </c>
      <c r="Q179" s="467">
        <v>20</v>
      </c>
    </row>
    <row r="180" spans="2:29" s="440" customFormat="1">
      <c r="B180" s="450" t="s">
        <v>653</v>
      </c>
      <c r="D180" s="468"/>
      <c r="E180" s="471" t="s">
        <v>675</v>
      </c>
      <c r="F180" s="471" t="s">
        <v>675</v>
      </c>
      <c r="G180" s="471" t="s">
        <v>675</v>
      </c>
      <c r="H180" s="471" t="s">
        <v>675</v>
      </c>
      <c r="I180" s="471" t="s">
        <v>675</v>
      </c>
      <c r="J180" s="471" t="s">
        <v>677</v>
      </c>
      <c r="K180" s="471" t="s">
        <v>675</v>
      </c>
      <c r="L180" s="471" t="s">
        <v>675</v>
      </c>
      <c r="M180" s="471" t="s">
        <v>675</v>
      </c>
      <c r="N180" s="471" t="s">
        <v>675</v>
      </c>
      <c r="O180" s="471" t="s">
        <v>675</v>
      </c>
      <c r="P180" s="471" t="s">
        <v>675</v>
      </c>
      <c r="Q180" s="471" t="s">
        <v>675</v>
      </c>
    </row>
    <row r="181" spans="2:29" s="440" customFormat="1">
      <c r="B181" s="450" t="s">
        <v>666</v>
      </c>
      <c r="D181" s="468"/>
      <c r="E181" s="468" t="s">
        <v>659</v>
      </c>
      <c r="F181" s="468" t="s">
        <v>659</v>
      </c>
      <c r="G181" s="468" t="s">
        <v>659</v>
      </c>
      <c r="H181" s="468" t="s">
        <v>659</v>
      </c>
      <c r="I181" s="468" t="s">
        <v>660</v>
      </c>
      <c r="J181" s="468" t="s">
        <v>660</v>
      </c>
      <c r="K181" s="468" t="s">
        <v>660</v>
      </c>
      <c r="L181" s="468" t="s">
        <v>660</v>
      </c>
      <c r="M181" s="468">
        <v>5</v>
      </c>
      <c r="N181" s="468">
        <v>5</v>
      </c>
      <c r="O181" s="468">
        <v>5</v>
      </c>
      <c r="P181" s="468">
        <v>5</v>
      </c>
      <c r="Q181" s="468">
        <v>5</v>
      </c>
    </row>
    <row r="182" spans="2:29" s="440" customFormat="1">
      <c r="B182" s="450" t="s">
        <v>667</v>
      </c>
      <c r="D182" s="468"/>
      <c r="E182" s="468" t="s">
        <v>678</v>
      </c>
      <c r="F182" s="468" t="s">
        <v>678</v>
      </c>
      <c r="G182" s="468" t="s">
        <v>678</v>
      </c>
      <c r="H182" s="468" t="s">
        <v>678</v>
      </c>
      <c r="I182" s="468" t="s">
        <v>678</v>
      </c>
      <c r="J182" s="468" t="s">
        <v>678</v>
      </c>
      <c r="K182" s="468" t="s">
        <v>659</v>
      </c>
      <c r="L182" s="468" t="s">
        <v>659</v>
      </c>
      <c r="M182" s="468">
        <v>5</v>
      </c>
      <c r="N182" s="468">
        <v>5</v>
      </c>
      <c r="O182" s="468">
        <v>5</v>
      </c>
      <c r="P182" s="468">
        <v>5</v>
      </c>
      <c r="Q182" s="468">
        <v>5</v>
      </c>
    </row>
    <row r="183" spans="2:29">
      <c r="P183" s="469"/>
    </row>
    <row r="184" spans="2:29">
      <c r="B184" s="449" t="s">
        <v>661</v>
      </c>
    </row>
    <row r="185" spans="2:29">
      <c r="B185" s="444" t="s">
        <v>662</v>
      </c>
      <c r="E185" s="470">
        <f>+E149/E162</f>
        <v>12.975063421414415</v>
      </c>
      <c r="F185" s="470">
        <f>+F149/F162</f>
        <v>12.531931546778049</v>
      </c>
      <c r="G185" s="470">
        <f>+G149/G162</f>
        <v>12.612886235727025</v>
      </c>
      <c r="H185" s="470">
        <f t="shared" ref="H185:AC185" si="78">+H149/H162</f>
        <v>10.956540305557635</v>
      </c>
      <c r="I185" s="470">
        <f t="shared" si="78"/>
        <v>11.022070337258793</v>
      </c>
      <c r="J185" s="470">
        <f t="shared" si="78"/>
        <v>12.600816957084763</v>
      </c>
      <c r="K185" s="470">
        <f t="shared" si="78"/>
        <v>12.043249698978874</v>
      </c>
      <c r="L185" s="470">
        <f t="shared" si="78"/>
        <v>11.705961893609334</v>
      </c>
      <c r="M185" s="470">
        <f t="shared" si="78"/>
        <v>14.031882421352185</v>
      </c>
      <c r="N185" s="470">
        <f t="shared" si="78"/>
        <v>13.753678052806357</v>
      </c>
      <c r="O185" s="470">
        <f t="shared" si="78"/>
        <v>12.727460539768385</v>
      </c>
      <c r="P185" s="470">
        <f t="shared" si="78"/>
        <v>14.95598993268476</v>
      </c>
      <c r="Q185" s="470">
        <f>+Q149/Q162</f>
        <v>13.896083133031564</v>
      </c>
      <c r="R185" s="470">
        <f ca="1">+R149/R162</f>
        <v>12.61055729674716</v>
      </c>
      <c r="S185" s="470">
        <f t="shared" ca="1" si="78"/>
        <v>11.86099294323313</v>
      </c>
      <c r="T185" s="470">
        <f t="shared" ca="1" si="78"/>
        <v>12.479296766688861</v>
      </c>
      <c r="U185" s="470">
        <f t="shared" ca="1" si="78"/>
        <v>11.906908424502488</v>
      </c>
      <c r="V185" s="470">
        <f t="shared" ca="1" si="78"/>
        <v>11.312296083693512</v>
      </c>
      <c r="W185" s="470">
        <f t="shared" ca="1" si="78"/>
        <v>11.931907029014713</v>
      </c>
      <c r="X185" s="470">
        <f t="shared" ca="1" si="78"/>
        <v>11.755957734630183</v>
      </c>
      <c r="Y185" s="470">
        <f t="shared" ca="1" si="78"/>
        <v>11.702461740384312</v>
      </c>
      <c r="Z185" s="470">
        <f t="shared" ca="1" si="78"/>
        <v>11.703370911532243</v>
      </c>
      <c r="AA185" s="470">
        <f t="shared" ca="1" si="78"/>
        <v>11.719601201117699</v>
      </c>
      <c r="AB185" s="470">
        <f t="shared" ca="1" si="78"/>
        <v>11.732283548644361</v>
      </c>
      <c r="AC185" s="470">
        <f t="shared" ca="1" si="78"/>
        <v>11.742307954425273</v>
      </c>
    </row>
    <row r="186" spans="2:29">
      <c r="B186" s="444" t="s">
        <v>663</v>
      </c>
      <c r="E186" s="470">
        <f>+E150/E162</f>
        <v>11.84338423503141</v>
      </c>
      <c r="F186" s="470">
        <f>+F150/F162</f>
        <v>11.592399849808585</v>
      </c>
      <c r="G186" s="470">
        <f>+G150/G162</f>
        <v>10.814174976198178</v>
      </c>
      <c r="H186" s="470">
        <f t="shared" ref="H186:AC186" si="79">+H150/H162</f>
        <v>10.378672995853176</v>
      </c>
      <c r="I186" s="470">
        <f t="shared" si="79"/>
        <v>10.127483203634783</v>
      </c>
      <c r="J186" s="470">
        <f t="shared" si="79"/>
        <v>10.823099257105209</v>
      </c>
      <c r="K186" s="470">
        <f t="shared" si="79"/>
        <v>11.373431953588014</v>
      </c>
      <c r="L186" s="470">
        <f t="shared" si="79"/>
        <v>11.091914305219715</v>
      </c>
      <c r="M186" s="470">
        <f t="shared" si="79"/>
        <v>12.122435069838419</v>
      </c>
      <c r="N186" s="470">
        <f t="shared" si="79"/>
        <v>13.045495773894253</v>
      </c>
      <c r="O186" s="470">
        <f t="shared" si="79"/>
        <v>11.270188699971008</v>
      </c>
      <c r="P186" s="470">
        <f t="shared" si="79"/>
        <v>11.795545915847606</v>
      </c>
      <c r="Q186" s="470">
        <f t="shared" si="79"/>
        <v>12.132904316007471</v>
      </c>
      <c r="R186" s="470">
        <f ca="1">+R150/R162</f>
        <v>11.065237129158465</v>
      </c>
      <c r="S186" s="470">
        <f t="shared" ca="1" si="79"/>
        <v>10.455666956666471</v>
      </c>
      <c r="T186" s="470">
        <f t="shared" ca="1" si="79"/>
        <v>11.045806829908489</v>
      </c>
      <c r="U186" s="470">
        <f t="shared" ca="1" si="79"/>
        <v>10.576559049075865</v>
      </c>
      <c r="V186" s="470">
        <f t="shared" ca="1" si="79"/>
        <v>10.078977694286385</v>
      </c>
      <c r="W186" s="470">
        <f t="shared" ca="1" si="79"/>
        <v>10.658867344867817</v>
      </c>
      <c r="X186" s="470">
        <f t="shared" ca="1" si="79"/>
        <v>10.525390094017515</v>
      </c>
      <c r="Y186" s="470">
        <f t="shared" ca="1" si="79"/>
        <v>10.497873874380053</v>
      </c>
      <c r="Z186" s="470">
        <f t="shared" ca="1" si="79"/>
        <v>10.5163030509849</v>
      </c>
      <c r="AA186" s="470">
        <f t="shared" ca="1" si="79"/>
        <v>10.54613864003732</v>
      </c>
      <c r="AB186" s="470">
        <f t="shared" ca="1" si="79"/>
        <v>10.570760088644919</v>
      </c>
      <c r="AC186" s="470">
        <f t="shared" ca="1" si="79"/>
        <v>10.591233956978115</v>
      </c>
    </row>
    <row r="187" spans="2:29">
      <c r="B187" s="444" t="s">
        <v>664</v>
      </c>
      <c r="E187" s="470">
        <f>+E169/E162</f>
        <v>4.655729004473681</v>
      </c>
      <c r="F187" s="470">
        <f>+F169/F162</f>
        <v>4.7810588494872999</v>
      </c>
      <c r="G187" s="470">
        <f>+G169/G162</f>
        <v>5.1478564071391189</v>
      </c>
      <c r="H187" s="470">
        <f t="shared" ref="H187:AC187" si="80">+H169/H162</f>
        <v>4.1397352427481158</v>
      </c>
      <c r="I187" s="470">
        <f t="shared" si="80"/>
        <v>3.8917330967052939</v>
      </c>
      <c r="J187" s="470">
        <f t="shared" si="80"/>
        <v>4.5336015630324651</v>
      </c>
      <c r="K187" s="470">
        <f t="shared" si="80"/>
        <v>4.1538659713208954</v>
      </c>
      <c r="L187" s="470">
        <f t="shared" si="80"/>
        <v>3.7207832436557906</v>
      </c>
      <c r="M187" s="470">
        <f t="shared" si="80"/>
        <v>4.8510910089469643</v>
      </c>
      <c r="N187" s="470">
        <f t="shared" si="80"/>
        <v>4.8305903497315743</v>
      </c>
      <c r="O187" s="470">
        <f t="shared" si="80"/>
        <v>4.7999788084053847</v>
      </c>
      <c r="P187" s="470">
        <f t="shared" si="80"/>
        <v>6.3321873186335358</v>
      </c>
      <c r="Q187" s="470">
        <f t="shared" si="80"/>
        <v>5.8991793883798405</v>
      </c>
      <c r="R187" s="470">
        <f t="shared" ca="1" si="80"/>
        <v>5.2801475184045472</v>
      </c>
      <c r="S187" s="470">
        <f t="shared" ca="1" si="80"/>
        <v>4.9226444973033958</v>
      </c>
      <c r="T187" s="470">
        <f t="shared" ca="1" si="80"/>
        <v>5.2275640785399755</v>
      </c>
      <c r="U187" s="470">
        <f t="shared" ca="1" si="80"/>
        <v>4.9897814510777758</v>
      </c>
      <c r="V187" s="470">
        <f t="shared" ca="1" si="80"/>
        <v>4.6885174450762017</v>
      </c>
      <c r="W187" s="470">
        <f t="shared" ca="1" si="80"/>
        <v>4.949822899833519</v>
      </c>
      <c r="X187" s="470">
        <f t="shared" ca="1" si="80"/>
        <v>4.8659956542707699</v>
      </c>
      <c r="Y187" s="470">
        <f t="shared" ca="1" si="80"/>
        <v>4.8285767666204871</v>
      </c>
      <c r="Z187" s="470">
        <f t="shared" ca="1" si="80"/>
        <v>4.8140946846113835</v>
      </c>
      <c r="AA187" s="470">
        <f t="shared" ca="1" si="80"/>
        <v>4.8077548099278902</v>
      </c>
      <c r="AB187" s="470">
        <f t="shared" ca="1" si="80"/>
        <v>4.8015159207548281</v>
      </c>
      <c r="AC187" s="470">
        <f t="shared" ca="1" si="80"/>
        <v>4.7955632341598973</v>
      </c>
    </row>
    <row r="188" spans="2:29">
      <c r="E188" s="470"/>
      <c r="F188" s="470"/>
      <c r="G188" s="470"/>
      <c r="H188" s="470"/>
      <c r="I188" s="470"/>
      <c r="J188" s="470"/>
      <c r="K188" s="470"/>
      <c r="L188" s="470"/>
      <c r="M188" s="470"/>
      <c r="N188" s="470"/>
      <c r="O188" s="470"/>
      <c r="P188" s="470"/>
      <c r="Q188" s="470"/>
      <c r="R188" s="470"/>
      <c r="S188" s="470"/>
      <c r="T188" s="470"/>
      <c r="U188" s="470"/>
      <c r="V188" s="470"/>
      <c r="W188" s="470"/>
      <c r="X188" s="470"/>
      <c r="Y188" s="470"/>
      <c r="Z188" s="470"/>
      <c r="AA188" s="470"/>
      <c r="AB188" s="470"/>
      <c r="AC188" s="470"/>
    </row>
  </sheetData>
  <pageMargins left="0.3" right="0.3" top="0.3" bottom="0.3" header="0.3" footer="0.3"/>
  <pageSetup scale="59" fitToHeight="0" orientation="landscape" r:id="rId1"/>
  <headerFooter>
    <oddFooter>Page &amp;P of &amp;N</oddFooter>
  </headerFooter>
  <rowBreaks count="1" manualBreakCount="1">
    <brk id="139" min="1" max="28" man="1"/>
  </rowBreak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A8EB8-B3E3-488A-87A2-664AE093EE3F}">
  <sheetPr>
    <tabColor theme="7" tint="0.59999389629810485"/>
  </sheetPr>
  <dimension ref="A1:XFD220"/>
  <sheetViews>
    <sheetView view="pageBreakPreview" zoomScale="70" zoomScaleNormal="100" zoomScaleSheetLayoutView="70" workbookViewId="0">
      <pane xSplit="3" ySplit="7" topLeftCell="D153" activePane="bottomRight" state="frozen"/>
      <selection activeCell="J120" sqref="J120"/>
      <selection pane="topRight" activeCell="J120" sqref="J120"/>
      <selection pane="bottomLeft" activeCell="J120" sqref="J120"/>
      <selection pane="bottomRight" activeCell="J220" sqref="J220"/>
    </sheetView>
  </sheetViews>
  <sheetFormatPr defaultColWidth="9.140625" defaultRowHeight="11.25" customHeight="1" outlineLevelRow="1"/>
  <cols>
    <col min="1" max="1" width="2.7109375" style="2" customWidth="1"/>
    <col min="2" max="2" width="22.140625" style="2" customWidth="1"/>
    <col min="3" max="3" width="2.42578125" style="2" customWidth="1"/>
    <col min="4" max="21" width="8" style="2" customWidth="1"/>
    <col min="22" max="22" width="2.7109375" style="2" customWidth="1"/>
    <col min="23" max="23" width="9.5703125" style="2" bestFit="1" customWidth="1"/>
    <col min="24" max="16384" width="9.140625" style="2"/>
  </cols>
  <sheetData>
    <row r="1" spans="1:25" ht="11.25" customHeight="1">
      <c r="B1" s="125">
        <f ca="1">F115</f>
        <v>0.14307280182838442</v>
      </c>
      <c r="D1" s="27">
        <v>1000</v>
      </c>
      <c r="I1" s="90" t="s">
        <v>105</v>
      </c>
      <c r="J1" s="90" t="s">
        <v>42</v>
      </c>
      <c r="K1" s="90" t="s">
        <v>77</v>
      </c>
      <c r="L1" s="90" t="s">
        <v>106</v>
      </c>
      <c r="M1" s="90" t="s">
        <v>107</v>
      </c>
      <c r="N1" s="90" t="s">
        <v>109</v>
      </c>
    </row>
    <row r="2" spans="1:25" ht="11.25" customHeight="1">
      <c r="A2" s="2" t="s">
        <v>292</v>
      </c>
      <c r="B2" s="55" t="s">
        <v>114</v>
      </c>
      <c r="D2" s="3"/>
      <c r="E2" s="3"/>
      <c r="F2" s="3"/>
      <c r="G2" s="3"/>
      <c r="H2" s="3"/>
      <c r="I2" s="3"/>
      <c r="J2" s="3"/>
      <c r="K2" s="3"/>
      <c r="L2" s="3"/>
      <c r="M2" s="3"/>
      <c r="N2" s="3"/>
      <c r="O2" s="3"/>
      <c r="P2" s="3"/>
      <c r="Q2" s="3"/>
      <c r="R2" s="3"/>
      <c r="S2" s="3"/>
      <c r="U2" s="124">
        <f ca="1">TODAY()</f>
        <v>45796</v>
      </c>
      <c r="V2" s="3"/>
      <c r="W2"/>
      <c r="X2"/>
    </row>
    <row r="3" spans="1:25" ht="11.25" customHeight="1">
      <c r="A3" s="690" t="s">
        <v>985</v>
      </c>
      <c r="B3" s="5" t="str">
        <f>"Simple Model – Case "&amp;$A$3</f>
        <v>Simple Model – Case B (High)</v>
      </c>
    </row>
    <row r="4" spans="1:25" ht="11.25" customHeight="1">
      <c r="B4" s="7" t="s">
        <v>111</v>
      </c>
      <c r="C4" s="123"/>
      <c r="D4" s="123"/>
      <c r="E4" s="123"/>
      <c r="F4" s="123"/>
      <c r="G4" s="123"/>
      <c r="H4" s="235"/>
      <c r="I4" s="123"/>
      <c r="J4" s="123"/>
      <c r="K4" s="123"/>
      <c r="L4" s="123"/>
      <c r="M4" s="123"/>
      <c r="N4" s="123"/>
      <c r="O4" s="123"/>
      <c r="P4" s="123"/>
      <c r="Q4" s="123"/>
      <c r="R4" s="123"/>
      <c r="S4" s="123"/>
      <c r="T4" s="123"/>
      <c r="U4" s="565" t="s">
        <v>850</v>
      </c>
    </row>
    <row r="5" spans="1:25" ht="11.25" customHeight="1">
      <c r="B5" s="6"/>
      <c r="J5" s="58"/>
      <c r="K5" s="58"/>
      <c r="L5" s="58"/>
      <c r="M5" s="58"/>
      <c r="N5" s="58"/>
      <c r="O5" s="58"/>
      <c r="P5" s="58"/>
      <c r="Q5" s="58"/>
      <c r="R5" s="58"/>
      <c r="S5" s="58"/>
      <c r="T5" s="58"/>
      <c r="U5" s="58"/>
    </row>
    <row r="6" spans="1:25" ht="13.5" customHeight="1">
      <c r="B6" s="39"/>
      <c r="D6" s="22" t="s">
        <v>0</v>
      </c>
      <c r="E6" s="22"/>
      <c r="F6" s="22"/>
      <c r="G6" s="22"/>
      <c r="H6" s="22"/>
      <c r="I6" s="22"/>
      <c r="J6" s="22"/>
      <c r="K6" s="22"/>
      <c r="L6" s="22"/>
      <c r="M6" s="22"/>
      <c r="N6" s="22"/>
      <c r="O6" s="22"/>
      <c r="P6" s="22"/>
      <c r="Q6" s="22"/>
      <c r="R6" s="22"/>
      <c r="S6" s="22"/>
      <c r="T6" s="22"/>
      <c r="U6" s="22"/>
      <c r="W6" s="89" t="s">
        <v>445</v>
      </c>
      <c r="X6" s="87"/>
      <c r="Y6" s="566" t="s">
        <v>851</v>
      </c>
    </row>
    <row r="7" spans="1:25" ht="13.5" customHeight="1">
      <c r="B7" s="198"/>
      <c r="D7" s="8" t="s">
        <v>1</v>
      </c>
      <c r="E7" s="8" t="s">
        <v>2</v>
      </c>
      <c r="F7" s="8" t="s">
        <v>3</v>
      </c>
      <c r="G7" s="8" t="s">
        <v>4</v>
      </c>
      <c r="H7" s="8" t="s">
        <v>5</v>
      </c>
      <c r="I7" s="8" t="s">
        <v>68</v>
      </c>
      <c r="J7" s="8" t="s">
        <v>6</v>
      </c>
      <c r="K7" s="8" t="s">
        <v>22</v>
      </c>
      <c r="L7" s="8" t="s">
        <v>23</v>
      </c>
      <c r="M7" s="8" t="s">
        <v>24</v>
      </c>
      <c r="N7" s="8" t="s">
        <v>25</v>
      </c>
      <c r="O7" s="8" t="s">
        <v>26</v>
      </c>
      <c r="P7" s="8" t="s">
        <v>27</v>
      </c>
      <c r="Q7" s="8" t="s">
        <v>38</v>
      </c>
      <c r="R7" s="8" t="s">
        <v>39</v>
      </c>
      <c r="S7" s="8" t="s">
        <v>40</v>
      </c>
      <c r="T7" s="8" t="s">
        <v>41</v>
      </c>
      <c r="U7" s="8" t="s">
        <v>112</v>
      </c>
      <c r="V7" s="8"/>
      <c r="W7" s="156" t="s">
        <v>407</v>
      </c>
      <c r="X7" s="156" t="s">
        <v>446</v>
      </c>
      <c r="Y7" s="156" t="s">
        <v>852</v>
      </c>
    </row>
    <row r="8" spans="1:25" ht="13.5" customHeight="1">
      <c r="B8" s="186"/>
      <c r="D8" s="230"/>
      <c r="E8" s="230"/>
      <c r="F8" s="230"/>
      <c r="G8" s="230"/>
      <c r="H8" s="230"/>
      <c r="I8" s="230"/>
      <c r="J8" s="230"/>
      <c r="K8" s="230"/>
      <c r="L8" s="230"/>
      <c r="M8" s="230"/>
      <c r="N8" s="230"/>
      <c r="O8" s="230"/>
      <c r="P8" s="230"/>
      <c r="Q8" s="230"/>
      <c r="R8" s="230"/>
      <c r="S8" s="230"/>
      <c r="T8" s="230"/>
      <c r="U8" s="230"/>
      <c r="V8" s="8"/>
      <c r="W8" s="156"/>
      <c r="X8" s="88"/>
    </row>
    <row r="9" spans="1:25" ht="11.25" customHeight="1">
      <c r="B9" s="30" t="s">
        <v>242</v>
      </c>
      <c r="C9" s="18"/>
      <c r="D9" s="273">
        <f>('Historical Financials'!AX10/1000)*1000</f>
        <v>466.45228000000003</v>
      </c>
      <c r="E9" s="273">
        <f>('Historical Financials'!AY10/1000)*1000</f>
        <v>523.61286300000006</v>
      </c>
      <c r="F9" s="273">
        <f>('Historical Financials'!AZ10/1000)*1000</f>
        <v>645.30361300000004</v>
      </c>
      <c r="G9" s="273">
        <f>('Historical Financials'!BA10/1000)*1000</f>
        <v>695.09119099999998</v>
      </c>
      <c r="H9" s="273">
        <f>('Historical Financials'!BB10/1000)*1000</f>
        <v>888.87924999999996</v>
      </c>
      <c r="I9" s="273">
        <f>('Historical Financials'!BC10/1000)*1000</f>
        <v>814.91399999999999</v>
      </c>
      <c r="J9" s="273">
        <f ca="1">('Historical Financials'!BD10/1000)*1000</f>
        <v>998.38513517135789</v>
      </c>
      <c r="K9" s="231"/>
      <c r="L9" s="231"/>
      <c r="M9" s="231"/>
      <c r="N9" s="231"/>
      <c r="O9" s="231"/>
      <c r="P9" s="231"/>
      <c r="Q9" s="231"/>
      <c r="R9" s="231"/>
      <c r="S9" s="231"/>
      <c r="T9" s="231"/>
      <c r="U9" s="231"/>
      <c r="V9" s="8"/>
      <c r="W9" s="156"/>
      <c r="X9" s="88"/>
    </row>
    <row r="10" spans="1:25" ht="11.25" customHeight="1">
      <c r="B10" s="30" t="s">
        <v>241</v>
      </c>
      <c r="C10" s="18"/>
      <c r="D10" s="273">
        <f>('Historical Financials'!AX11/1000)*1000</f>
        <v>341.91019499999999</v>
      </c>
      <c r="E10" s="273">
        <f>('Historical Financials'!AY11/1000)*1000</f>
        <v>315.82231100000001</v>
      </c>
      <c r="F10" s="273">
        <f>('Historical Financials'!AZ11/1000)*1000</f>
        <v>439.80998399999999</v>
      </c>
      <c r="G10" s="273">
        <f>('Historical Financials'!BA11/1000)*1000</f>
        <v>587.78014399999995</v>
      </c>
      <c r="H10" s="273">
        <f>('Historical Financials'!BB11/1000)*1000</f>
        <v>932.38372900000002</v>
      </c>
      <c r="I10" s="273">
        <f>('Historical Financials'!BC11/1000)*1000</f>
        <v>934.76900000000001</v>
      </c>
      <c r="J10" s="273">
        <f>('Historical Financials'!BD11/1000)*1000</f>
        <v>1459.167782</v>
      </c>
      <c r="K10" s="231"/>
      <c r="L10" s="231"/>
      <c r="M10" s="231"/>
      <c r="N10" s="231"/>
      <c r="O10" s="231"/>
      <c r="P10" s="231"/>
      <c r="Q10" s="231"/>
      <c r="R10" s="231"/>
      <c r="S10" s="231"/>
      <c r="T10" s="231"/>
      <c r="U10" s="231"/>
      <c r="V10" s="8"/>
      <c r="W10" s="156"/>
      <c r="X10" s="88"/>
    </row>
    <row r="11" spans="1:25" ht="11.25" customHeight="1">
      <c r="B11" s="30" t="s">
        <v>323</v>
      </c>
      <c r="C11" s="18"/>
      <c r="D11" s="273">
        <f>(SUM('Historical Financials'!AX12:AX15)/1000)*1000</f>
        <v>223.11108200000001</v>
      </c>
      <c r="E11" s="273">
        <f>(SUM('Historical Financials'!AY12:AY15)/1000)*1000</f>
        <v>230.55027399999997</v>
      </c>
      <c r="F11" s="273">
        <f>(SUM('Historical Financials'!AZ12:AZ15)/1000)*1000</f>
        <v>254.14121399999999</v>
      </c>
      <c r="G11" s="273">
        <f>(SUM('Historical Financials'!BA12:BA15)/1000)*1000</f>
        <v>304.543702</v>
      </c>
      <c r="H11" s="273">
        <f>(SUM('Historical Financials'!BB12:BB15)/1000)*1000</f>
        <v>442.62831299999999</v>
      </c>
      <c r="I11" s="273">
        <f>(SUM('Historical Financials'!BC12:BC15)/1000)*1000</f>
        <v>412.053</v>
      </c>
      <c r="J11" s="273">
        <f>(SUM('Historical Financials'!BD12:BD15)/1000)*1000</f>
        <v>429.43726900000001</v>
      </c>
      <c r="K11" s="234"/>
      <c r="L11" s="234"/>
      <c r="M11" s="234"/>
      <c r="N11" s="234"/>
      <c r="O11" s="234"/>
      <c r="P11" s="234"/>
      <c r="Q11" s="234"/>
      <c r="R11" s="234"/>
      <c r="S11" s="234"/>
      <c r="T11" s="234"/>
      <c r="U11" s="234"/>
      <c r="V11" s="8"/>
      <c r="W11" s="156"/>
      <c r="X11" s="88"/>
    </row>
    <row r="12" spans="1:25" s="5" customFormat="1" ht="11.25" customHeight="1">
      <c r="B12" s="182" t="s">
        <v>132</v>
      </c>
      <c r="C12" s="147"/>
      <c r="D12" s="150">
        <f>SUM(D9:D11)</f>
        <v>1031.473557</v>
      </c>
      <c r="E12" s="150">
        <f t="shared" ref="E12:I12" si="0">SUM(E9:E11)</f>
        <v>1069.9854480000001</v>
      </c>
      <c r="F12" s="150">
        <f t="shared" si="0"/>
        <v>1339.254811</v>
      </c>
      <c r="G12" s="150">
        <f t="shared" si="0"/>
        <v>1587.4150369999998</v>
      </c>
      <c r="H12" s="150">
        <f t="shared" si="0"/>
        <v>2263.8912920000002</v>
      </c>
      <c r="I12" s="150">
        <f t="shared" si="0"/>
        <v>2161.7359999999999</v>
      </c>
      <c r="J12" s="150">
        <f ca="1">SUM(J9:J11)</f>
        <v>2886.9901861713579</v>
      </c>
      <c r="K12" s="149">
        <f ca="1">K137</f>
        <v>3553.2848535556295</v>
      </c>
      <c r="L12" s="149">
        <f t="shared" ref="L12:U12" ca="1" si="1">L137</f>
        <v>4264.3958628665014</v>
      </c>
      <c r="M12" s="149">
        <f t="shared" ca="1" si="1"/>
        <v>4984.3446391750967</v>
      </c>
      <c r="N12" s="149">
        <f t="shared" ca="1" si="1"/>
        <v>5746.309217700521</v>
      </c>
      <c r="O12" s="149">
        <f t="shared" ca="1" si="1"/>
        <v>6746.1791755998593</v>
      </c>
      <c r="P12" s="149">
        <f t="shared" ca="1" si="1"/>
        <v>7784.8006778936351</v>
      </c>
      <c r="Q12" s="149">
        <f t="shared" ca="1" si="1"/>
        <v>8760.0106907326408</v>
      </c>
      <c r="R12" s="149">
        <f t="shared" ca="1" si="1"/>
        <v>9612.8773566825184</v>
      </c>
      <c r="S12" s="149">
        <f t="shared" ca="1" si="1"/>
        <v>10290.643427846075</v>
      </c>
      <c r="T12" s="149">
        <f t="shared" ca="1" si="1"/>
        <v>10758.112412765513</v>
      </c>
      <c r="U12" s="149">
        <f t="shared" ca="1" si="1"/>
        <v>10998.099623966664</v>
      </c>
      <c r="V12" s="44"/>
    </row>
    <row r="13" spans="1:25" ht="11.25" customHeight="1">
      <c r="B13" s="41" t="s">
        <v>249</v>
      </c>
      <c r="D13" s="140">
        <f>'Historical Financials'!AX17</f>
        <v>5.5273131944750142E-2</v>
      </c>
      <c r="E13" s="34">
        <f t="shared" ref="E13:I13" si="2">IFERROR(E12/D12-1,"n/a")</f>
        <v>3.7336770039951839E-2</v>
      </c>
      <c r="F13" s="34">
        <f t="shared" si="2"/>
        <v>0.25165703281601992</v>
      </c>
      <c r="G13" s="34">
        <f t="shared" si="2"/>
        <v>0.18529724437928463</v>
      </c>
      <c r="H13" s="34">
        <f t="shared" si="2"/>
        <v>0.42614958232879618</v>
      </c>
      <c r="I13" s="34">
        <f t="shared" si="2"/>
        <v>-4.5123762064455342E-2</v>
      </c>
      <c r="J13" s="34">
        <f ca="1">IFERROR(J12/I12-1,"n/a")</f>
        <v>0.33549618740279019</v>
      </c>
      <c r="K13" s="34">
        <f t="shared" ref="K13:U13" ca="1" si="3">IFERROR(K12/J12-1,"n/a")</f>
        <v>0.23079214836815654</v>
      </c>
      <c r="L13" s="34">
        <f t="shared" ca="1" si="3"/>
        <v>0.20012777996092601</v>
      </c>
      <c r="M13" s="34">
        <f t="shared" ca="1" si="3"/>
        <v>0.16882784794389383</v>
      </c>
      <c r="N13" s="34">
        <f t="shared" ca="1" si="3"/>
        <v>0.15287156761526188</v>
      </c>
      <c r="O13" s="34">
        <f t="shared" ca="1" si="3"/>
        <v>0.17400211510014296</v>
      </c>
      <c r="P13" s="34">
        <f t="shared" ca="1" si="3"/>
        <v>0.15395699925230977</v>
      </c>
      <c r="Q13" s="34">
        <f t="shared" ca="1" si="3"/>
        <v>0.12527103174372756</v>
      </c>
      <c r="R13" s="34">
        <f t="shared" ca="1" si="3"/>
        <v>9.735908962441564E-2</v>
      </c>
      <c r="S13" s="34">
        <f t="shared" ca="1" si="3"/>
        <v>7.0506056200997813E-2</v>
      </c>
      <c r="T13" s="34">
        <f t="shared" ca="1" si="3"/>
        <v>4.5426604098873558E-2</v>
      </c>
      <c r="U13" s="34">
        <f t="shared" ca="1" si="3"/>
        <v>2.2307557496460406E-2</v>
      </c>
      <c r="V13" s="47"/>
      <c r="W13" s="202">
        <f ca="1">(J12/D12)^(1/6)-1</f>
        <v>0.18712887362560804</v>
      </c>
      <c r="X13" s="202">
        <f ca="1">(U12/J12)^(1/11)-1</f>
        <v>0.1292928449663151</v>
      </c>
      <c r="Y13" s="271"/>
    </row>
    <row r="14" spans="1:25" ht="11.25" customHeight="1">
      <c r="B14" s="41" t="s">
        <v>332</v>
      </c>
      <c r="D14" s="140">
        <f>'Historical Financials'!AX19</f>
        <v>6.5088757396449815E-2</v>
      </c>
      <c r="E14" s="140">
        <f>'Historical Financials'!AY19</f>
        <v>1.2573099415204668E-2</v>
      </c>
      <c r="F14" s="140">
        <f>'Historical Financials'!AZ19</f>
        <v>0.31417845798440641</v>
      </c>
      <c r="G14" s="140">
        <f>'Historical Financials'!BA19</f>
        <v>0.2485168094924193</v>
      </c>
      <c r="H14" s="140">
        <f>'Historical Financials'!BB19</f>
        <v>0.33544526575149586</v>
      </c>
      <c r="I14" s="140">
        <f>'Historical Financials'!BC19</f>
        <v>-8.6715867158671564E-2</v>
      </c>
      <c r="J14" s="140">
        <f ca="1">'Historical Financials'!BD19</f>
        <v>0.29527961611876108</v>
      </c>
      <c r="K14" s="34">
        <f ca="1">K13+K15</f>
        <v>0.21494543393749632</v>
      </c>
      <c r="L14" s="34">
        <f t="shared" ref="L14:U14" ca="1" si="4">L13+L15</f>
        <v>0.20012777996092601</v>
      </c>
      <c r="M14" s="34">
        <f t="shared" ca="1" si="4"/>
        <v>0.16882784794389383</v>
      </c>
      <c r="N14" s="34">
        <f t="shared" ca="1" si="4"/>
        <v>0.15287156761526188</v>
      </c>
      <c r="O14" s="34">
        <f t="shared" ca="1" si="4"/>
        <v>0.17400211510014296</v>
      </c>
      <c r="P14" s="34">
        <f t="shared" ca="1" si="4"/>
        <v>0.15395699925230977</v>
      </c>
      <c r="Q14" s="34">
        <f t="shared" ca="1" si="4"/>
        <v>0.12527103174372756</v>
      </c>
      <c r="R14" s="34">
        <f t="shared" ca="1" si="4"/>
        <v>9.735908962441564E-2</v>
      </c>
      <c r="S14" s="34">
        <f t="shared" ca="1" si="4"/>
        <v>7.0506056200997813E-2</v>
      </c>
      <c r="T14" s="34">
        <f t="shared" ca="1" si="4"/>
        <v>4.5426604098873558E-2</v>
      </c>
      <c r="U14" s="34">
        <f t="shared" ca="1" si="4"/>
        <v>2.2307557496460406E-2</v>
      </c>
      <c r="V14" s="47"/>
      <c r="W14" s="202"/>
      <c r="X14" s="202"/>
    </row>
    <row r="15" spans="1:25" ht="11.25" hidden="1" customHeight="1" outlineLevel="1">
      <c r="B15" s="539" t="s">
        <v>777</v>
      </c>
      <c r="D15" s="140">
        <f>FX!AX15/FX!AW15-1</f>
        <v>9.1220335725639146E-3</v>
      </c>
      <c r="E15" s="140">
        <f>FX!AY15/FX!AX15-1</f>
        <v>-2.4296342932516035E-2</v>
      </c>
      <c r="F15" s="140">
        <f>FX!AZ15/FX!AY15-1</f>
        <v>4.8981893089085071E-2</v>
      </c>
      <c r="G15" s="140">
        <f>FX!BA15/FX!AZ15-1</f>
        <v>5.4218743861880192E-2</v>
      </c>
      <c r="H15" s="140">
        <f>FX!BB15/FX!BA15-1</f>
        <v>-6.2374057290440987E-2</v>
      </c>
      <c r="I15" s="140">
        <f>FX!BC15/FX!BB15-1</f>
        <v>-4.3652633641973693E-2</v>
      </c>
      <c r="J15" s="140">
        <f>FX!BD15/FX!BC15-1</f>
        <v>-3.0035397447024548E-2</v>
      </c>
      <c r="K15" s="140">
        <f>FX!BE15/FX!BD15-1</f>
        <v>-1.5846714430660214E-2</v>
      </c>
      <c r="L15" s="140">
        <f>FX!BF15/FX!BE15-1</f>
        <v>0</v>
      </c>
      <c r="M15" s="140">
        <f>FX!BG15/FX!BF15-1</f>
        <v>0</v>
      </c>
      <c r="N15" s="140">
        <f>FX!BH15/FX!BG15-1</f>
        <v>0</v>
      </c>
      <c r="O15" s="140">
        <f>FX!BI15/FX!BH15-1</f>
        <v>0</v>
      </c>
      <c r="P15" s="140">
        <f>FX!BJ15/FX!BI15-1</f>
        <v>0</v>
      </c>
      <c r="Q15" s="140">
        <f>FX!BK15/FX!BJ15-1</f>
        <v>0</v>
      </c>
      <c r="R15" s="140">
        <f>FX!BL15/FX!BK15-1</f>
        <v>0</v>
      </c>
      <c r="S15" s="140">
        <f>FX!BM15/FX!BL15-1</f>
        <v>0</v>
      </c>
      <c r="T15" s="140">
        <f>FX!BN15/FX!BM15-1</f>
        <v>0</v>
      </c>
      <c r="U15" s="140">
        <f>FX!BO15/FX!BN15-1</f>
        <v>0</v>
      </c>
      <c r="V15" s="47"/>
      <c r="W15" s="202"/>
      <c r="X15" s="202"/>
    </row>
    <row r="16" spans="1:25" ht="11.25" customHeight="1" collapsed="1">
      <c r="A16" s="2" t="s">
        <v>293</v>
      </c>
      <c r="B16" s="36" t="s">
        <v>64</v>
      </c>
      <c r="D16" s="43"/>
      <c r="E16" s="34"/>
      <c r="F16" s="34"/>
      <c r="G16" s="34"/>
      <c r="H16" s="34"/>
      <c r="I16" s="95"/>
      <c r="J16" s="95">
        <f>_xll.VAData($A$2,J$1,$A16, "vaactuals.consensus", "CD", "IMPL","","")/1000</f>
        <v>2894.3077000000003</v>
      </c>
      <c r="K16" s="95">
        <f>_xll.VAData($A$2,K$1,$A16, "vaactuals.consensus", "CD", "IMPL","","")/1000</f>
        <v>3670.0190106823843</v>
      </c>
      <c r="L16" s="95">
        <f>_xll.VAData($A$2,L$1,$A16, "vaactuals.consensus", "CD", "IMPL","","")/1000</f>
        <v>4276.1701939550476</v>
      </c>
      <c r="M16" s="95"/>
      <c r="N16" s="95"/>
      <c r="O16" s="34"/>
      <c r="P16" s="34"/>
      <c r="Q16" s="34"/>
      <c r="R16" s="34"/>
      <c r="S16" s="34"/>
      <c r="T16" s="119"/>
      <c r="U16" s="119"/>
      <c r="V16" s="47"/>
      <c r="W16" s="58"/>
    </row>
    <row r="17" spans="1:25" ht="11.25" customHeight="1">
      <c r="B17" s="9"/>
      <c r="E17" s="43"/>
      <c r="F17" s="43"/>
      <c r="G17" s="43"/>
      <c r="H17" s="43"/>
      <c r="I17" s="43"/>
      <c r="J17" s="43"/>
      <c r="K17" s="43"/>
      <c r="L17" s="43"/>
      <c r="M17" s="43"/>
      <c r="N17" s="43"/>
      <c r="O17" s="43"/>
      <c r="P17" s="43"/>
      <c r="Q17" s="43"/>
      <c r="R17" s="43"/>
      <c r="S17" s="43"/>
      <c r="T17" s="43"/>
      <c r="U17" s="43"/>
      <c r="V17" s="43"/>
    </row>
    <row r="18" spans="1:25" ht="11.25" hidden="1" customHeight="1" outlineLevel="1">
      <c r="B18" s="13" t="s">
        <v>122</v>
      </c>
      <c r="D18" s="19">
        <f>D12-D19</f>
        <v>533.6</v>
      </c>
      <c r="E18" s="19">
        <f t="shared" ref="E18:U18" si="5">E12-E19</f>
        <v>577.28300000000002</v>
      </c>
      <c r="F18" s="19">
        <f t="shared" si="5"/>
        <v>628.125</v>
      </c>
      <c r="G18" s="19">
        <f t="shared" si="5"/>
        <v>767.87800000000004</v>
      </c>
      <c r="H18" s="19">
        <f t="shared" si="5"/>
        <v>915.53600000000006</v>
      </c>
      <c r="I18" s="19">
        <f t="shared" si="5"/>
        <v>986.625</v>
      </c>
      <c r="J18" s="19">
        <f t="shared" ca="1" si="5"/>
        <v>1275.5513994319699</v>
      </c>
      <c r="K18" s="19">
        <f t="shared" ca="1" si="5"/>
        <v>1566.2480379169324</v>
      </c>
      <c r="L18" s="19">
        <f t="shared" ca="1" si="5"/>
        <v>1883.6258163810567</v>
      </c>
      <c r="M18" s="19">
        <f t="shared" ca="1" si="5"/>
        <v>2206.2255068851819</v>
      </c>
      <c r="N18" s="19">
        <f t="shared" ca="1" si="5"/>
        <v>2548.7877198017127</v>
      </c>
      <c r="O18" s="19">
        <f t="shared" ca="1" si="5"/>
        <v>2928.1934718202829</v>
      </c>
      <c r="P18" s="19">
        <f t="shared" ca="1" si="5"/>
        <v>3305.0537455319472</v>
      </c>
      <c r="Q18" s="19">
        <f t="shared" ca="1" si="5"/>
        <v>3635.8611366412451</v>
      </c>
      <c r="R18" s="19">
        <f t="shared" ca="1" si="5"/>
        <v>3898.5229320169447</v>
      </c>
      <c r="S18" s="19">
        <f t="shared" ca="1" si="5"/>
        <v>4075.6312963980736</v>
      </c>
      <c r="T18" s="19">
        <f t="shared" ca="1" si="5"/>
        <v>4158.5713178312544</v>
      </c>
      <c r="U18" s="19">
        <f t="shared" ca="1" si="5"/>
        <v>4146.8569401792238</v>
      </c>
      <c r="V18" s="43"/>
    </row>
    <row r="19" spans="1:25" s="5" customFormat="1" ht="11.25" customHeight="1" collapsed="1">
      <c r="A19" s="2"/>
      <c r="B19" s="182" t="s">
        <v>137</v>
      </c>
      <c r="C19" s="147"/>
      <c r="D19" s="148">
        <f>('Historical Financials'!AX29/1000)*1000</f>
        <v>497.87355700000001</v>
      </c>
      <c r="E19" s="148">
        <f>('Historical Financials'!AY29/1000)*1000</f>
        <v>492.70244800000012</v>
      </c>
      <c r="F19" s="148">
        <f>('Historical Financials'!AZ29/1000)*1000</f>
        <v>711.12981100000002</v>
      </c>
      <c r="G19" s="148">
        <f>('Historical Financials'!BA29/1000)*1000</f>
        <v>819.53703699999971</v>
      </c>
      <c r="H19" s="148">
        <f>('Historical Financials'!BB29/1000)*1000</f>
        <v>1348.3552920000002</v>
      </c>
      <c r="I19" s="148">
        <f>('Historical Financials'!BC29/1000)*1000</f>
        <v>1175.1109999999999</v>
      </c>
      <c r="J19" s="148">
        <f ca="1">('Historical Financials'!BD29/1000)*1000</f>
        <v>1611.438786739388</v>
      </c>
      <c r="K19" s="149">
        <f ca="1">K29+K25</f>
        <v>1987.0368156386971</v>
      </c>
      <c r="L19" s="149">
        <f t="shared" ref="L19:U19" ca="1" si="6">L29+L25</f>
        <v>2380.7700464854447</v>
      </c>
      <c r="M19" s="149">
        <f t="shared" ca="1" si="6"/>
        <v>2778.1191322899149</v>
      </c>
      <c r="N19" s="149">
        <f t="shared" ca="1" si="6"/>
        <v>3197.5214978988083</v>
      </c>
      <c r="O19" s="149">
        <f t="shared" ca="1" si="6"/>
        <v>3817.9857037795764</v>
      </c>
      <c r="P19" s="149">
        <f t="shared" ca="1" si="6"/>
        <v>4479.7469323616879</v>
      </c>
      <c r="Q19" s="149">
        <f t="shared" ca="1" si="6"/>
        <v>5124.1495540913957</v>
      </c>
      <c r="R19" s="149">
        <f t="shared" ca="1" si="6"/>
        <v>5714.3544246655738</v>
      </c>
      <c r="S19" s="149">
        <f t="shared" ca="1" si="6"/>
        <v>6215.0121314480011</v>
      </c>
      <c r="T19" s="149">
        <f t="shared" ca="1" si="6"/>
        <v>6599.5410949342586</v>
      </c>
      <c r="U19" s="149">
        <f t="shared" ca="1" si="6"/>
        <v>6851.24268378744</v>
      </c>
      <c r="V19" s="44"/>
      <c r="W19" s="113"/>
      <c r="X19" s="112"/>
    </row>
    <row r="20" spans="1:25" s="18" customFormat="1" ht="11.25" customHeight="1">
      <c r="B20" s="36" t="s">
        <v>249</v>
      </c>
      <c r="D20" s="274">
        <f>'Historical Financials'!AX30</f>
        <v>6.1588457356729354E-3</v>
      </c>
      <c r="E20" s="211">
        <f>IF(AND(E19&gt;0,D19&gt;0),E19/D19-1,"n/m")</f>
        <v>-1.0386390133187762E-2</v>
      </c>
      <c r="F20" s="211">
        <f t="shared" ref="F20:U20" si="7">IF(AND(F19&gt;0,E19&gt;0),F19/E19-1,"n/m")</f>
        <v>0.44332510196904851</v>
      </c>
      <c r="G20" s="211">
        <f t="shared" si="7"/>
        <v>0.1524436527946369</v>
      </c>
      <c r="H20" s="211">
        <f t="shared" si="7"/>
        <v>0.64526462029805809</v>
      </c>
      <c r="I20" s="211">
        <f t="shared" si="7"/>
        <v>-0.12848563952534275</v>
      </c>
      <c r="J20" s="211">
        <f t="shared" ca="1" si="7"/>
        <v>0.37130772049567073</v>
      </c>
      <c r="K20" s="211">
        <f t="shared" ca="1" si="7"/>
        <v>0.23308240560555227</v>
      </c>
      <c r="L20" s="211">
        <f t="shared" ca="1" si="7"/>
        <v>0.19815094906542496</v>
      </c>
      <c r="M20" s="211">
        <f t="shared" ca="1" si="7"/>
        <v>0.16689939727318359</v>
      </c>
      <c r="N20" s="211">
        <f t="shared" ca="1" si="7"/>
        <v>0.15096629972926801</v>
      </c>
      <c r="O20" s="211">
        <f t="shared" ca="1" si="7"/>
        <v>0.19404535865935357</v>
      </c>
      <c r="P20" s="211">
        <f t="shared" ca="1" si="7"/>
        <v>0.17332731967199555</v>
      </c>
      <c r="Q20" s="211">
        <f t="shared" ca="1" si="7"/>
        <v>0.14384799665234294</v>
      </c>
      <c r="R20" s="211">
        <f t="shared" ca="1" si="7"/>
        <v>0.11518103918394162</v>
      </c>
      <c r="S20" s="211">
        <f t="shared" ca="1" si="7"/>
        <v>8.7614045187917711E-2</v>
      </c>
      <c r="T20" s="211">
        <f t="shared" ca="1" si="7"/>
        <v>6.187099161730325E-2</v>
      </c>
      <c r="U20" s="211">
        <f t="shared" ca="1" si="7"/>
        <v>3.813925623501091E-2</v>
      </c>
      <c r="V20" s="67"/>
      <c r="W20" s="54"/>
      <c r="X20" s="54"/>
    </row>
    <row r="21" spans="1:25" s="18" customFormat="1" ht="11.25" customHeight="1">
      <c r="B21" s="36" t="s">
        <v>17</v>
      </c>
      <c r="D21" s="120">
        <f>IFERROR(D19/D12,"n/a")</f>
        <v>0.48268184251668605</v>
      </c>
      <c r="E21" s="120">
        <f t="shared" ref="E21:U21" si="8">IFERROR(E19/E12,"n/a")</f>
        <v>0.46047584004151809</v>
      </c>
      <c r="F21" s="120">
        <f t="shared" si="8"/>
        <v>0.5309891778316711</v>
      </c>
      <c r="G21" s="120">
        <f t="shared" si="8"/>
        <v>0.51627143368177619</v>
      </c>
      <c r="H21" s="120">
        <f t="shared" si="8"/>
        <v>0.59559188940066832</v>
      </c>
      <c r="I21" s="120">
        <f t="shared" si="8"/>
        <v>0.54359598026771072</v>
      </c>
      <c r="J21" s="120">
        <f t="shared" ca="1" si="8"/>
        <v>0.5581725890368997</v>
      </c>
      <c r="K21" s="120">
        <f t="shared" ca="1" si="8"/>
        <v>0.55921123623127178</v>
      </c>
      <c r="L21" s="120">
        <f t="shared" ca="1" si="8"/>
        <v>0.55829011260814454</v>
      </c>
      <c r="M21" s="120">
        <f t="shared" ca="1" si="8"/>
        <v>0.55736898898501741</v>
      </c>
      <c r="N21" s="120">
        <f t="shared" ca="1" si="8"/>
        <v>0.55644786536189028</v>
      </c>
      <c r="O21" s="120">
        <f t="shared" ca="1" si="8"/>
        <v>0.56594786536189012</v>
      </c>
      <c r="P21" s="120">
        <f t="shared" ca="1" si="8"/>
        <v>0.57544786536189019</v>
      </c>
      <c r="Q21" s="120">
        <f t="shared" ca="1" si="8"/>
        <v>0.58494786536189025</v>
      </c>
      <c r="R21" s="120">
        <f t="shared" ca="1" si="8"/>
        <v>0.59444786536189032</v>
      </c>
      <c r="S21" s="120">
        <f t="shared" ca="1" si="8"/>
        <v>0.60394786536189016</v>
      </c>
      <c r="T21" s="120">
        <f t="shared" ca="1" si="8"/>
        <v>0.61344786536189022</v>
      </c>
      <c r="U21" s="120">
        <f t="shared" ca="1" si="8"/>
        <v>0.62294786536189017</v>
      </c>
      <c r="V21" s="67"/>
      <c r="W21" s="54"/>
      <c r="X21" s="54"/>
    </row>
    <row r="22" spans="1:25" s="18" customFormat="1" ht="11.25" customHeight="1">
      <c r="B22" s="187" t="s">
        <v>295</v>
      </c>
      <c r="D22" s="120"/>
      <c r="E22" s="120">
        <f>IF(E12&gt;D12,(E19-D19)/(E12-D12),"n/a")</f>
        <v>-0.1342730482904585</v>
      </c>
      <c r="F22" s="120">
        <f t="shared" ref="F22:U22" si="9">IF(F12&gt;E12,(F19-E19)/(F12-E12),"n/a")</f>
        <v>0.81118535197039843</v>
      </c>
      <c r="G22" s="120">
        <f t="shared" si="9"/>
        <v>0.43684367856757111</v>
      </c>
      <c r="H22" s="120">
        <f t="shared" si="9"/>
        <v>0.78172478500372511</v>
      </c>
      <c r="I22" s="120" t="str">
        <f t="shared" si="9"/>
        <v>n/a</v>
      </c>
      <c r="J22" s="120">
        <f t="shared" ca="1" si="9"/>
        <v>0.60162050086574148</v>
      </c>
      <c r="K22" s="120">
        <f t="shared" ca="1" si="9"/>
        <v>0.56371159381152725</v>
      </c>
      <c r="L22" s="120">
        <f t="shared" ca="1" si="9"/>
        <v>0.55368743514224195</v>
      </c>
      <c r="M22" s="120">
        <f t="shared" ca="1" si="9"/>
        <v>0.5519129955908868</v>
      </c>
      <c r="N22" s="120">
        <f t="shared" ca="1" si="9"/>
        <v>0.55042239157695882</v>
      </c>
      <c r="O22" s="120">
        <f t="shared" ca="1" si="9"/>
        <v>0.62054490284348873</v>
      </c>
      <c r="P22" s="120">
        <f t="shared" ca="1" si="9"/>
        <v>0.63715340681915822</v>
      </c>
      <c r="Q22" s="120">
        <f t="shared" ca="1" si="9"/>
        <v>0.66078343458937616</v>
      </c>
      <c r="R22" s="120">
        <f t="shared" ca="1" si="9"/>
        <v>0.69202478433934245</v>
      </c>
      <c r="S22" s="120">
        <f t="shared" ca="1" si="9"/>
        <v>0.73868806374878315</v>
      </c>
      <c r="T22" s="120">
        <f t="shared" ca="1" si="9"/>
        <v>0.82257641873829468</v>
      </c>
      <c r="U22" s="120">
        <f t="shared" ca="1" si="9"/>
        <v>1.0488125079390667</v>
      </c>
      <c r="W22" s="118">
        <f ca="1">(J19-D19)/(J12-D12)</f>
        <v>0.60013756397143547</v>
      </c>
      <c r="X22" s="118">
        <f ca="1">(U19-J19)/(U12-J12)</f>
        <v>0.64600335345398718</v>
      </c>
    </row>
    <row r="23" spans="1:25" s="18" customFormat="1" ht="11.25" customHeight="1">
      <c r="A23" s="18" t="s">
        <v>294</v>
      </c>
      <c r="B23" s="36" t="s">
        <v>64</v>
      </c>
      <c r="E23" s="67"/>
      <c r="F23" s="67"/>
      <c r="G23" s="67"/>
      <c r="H23" s="67"/>
      <c r="I23" s="144"/>
      <c r="J23" s="144">
        <f>_xll.VAData($A$2,J$1,$A23, "vaactuals.consensus", "CD", "IMPL","","")/1000</f>
        <v>1624.353564</v>
      </c>
      <c r="K23" s="144">
        <f>_xll.VAData($A$2,K$1,$A23, "vaactuals.consensus", "CD", "IMPL","","")/1000</f>
        <v>2130.4106971538022</v>
      </c>
      <c r="L23" s="144">
        <f>_xll.VAData($A$2,L$1,$A23, "vaactuals.consensus", "CD", "IMPL","","")/1000</f>
        <v>2441.8575743305523</v>
      </c>
      <c r="M23" s="144"/>
      <c r="N23" s="144"/>
      <c r="O23" s="136"/>
      <c r="P23" s="136"/>
      <c r="Q23" s="136"/>
      <c r="R23" s="136"/>
      <c r="S23" s="136"/>
      <c r="T23" s="142"/>
      <c r="U23" s="142"/>
      <c r="W23" s="143"/>
      <c r="X23" s="143"/>
    </row>
    <row r="24" spans="1:25" s="18" customFormat="1" ht="11.25" customHeight="1">
      <c r="B24" s="35"/>
      <c r="E24" s="67"/>
      <c r="F24" s="67"/>
      <c r="G24" s="67"/>
      <c r="H24" s="67"/>
      <c r="I24" s="144"/>
      <c r="J24" s="144"/>
      <c r="K24" s="144"/>
      <c r="L24" s="144"/>
      <c r="M24" s="144"/>
      <c r="N24" s="144"/>
      <c r="O24" s="136"/>
      <c r="P24" s="136"/>
      <c r="Q24" s="136"/>
      <c r="R24" s="136"/>
      <c r="S24" s="136"/>
      <c r="T24" s="142"/>
      <c r="U24" s="142"/>
      <c r="W24" s="143"/>
      <c r="X24" s="143"/>
    </row>
    <row r="25" spans="1:25" ht="11.25" customHeight="1">
      <c r="B25" s="13" t="s">
        <v>123</v>
      </c>
      <c r="D25" s="19">
        <f>D19-D29</f>
        <v>114.25</v>
      </c>
      <c r="E25" s="19">
        <f t="shared" ref="E25:I25" si="10">E19-E29</f>
        <v>120.00099999999998</v>
      </c>
      <c r="F25" s="19">
        <f t="shared" si="10"/>
        <v>144.346</v>
      </c>
      <c r="G25" s="19">
        <f t="shared" si="10"/>
        <v>169.55600000000004</v>
      </c>
      <c r="H25" s="19">
        <f t="shared" si="10"/>
        <v>227.07600000000002</v>
      </c>
      <c r="I25" s="19">
        <f t="shared" si="10"/>
        <v>253.64499999999998</v>
      </c>
      <c r="J25" s="19">
        <f ca="1">J19-J29</f>
        <v>306.05509985799245</v>
      </c>
      <c r="K25" s="19">
        <f ca="1">K12*K27</f>
        <v>373.09490962334121</v>
      </c>
      <c r="L25" s="19">
        <f t="shared" ref="L25:U25" ca="1" si="11">L12*L27</f>
        <v>445.62936766954948</v>
      </c>
      <c r="M25" s="19">
        <f ca="1">M12*M27</f>
        <v>518.37184247421021</v>
      </c>
      <c r="N25" s="19">
        <f t="shared" ca="1" si="11"/>
        <v>594.74300403200402</v>
      </c>
      <c r="O25" s="19">
        <f t="shared" ca="1" si="11"/>
        <v>694.85645508678567</v>
      </c>
      <c r="P25" s="19">
        <f t="shared" ca="1" si="11"/>
        <v>797.94206948409771</v>
      </c>
      <c r="Q25" s="19">
        <f t="shared" ca="1" si="11"/>
        <v>893.52109045472957</v>
      </c>
      <c r="R25" s="19">
        <f t="shared" ca="1" si="11"/>
        <v>975.70705170327585</v>
      </c>
      <c r="S25" s="19">
        <f t="shared" ca="1" si="11"/>
        <v>1039.3549862124537</v>
      </c>
      <c r="T25" s="19">
        <f t="shared" ca="1" si="11"/>
        <v>1081.1902974829343</v>
      </c>
      <c r="U25" s="19">
        <f t="shared" ca="1" si="11"/>
        <v>1099.8099623966664</v>
      </c>
      <c r="V25" s="43"/>
    </row>
    <row r="26" spans="1:25" ht="11.25" customHeight="1">
      <c r="B26" s="35" t="s">
        <v>249</v>
      </c>
      <c r="D26" s="274">
        <f>+'Historical Financials'!AX42</f>
        <v>4.5603887724564585E-2</v>
      </c>
      <c r="E26" s="211">
        <f>IF(AND(E25&gt;0,D25&gt;0),E25/D25-1,"n/m")</f>
        <v>5.0336980306345591E-2</v>
      </c>
      <c r="F26" s="211">
        <f t="shared" ref="F26:U26" si="12">IF(AND(F25&gt;0,E25&gt;0),F25/E25-1,"n/m")</f>
        <v>0.20287330938908865</v>
      </c>
      <c r="G26" s="211">
        <f t="shared" si="12"/>
        <v>0.17464979978662409</v>
      </c>
      <c r="H26" s="211">
        <f t="shared" si="12"/>
        <v>0.33923895350208766</v>
      </c>
      <c r="I26" s="211">
        <f t="shared" si="12"/>
        <v>0.11700487942362892</v>
      </c>
      <c r="J26" s="211">
        <f t="shared" ca="1" si="12"/>
        <v>0.20662776659501447</v>
      </c>
      <c r="K26" s="211">
        <f t="shared" ca="1" si="12"/>
        <v>0.21904490334078663</v>
      </c>
      <c r="L26" s="211">
        <f t="shared" ca="1" si="12"/>
        <v>0.19441288577063576</v>
      </c>
      <c r="M26" s="211">
        <f t="shared" ca="1" si="12"/>
        <v>0.16323537020253553</v>
      </c>
      <c r="N26" s="211">
        <f t="shared" ca="1" si="12"/>
        <v>0.14732891584788077</v>
      </c>
      <c r="O26" s="211">
        <f t="shared" ca="1" si="12"/>
        <v>0.16833060729772686</v>
      </c>
      <c r="P26" s="211">
        <f t="shared" ca="1" si="12"/>
        <v>0.14835526624623063</v>
      </c>
      <c r="Q26" s="211">
        <f t="shared" ca="1" si="12"/>
        <v>0.11978190475961203</v>
      </c>
      <c r="R26" s="211">
        <f t="shared" ca="1" si="12"/>
        <v>9.1979878400766379E-2</v>
      </c>
      <c r="S26" s="211">
        <f t="shared" ca="1" si="12"/>
        <v>6.5232627352716843E-2</v>
      </c>
      <c r="T26" s="211">
        <f t="shared" ca="1" si="12"/>
        <v>4.025122487066124E-2</v>
      </c>
      <c r="U26" s="211">
        <f t="shared" ca="1" si="12"/>
        <v>1.7221450245233916E-2</v>
      </c>
      <c r="V26" s="43"/>
    </row>
    <row r="27" spans="1:25" ht="11.25" customHeight="1">
      <c r="B27" s="35" t="s">
        <v>602</v>
      </c>
      <c r="D27" s="120">
        <f>IFERROR(D25/D12,"n/a")</f>
        <v>0.11076386711482125</v>
      </c>
      <c r="E27" s="120">
        <f t="shared" ref="E27:J27" si="13">IFERROR(E25/E12,"n/a")</f>
        <v>0.11215199255681836</v>
      </c>
      <c r="F27" s="120">
        <f t="shared" si="13"/>
        <v>0.10778083365048297</v>
      </c>
      <c r="G27" s="120">
        <f t="shared" si="13"/>
        <v>0.10681264574665868</v>
      </c>
      <c r="H27" s="120">
        <f t="shared" si="13"/>
        <v>0.10030340273069967</v>
      </c>
      <c r="I27" s="120">
        <f t="shared" si="13"/>
        <v>0.11733393901938072</v>
      </c>
      <c r="J27" s="120">
        <f t="shared" ca="1" si="13"/>
        <v>0.1060118255074063</v>
      </c>
      <c r="K27" s="683">
        <f ca="1">+'Simple Model (A)'!K27</f>
        <v>0.10500000000000002</v>
      </c>
      <c r="L27" s="142">
        <f t="shared" ref="L27" ca="1" si="14">K27+(($U27-$K27)/COUNTA($L27:$U27))</f>
        <v>0.10450000000000002</v>
      </c>
      <c r="M27" s="142">
        <f t="shared" ref="M27" ca="1" si="15">L27+(($U27-$K27)/COUNTA($L27:$U27))</f>
        <v>0.10400000000000002</v>
      </c>
      <c r="N27" s="142">
        <f t="shared" ref="N27" ca="1" si="16">M27+(($U27-$K27)/COUNTA($L27:$U27))</f>
        <v>0.10350000000000002</v>
      </c>
      <c r="O27" s="142">
        <f t="shared" ref="O27" ca="1" si="17">N27+(($U27-$K27)/COUNTA($L27:$U27))</f>
        <v>0.10300000000000002</v>
      </c>
      <c r="P27" s="142">
        <f t="shared" ref="P27" ca="1" si="18">O27+(($U27-$K27)/COUNTA($L27:$U27))</f>
        <v>0.10250000000000002</v>
      </c>
      <c r="Q27" s="142">
        <f t="shared" ref="Q27" ca="1" si="19">P27+(($U27-$K27)/COUNTA($L27:$U27))</f>
        <v>0.10200000000000002</v>
      </c>
      <c r="R27" s="142">
        <f t="shared" ref="R27" ca="1" si="20">Q27+(($U27-$K27)/COUNTA($L27:$U27))</f>
        <v>0.10150000000000002</v>
      </c>
      <c r="S27" s="142">
        <f t="shared" ref="S27" ca="1" si="21">R27+(($U27-$K27)/COUNTA($L27:$U27))</f>
        <v>0.10100000000000002</v>
      </c>
      <c r="T27" s="142">
        <f t="shared" ref="T27" ca="1" si="22">S27+(($U27-$K27)/COUNTA($L27:$U27))</f>
        <v>0.10050000000000002</v>
      </c>
      <c r="U27" s="142">
        <v>0.1</v>
      </c>
      <c r="V27" s="43"/>
    </row>
    <row r="28" spans="1:25" ht="11.25" customHeight="1">
      <c r="B28" s="13"/>
      <c r="D28" s="19"/>
      <c r="E28" s="19"/>
      <c r="F28" s="19"/>
      <c r="G28" s="19"/>
      <c r="H28" s="19"/>
      <c r="I28" s="19"/>
      <c r="J28" s="19"/>
      <c r="K28" s="19"/>
      <c r="L28" s="19"/>
      <c r="M28" s="19"/>
      <c r="N28" s="19"/>
      <c r="O28" s="19"/>
      <c r="P28" s="19"/>
      <c r="Q28" s="19"/>
      <c r="R28" s="19"/>
      <c r="S28" s="19"/>
      <c r="T28" s="19"/>
      <c r="U28" s="19"/>
      <c r="V28" s="43"/>
    </row>
    <row r="29" spans="1:25" s="5" customFormat="1" ht="11.25" customHeight="1">
      <c r="A29" s="2"/>
      <c r="B29" s="182" t="s">
        <v>250</v>
      </c>
      <c r="C29" s="147"/>
      <c r="D29" s="148">
        <f>('Historical Financials'!AX50/1000)*1000</f>
        <v>383.62355700000001</v>
      </c>
      <c r="E29" s="148">
        <f>('Historical Financials'!AY50/1000)*1000</f>
        <v>372.70144800000014</v>
      </c>
      <c r="F29" s="148">
        <f>('Historical Financials'!AZ50/1000)*1000</f>
        <v>566.78381100000001</v>
      </c>
      <c r="G29" s="148">
        <f>('Historical Financials'!BA50/1000)*1000</f>
        <v>649.98103699999967</v>
      </c>
      <c r="H29" s="148">
        <f>('Historical Financials'!BB50/1000)*1000</f>
        <v>1121.2792920000002</v>
      </c>
      <c r="I29" s="148">
        <f>('Historical Financials'!BC50/1000)*1000</f>
        <v>921.46599999999989</v>
      </c>
      <c r="J29" s="148">
        <f ca="1">('Historical Financials'!BD50/1000)*1000</f>
        <v>1305.3836868813955</v>
      </c>
      <c r="K29" s="149">
        <f ca="1">K140</f>
        <v>1613.9419060153559</v>
      </c>
      <c r="L29" s="149">
        <f t="shared" ref="L29:U29" ca="1" si="23">L140</f>
        <v>1935.1406788158954</v>
      </c>
      <c r="M29" s="149">
        <f t="shared" ca="1" si="23"/>
        <v>2259.7472898157048</v>
      </c>
      <c r="N29" s="149">
        <f t="shared" ca="1" si="23"/>
        <v>2602.7784938668042</v>
      </c>
      <c r="O29" s="149">
        <f t="shared" ca="1" si="23"/>
        <v>3123.129248692791</v>
      </c>
      <c r="P29" s="149">
        <f t="shared" ca="1" si="23"/>
        <v>3681.8048628775905</v>
      </c>
      <c r="Q29" s="149">
        <f t="shared" ca="1" si="23"/>
        <v>4230.6284636366663</v>
      </c>
      <c r="R29" s="149">
        <f t="shared" ca="1" si="23"/>
        <v>4738.6473729622976</v>
      </c>
      <c r="S29" s="149">
        <f t="shared" ca="1" si="23"/>
        <v>5175.6571452355474</v>
      </c>
      <c r="T29" s="149">
        <f t="shared" ca="1" si="23"/>
        <v>5518.3507974513241</v>
      </c>
      <c r="U29" s="149">
        <f t="shared" ca="1" si="23"/>
        <v>5751.4327213907736</v>
      </c>
      <c r="V29" s="44"/>
      <c r="W29" s="113"/>
      <c r="X29" s="112"/>
    </row>
    <row r="30" spans="1:25" s="18" customFormat="1" ht="11.25" customHeight="1">
      <c r="B30" s="36" t="s">
        <v>249</v>
      </c>
      <c r="D30" s="274">
        <f>'Historical Financials'!AX51/1000</f>
        <v>-5.019836134028566E-6</v>
      </c>
      <c r="E30" s="211">
        <f>IF(AND(E29&gt;0,D29&gt;0),E29/D29-1,"n/m")</f>
        <v>-2.8470902791821628E-2</v>
      </c>
      <c r="F30" s="211">
        <f t="shared" ref="F30:U30" si="24">IF(AND(F29&gt;0,E29&gt;0),F29/E29-1,"n/m")</f>
        <v>0.52074485903258361</v>
      </c>
      <c r="G30" s="211">
        <f t="shared" si="24"/>
        <v>0.14678828926537513</v>
      </c>
      <c r="H30" s="211">
        <f t="shared" si="24"/>
        <v>0.72509539228296083</v>
      </c>
      <c r="I30" s="211">
        <f t="shared" si="24"/>
        <v>-0.17820117915813627</v>
      </c>
      <c r="J30" s="211">
        <f t="shared" ca="1" si="24"/>
        <v>0.41663793008249428</v>
      </c>
      <c r="K30" s="211">
        <f t="shared" ca="1" si="24"/>
        <v>0.23637358290505084</v>
      </c>
      <c r="L30" s="211">
        <f t="shared" ca="1" si="24"/>
        <v>0.19901507706280697</v>
      </c>
      <c r="M30" s="211">
        <f t="shared" ca="1" si="24"/>
        <v>0.16774315922004956</v>
      </c>
      <c r="N30" s="211">
        <f t="shared" ca="1" si="24"/>
        <v>0.15180069275758501</v>
      </c>
      <c r="O30" s="211">
        <f t="shared" ca="1" si="24"/>
        <v>0.19992125955095408</v>
      </c>
      <c r="P30" s="211">
        <f t="shared" ca="1" si="24"/>
        <v>0.17888328330268033</v>
      </c>
      <c r="Q30" s="211">
        <f t="shared" ca="1" si="24"/>
        <v>0.14906373944276097</v>
      </c>
      <c r="R30" s="211">
        <f t="shared" ca="1" si="24"/>
        <v>0.12008119211889756</v>
      </c>
      <c r="S30" s="211">
        <f t="shared" ca="1" si="24"/>
        <v>9.2222471494024516E-2</v>
      </c>
      <c r="T30" s="211">
        <f t="shared" ca="1" si="24"/>
        <v>6.6212587619186358E-2</v>
      </c>
      <c r="U30" s="211">
        <f t="shared" ca="1" si="24"/>
        <v>4.2237605490230701E-2</v>
      </c>
      <c r="V30" s="67"/>
      <c r="W30" s="54"/>
      <c r="X30" s="54"/>
    </row>
    <row r="31" spans="1:25" s="18" customFormat="1" ht="11.25" customHeight="1">
      <c r="B31" s="36" t="s">
        <v>17</v>
      </c>
      <c r="D31" s="120">
        <f>IFERROR(D29/D12,"n/a")</f>
        <v>0.37191797540186483</v>
      </c>
      <c r="E31" s="120">
        <f t="shared" ref="E31:U31" si="25">IFERROR(E29/E12,"n/a")</f>
        <v>0.34832384748469969</v>
      </c>
      <c r="F31" s="120">
        <f t="shared" si="25"/>
        <v>0.42320834418118808</v>
      </c>
      <c r="G31" s="120">
        <f t="shared" si="25"/>
        <v>0.40945878793511753</v>
      </c>
      <c r="H31" s="120">
        <f t="shared" si="25"/>
        <v>0.49528848666996861</v>
      </c>
      <c r="I31" s="120">
        <f t="shared" si="25"/>
        <v>0.42626204124833</v>
      </c>
      <c r="J31" s="120">
        <f t="shared" ca="1" si="25"/>
        <v>0.45216076352949341</v>
      </c>
      <c r="K31" s="120">
        <f t="shared" ca="1" si="25"/>
        <v>0.45421123623127174</v>
      </c>
      <c r="L31" s="120">
        <f t="shared" ca="1" si="25"/>
        <v>0.45379011260814456</v>
      </c>
      <c r="M31" s="120">
        <f t="shared" ca="1" si="25"/>
        <v>0.45336898898501737</v>
      </c>
      <c r="N31" s="120">
        <f t="shared" ca="1" si="25"/>
        <v>0.45294786536189019</v>
      </c>
      <c r="O31" s="120">
        <f t="shared" ca="1" si="25"/>
        <v>0.4629478653618902</v>
      </c>
      <c r="P31" s="120">
        <f t="shared" ca="1" si="25"/>
        <v>0.47294786536189021</v>
      </c>
      <c r="Q31" s="120">
        <f t="shared" ca="1" si="25"/>
        <v>0.48294786536189022</v>
      </c>
      <c r="R31" s="120">
        <f t="shared" ca="1" si="25"/>
        <v>0.49294786536189028</v>
      </c>
      <c r="S31" s="120">
        <f t="shared" ca="1" si="25"/>
        <v>0.50294786536189018</v>
      </c>
      <c r="T31" s="120">
        <f t="shared" ca="1" si="25"/>
        <v>0.51294786536189019</v>
      </c>
      <c r="U31" s="120">
        <f t="shared" ca="1" si="25"/>
        <v>0.5229478653618902</v>
      </c>
      <c r="V31" s="67"/>
      <c r="W31" s="54"/>
      <c r="Y31" s="118" t="str">
        <f ca="1">TEXT(MIN(K31:U31),"#%")&amp;"-"&amp;TEXT(MAX(K31:U31),"#%")</f>
        <v>45%-52%</v>
      </c>
    </row>
    <row r="32" spans="1:25" s="18" customFormat="1" ht="11.25" customHeight="1">
      <c r="B32" s="187" t="s">
        <v>295</v>
      </c>
      <c r="D32" s="120"/>
      <c r="E32" s="120">
        <f>IF(E12&gt;D12,(E29-D29)/(E12-D12),"n/a")</f>
        <v>-0.28360354987502001</v>
      </c>
      <c r="F32" s="120">
        <f t="shared" ref="F32:U32" si="26">IF(F12&gt;E12,(F29-E29)/(F12-E12),"n/a")</f>
        <v>0.72077402656461875</v>
      </c>
      <c r="G32" s="120">
        <f t="shared" si="26"/>
        <v>0.33525608571939225</v>
      </c>
      <c r="H32" s="120">
        <f t="shared" si="26"/>
        <v>0.696695932069338</v>
      </c>
      <c r="I32" s="120" t="str">
        <f t="shared" si="26"/>
        <v>n/a</v>
      </c>
      <c r="J32" s="120">
        <f t="shared" ca="1" si="26"/>
        <v>0.52935604399350034</v>
      </c>
      <c r="K32" s="120">
        <f t="shared" ca="1" si="26"/>
        <v>0.46309573562293849</v>
      </c>
      <c r="L32" s="120">
        <f t="shared" ca="1" si="26"/>
        <v>0.45168583891256148</v>
      </c>
      <c r="M32" s="120">
        <f t="shared" ca="1" si="26"/>
        <v>0.45087459230664984</v>
      </c>
      <c r="N32" s="120">
        <f t="shared" ca="1" si="26"/>
        <v>0.45019311096447978</v>
      </c>
      <c r="O32" s="120">
        <f t="shared" ca="1" si="26"/>
        <v>0.52041843113199426</v>
      </c>
      <c r="P32" s="120">
        <f t="shared" ca="1" si="26"/>
        <v>0.53790106689585671</v>
      </c>
      <c r="Q32" s="120">
        <f t="shared" ca="1" si="26"/>
        <v>0.56277478033819095</v>
      </c>
      <c r="R32" s="120">
        <f t="shared" ca="1" si="26"/>
        <v>0.59566041165394445</v>
      </c>
      <c r="S32" s="120">
        <f t="shared" ca="1" si="26"/>
        <v>0.64477965313756769</v>
      </c>
      <c r="T32" s="120">
        <f t="shared" ca="1" si="26"/>
        <v>0.73308318470547318</v>
      </c>
      <c r="U32" s="120">
        <f t="shared" ca="1" si="26"/>
        <v>0.97122643649576224</v>
      </c>
      <c r="W32" s="118">
        <f ca="1">(J29-D29)/(J12-D12)</f>
        <v>0.49676737755405509</v>
      </c>
      <c r="X32" s="118">
        <f ca="1">(U29-J29)/(U12-J12)</f>
        <v>0.54814314473333825</v>
      </c>
    </row>
    <row r="33" spans="1:24" s="18" customFormat="1" ht="11.25" customHeight="1">
      <c r="A33" s="18" t="s">
        <v>296</v>
      </c>
      <c r="B33" s="36" t="s">
        <v>64</v>
      </c>
      <c r="E33" s="67"/>
      <c r="F33" s="67"/>
      <c r="G33" s="67"/>
      <c r="H33" s="67"/>
      <c r="I33" s="144"/>
      <c r="J33" s="144">
        <f>_xll.VAData($A$2,J$1,$A33, "vaactuals.consensus", "CD", "IMPL","","")/1000</f>
        <v>1322.05305</v>
      </c>
      <c r="K33" s="144">
        <f>_xll.VAData($A$2,K$1,$A33, "vaactuals.consensus", "CD", "IMPL","","")/1000</f>
        <v>1755.7221274762885</v>
      </c>
      <c r="L33" s="144">
        <f>_xll.VAData($A$2,L$1,$A33, "vaactuals.consensus", "CD", "IMPL","","")/1000</f>
        <v>2007.8591717601887</v>
      </c>
      <c r="M33" s="144"/>
      <c r="N33" s="144"/>
      <c r="O33" s="136"/>
      <c r="P33" s="136"/>
      <c r="Q33" s="136"/>
      <c r="R33" s="136"/>
      <c r="S33" s="136"/>
      <c r="T33" s="142"/>
      <c r="U33" s="142"/>
      <c r="W33" s="143"/>
      <c r="X33" s="143"/>
    </row>
    <row r="34" spans="1:24" ht="11.25" customHeight="1">
      <c r="B34" s="12"/>
      <c r="D34" s="47"/>
      <c r="E34" s="47"/>
      <c r="J34" s="179"/>
      <c r="K34" s="47"/>
      <c r="L34" s="47"/>
      <c r="M34" s="47"/>
      <c r="N34" s="47"/>
      <c r="O34" s="47"/>
      <c r="P34" s="47"/>
      <c r="Q34" s="47"/>
      <c r="R34" s="47"/>
      <c r="S34" s="47"/>
      <c r="T34" s="47"/>
      <c r="U34" s="47"/>
      <c r="V34" s="47"/>
    </row>
    <row r="35" spans="1:24" ht="11.25" customHeight="1">
      <c r="B35" s="13" t="s">
        <v>297</v>
      </c>
      <c r="D35" s="49">
        <f>(-'Historical Financials'!AX56/1000)*1000</f>
        <v>-11.643000000000001</v>
      </c>
      <c r="E35" s="49">
        <f>(-'Historical Financials'!AY56/1000)*1000</f>
        <v>-12.939</v>
      </c>
      <c r="F35" s="49">
        <f>(-'Historical Financials'!AZ56/1000)*1000</f>
        <v>-6.9370000000000003</v>
      </c>
      <c r="G35" s="49">
        <f>(-'Historical Financials'!BA56/1000)*1000</f>
        <v>-0.29399999999999998</v>
      </c>
      <c r="H35" s="49">
        <f>(-'Historical Financials'!BB56/1000)*1000</f>
        <v>-10.672000000000001</v>
      </c>
      <c r="I35" s="49">
        <f>(-'Historical Financials'!BC56/1000)*1000</f>
        <v>-48.293999999999997</v>
      </c>
      <c r="J35" s="49">
        <f>(-'Historical Financials'!BD56/1000)*1000</f>
        <v>-77.548677962169123</v>
      </c>
      <c r="K35" s="69">
        <f t="shared" ref="K35:U35" ca="1" si="27">IFERROR(MAX(0,(AVERAGE(J83:K83)*K36)),"n/a")</f>
        <v>0</v>
      </c>
      <c r="L35" s="69">
        <f t="shared" ca="1" si="27"/>
        <v>0</v>
      </c>
      <c r="M35" s="69">
        <f t="shared" ca="1" si="27"/>
        <v>0</v>
      </c>
      <c r="N35" s="69">
        <f t="shared" ca="1" si="27"/>
        <v>0</v>
      </c>
      <c r="O35" s="69">
        <f t="shared" ca="1" si="27"/>
        <v>0</v>
      </c>
      <c r="P35" s="69">
        <f t="shared" ca="1" si="27"/>
        <v>0</v>
      </c>
      <c r="Q35" s="69">
        <f t="shared" ca="1" si="27"/>
        <v>0</v>
      </c>
      <c r="R35" s="69">
        <f t="shared" ca="1" si="27"/>
        <v>0</v>
      </c>
      <c r="S35" s="69">
        <f t="shared" ca="1" si="27"/>
        <v>0</v>
      </c>
      <c r="T35" s="69">
        <f t="shared" ca="1" si="27"/>
        <v>0</v>
      </c>
      <c r="U35" s="69">
        <f t="shared" ca="1" si="27"/>
        <v>0</v>
      </c>
      <c r="V35" s="47"/>
    </row>
    <row r="36" spans="1:24" ht="11.25" customHeight="1">
      <c r="B36" s="9" t="s">
        <v>299</v>
      </c>
      <c r="D36" s="109"/>
      <c r="E36" s="163">
        <f t="shared" ref="E36:J36" si="28">E35/(AVERAGE(D83:E83))</f>
        <v>2.8047380759613855E-2</v>
      </c>
      <c r="F36" s="163">
        <f t="shared" si="28"/>
        <v>1.6241356341726378E-2</v>
      </c>
      <c r="G36" s="163">
        <f t="shared" si="28"/>
        <v>6.4964551230846227E-4</v>
      </c>
      <c r="H36" s="163">
        <f t="shared" si="28"/>
        <v>1.8293832688226604E-2</v>
      </c>
      <c r="I36" s="163">
        <f t="shared" si="28"/>
        <v>6.560401225847115E-2</v>
      </c>
      <c r="J36" s="163">
        <f t="shared" ca="1" si="28"/>
        <v>7.2805733689611574E-2</v>
      </c>
      <c r="K36" s="685">
        <f>+'Simple Model (A)'!K37</f>
        <v>0.06</v>
      </c>
      <c r="L36" s="164">
        <f>K36</f>
        <v>0.06</v>
      </c>
      <c r="M36" s="164">
        <f t="shared" ref="M36:U36" si="29">L36</f>
        <v>0.06</v>
      </c>
      <c r="N36" s="164">
        <f t="shared" si="29"/>
        <v>0.06</v>
      </c>
      <c r="O36" s="164">
        <f t="shared" si="29"/>
        <v>0.06</v>
      </c>
      <c r="P36" s="164">
        <f t="shared" si="29"/>
        <v>0.06</v>
      </c>
      <c r="Q36" s="164">
        <f t="shared" si="29"/>
        <v>0.06</v>
      </c>
      <c r="R36" s="164">
        <f t="shared" si="29"/>
        <v>0.06</v>
      </c>
      <c r="S36" s="164">
        <f t="shared" si="29"/>
        <v>0.06</v>
      </c>
      <c r="T36" s="164">
        <f t="shared" si="29"/>
        <v>0.06</v>
      </c>
      <c r="U36" s="164">
        <f t="shared" si="29"/>
        <v>0.06</v>
      </c>
      <c r="V36" s="47"/>
    </row>
    <row r="37" spans="1:24" ht="11.25" customHeight="1">
      <c r="B37" s="9"/>
      <c r="D37" s="109"/>
      <c r="E37" s="109"/>
      <c r="F37" s="109"/>
      <c r="G37" s="109"/>
      <c r="H37" s="109"/>
      <c r="I37" s="109"/>
      <c r="J37" s="180"/>
      <c r="K37" s="93"/>
      <c r="L37" s="93"/>
      <c r="M37" s="93"/>
      <c r="N37" s="93"/>
      <c r="O37" s="93"/>
      <c r="P37" s="93"/>
      <c r="Q37" s="93"/>
      <c r="R37" s="93"/>
      <c r="S37" s="93"/>
      <c r="T37" s="93"/>
      <c r="U37" s="93"/>
      <c r="V37" s="47"/>
    </row>
    <row r="38" spans="1:24" ht="11.25" customHeight="1">
      <c r="B38" s="13" t="s">
        <v>298</v>
      </c>
      <c r="D38" s="49">
        <f>(-('Historical Financials'!AX55+'Historical Financials'!AX57)/1000)*1000</f>
        <v>-2.2429999999999999</v>
      </c>
      <c r="E38" s="49">
        <f>(-('Historical Financials'!AY55+'Historical Financials'!AY57)/1000)*1000</f>
        <v>-4.2050000000000001</v>
      </c>
      <c r="F38" s="49">
        <f>(-('Historical Financials'!AZ55+'Historical Financials'!AZ57)/1000)*1000</f>
        <v>-11.056000000000001</v>
      </c>
      <c r="G38" s="49">
        <f>(-('Historical Financials'!BA55+'Historical Financials'!BA57)/1000)*1000</f>
        <v>-12.850999999999999</v>
      </c>
      <c r="H38" s="49">
        <f>(-('Historical Financials'!BB55+'Historical Financials'!BB57)/1000)*1000</f>
        <v>-12.24</v>
      </c>
      <c r="I38" s="49">
        <f>(-('Historical Financials'!BC55+'Historical Financials'!BC57)/1000)*1000</f>
        <v>-9.4110000000000014</v>
      </c>
      <c r="J38" s="49">
        <f ca="1">(-('Historical Financials'!BD55+'Historical Financials'!BD57)/1000)*1000</f>
        <v>-7.5028913011865228</v>
      </c>
      <c r="K38" s="69">
        <f t="shared" ref="K38:U38" ca="1" si="30">K39*K12</f>
        <v>0</v>
      </c>
      <c r="L38" s="69">
        <f t="shared" ca="1" si="30"/>
        <v>0</v>
      </c>
      <c r="M38" s="69">
        <f t="shared" ca="1" si="30"/>
        <v>0</v>
      </c>
      <c r="N38" s="69">
        <f t="shared" ca="1" si="30"/>
        <v>0</v>
      </c>
      <c r="O38" s="69">
        <f t="shared" ca="1" si="30"/>
        <v>0</v>
      </c>
      <c r="P38" s="69">
        <f t="shared" ca="1" si="30"/>
        <v>0</v>
      </c>
      <c r="Q38" s="69">
        <f t="shared" ca="1" si="30"/>
        <v>0</v>
      </c>
      <c r="R38" s="69">
        <f t="shared" ca="1" si="30"/>
        <v>0</v>
      </c>
      <c r="S38" s="69">
        <f t="shared" ca="1" si="30"/>
        <v>0</v>
      </c>
      <c r="T38" s="69">
        <f t="shared" ca="1" si="30"/>
        <v>0</v>
      </c>
      <c r="U38" s="69">
        <f t="shared" ca="1" si="30"/>
        <v>0</v>
      </c>
      <c r="V38" s="47"/>
    </row>
    <row r="39" spans="1:24" ht="11.25" customHeight="1">
      <c r="B39" s="9" t="s">
        <v>259</v>
      </c>
      <c r="D39" s="163">
        <f t="shared" ref="D39:J39" si="31">D38/D12</f>
        <v>-2.1745588966174535E-3</v>
      </c>
      <c r="E39" s="163">
        <f t="shared" si="31"/>
        <v>-3.9299599895119318E-3</v>
      </c>
      <c r="F39" s="163">
        <f t="shared" si="31"/>
        <v>-8.2553371540585799E-3</v>
      </c>
      <c r="G39" s="163">
        <f t="shared" si="31"/>
        <v>-8.095551384146301E-3</v>
      </c>
      <c r="H39" s="163">
        <f t="shared" si="31"/>
        <v>-5.4066200277605907E-3</v>
      </c>
      <c r="I39" s="163">
        <f t="shared" si="31"/>
        <v>-4.3534455641206895E-3</v>
      </c>
      <c r="J39" s="163">
        <f t="shared" ca="1" si="31"/>
        <v>-2.5988627661864823E-3</v>
      </c>
      <c r="K39" s="316">
        <v>0</v>
      </c>
      <c r="L39" s="316">
        <f>K39</f>
        <v>0</v>
      </c>
      <c r="M39" s="316">
        <f t="shared" ref="M39:U39" si="32">L39</f>
        <v>0</v>
      </c>
      <c r="N39" s="316">
        <f t="shared" si="32"/>
        <v>0</v>
      </c>
      <c r="O39" s="316">
        <f t="shared" si="32"/>
        <v>0</v>
      </c>
      <c r="P39" s="316">
        <f t="shared" si="32"/>
        <v>0</v>
      </c>
      <c r="Q39" s="316">
        <f t="shared" si="32"/>
        <v>0</v>
      </c>
      <c r="R39" s="316">
        <f t="shared" si="32"/>
        <v>0</v>
      </c>
      <c r="S39" s="316">
        <f t="shared" si="32"/>
        <v>0</v>
      </c>
      <c r="T39" s="316">
        <f t="shared" si="32"/>
        <v>0</v>
      </c>
      <c r="U39" s="316">
        <f t="shared" si="32"/>
        <v>0</v>
      </c>
      <c r="V39" s="47"/>
    </row>
    <row r="40" spans="1:24" ht="11.25" customHeight="1">
      <c r="B40" s="9"/>
      <c r="D40" s="109"/>
      <c r="E40" s="109"/>
      <c r="F40" s="109"/>
      <c r="G40" s="109"/>
      <c r="H40" s="109"/>
      <c r="I40" s="109"/>
      <c r="J40" s="180"/>
      <c r="K40" s="93"/>
      <c r="L40" s="93"/>
      <c r="M40" s="93"/>
      <c r="N40" s="93"/>
      <c r="O40" s="93"/>
      <c r="P40" s="93"/>
      <c r="Q40" s="93"/>
      <c r="R40" s="93"/>
      <c r="S40" s="93"/>
      <c r="T40" s="93"/>
      <c r="U40" s="93"/>
      <c r="V40" s="47"/>
    </row>
    <row r="41" spans="1:24" ht="11.25" customHeight="1">
      <c r="B41" s="13" t="s">
        <v>254</v>
      </c>
      <c r="D41" s="49">
        <f>('Historical Financials'!AX59/1000)*1000</f>
        <v>59.626433550000002</v>
      </c>
      <c r="E41" s="49">
        <f>('Historical Financials'!AY59/1000)*1000</f>
        <v>58.476817200000021</v>
      </c>
      <c r="F41" s="49">
        <f>('Historical Financials'!AZ59/1000)*1000</f>
        <v>87.716521650000033</v>
      </c>
      <c r="G41" s="49">
        <f>('Historical Financials'!BA59/1000)*1000</f>
        <v>99.468905550000002</v>
      </c>
      <c r="H41" s="49">
        <f>('Historical Financials'!BB59/1000)*1000</f>
        <v>171.62869380000004</v>
      </c>
      <c r="I41" s="49">
        <f>('Historical Financials'!BC59/1000)*1000</f>
        <v>146.87564999999998</v>
      </c>
      <c r="J41" s="49">
        <f ca="1">('Historical Financials'!BD59/1000)*1000</f>
        <v>208.56528842171258</v>
      </c>
      <c r="K41" s="53">
        <f t="shared" ref="K41:U41" ca="1" si="33">(K29-K35-K38)*K42</f>
        <v>242.09128590230324</v>
      </c>
      <c r="L41" s="53">
        <f t="shared" ca="1" si="33"/>
        <v>290.27110182238414</v>
      </c>
      <c r="M41" s="53">
        <f t="shared" ca="1" si="33"/>
        <v>338.96209347235549</v>
      </c>
      <c r="N41" s="53">
        <f t="shared" ca="1" si="33"/>
        <v>390.41677408002039</v>
      </c>
      <c r="O41" s="53">
        <f t="shared" ca="1" si="33"/>
        <v>468.46938730391838</v>
      </c>
      <c r="P41" s="53">
        <f t="shared" ca="1" si="33"/>
        <v>552.2707294316383</v>
      </c>
      <c r="Q41" s="53">
        <f t="shared" ca="1" si="33"/>
        <v>634.59426954549951</v>
      </c>
      <c r="R41" s="53">
        <f t="shared" ca="1" si="33"/>
        <v>710.79710594434425</v>
      </c>
      <c r="S41" s="53">
        <f t="shared" ca="1" si="33"/>
        <v>776.34857178533161</v>
      </c>
      <c r="T41" s="53">
        <f t="shared" ca="1" si="33"/>
        <v>827.75261961769809</v>
      </c>
      <c r="U41" s="53">
        <f t="shared" ca="1" si="33"/>
        <v>862.7149082086155</v>
      </c>
      <c r="V41" s="47"/>
    </row>
    <row r="42" spans="1:24" ht="11.25" customHeight="1">
      <c r="B42" s="9" t="s">
        <v>300</v>
      </c>
      <c r="D42" s="211">
        <f t="shared" ref="D42:J42" si="34">D41/(D29-D35-D38)</f>
        <v>0.15</v>
      </c>
      <c r="E42" s="211">
        <f t="shared" si="34"/>
        <v>0.15</v>
      </c>
      <c r="F42" s="211">
        <f t="shared" si="34"/>
        <v>0.15000000000000005</v>
      </c>
      <c r="G42" s="211">
        <f t="shared" si="34"/>
        <v>0.15000000000000008</v>
      </c>
      <c r="H42" s="211">
        <f t="shared" si="34"/>
        <v>0.15</v>
      </c>
      <c r="I42" s="211">
        <f t="shared" si="34"/>
        <v>0.15</v>
      </c>
      <c r="J42" s="211">
        <f t="shared" ca="1" si="34"/>
        <v>0.14999999999999991</v>
      </c>
      <c r="K42" s="683">
        <f ca="1">+'Simple Model (A)'!K43</f>
        <v>0.14999999999999991</v>
      </c>
      <c r="L42" s="142">
        <f t="shared" ref="L42:U42" ca="1" si="35">K42</f>
        <v>0.14999999999999991</v>
      </c>
      <c r="M42" s="142">
        <f t="shared" ca="1" si="35"/>
        <v>0.14999999999999991</v>
      </c>
      <c r="N42" s="142">
        <f t="shared" ca="1" si="35"/>
        <v>0.14999999999999991</v>
      </c>
      <c r="O42" s="142">
        <f t="shared" ca="1" si="35"/>
        <v>0.14999999999999991</v>
      </c>
      <c r="P42" s="142">
        <f t="shared" ca="1" si="35"/>
        <v>0.14999999999999991</v>
      </c>
      <c r="Q42" s="142">
        <f t="shared" ca="1" si="35"/>
        <v>0.14999999999999991</v>
      </c>
      <c r="R42" s="142">
        <f t="shared" ca="1" si="35"/>
        <v>0.14999999999999991</v>
      </c>
      <c r="S42" s="142">
        <f t="shared" ca="1" si="35"/>
        <v>0.14999999999999991</v>
      </c>
      <c r="T42" s="142">
        <f t="shared" ca="1" si="35"/>
        <v>0.14999999999999991</v>
      </c>
      <c r="U42" s="142">
        <f t="shared" ca="1" si="35"/>
        <v>0.14999999999999991</v>
      </c>
      <c r="V42" s="47"/>
    </row>
    <row r="43" spans="1:24" s="18" customFormat="1" ht="11.25" customHeight="1">
      <c r="B43" s="35"/>
      <c r="E43" s="67"/>
      <c r="F43" s="67"/>
      <c r="G43" s="67"/>
      <c r="H43" s="67"/>
      <c r="I43" s="144"/>
      <c r="J43" s="144"/>
      <c r="K43" s="142"/>
      <c r="L43" s="136"/>
      <c r="M43" s="136"/>
      <c r="N43" s="136"/>
      <c r="O43" s="136"/>
      <c r="P43" s="136"/>
      <c r="Q43" s="136"/>
      <c r="R43" s="136"/>
      <c r="S43" s="136"/>
      <c r="T43" s="142"/>
      <c r="U43" s="142"/>
      <c r="W43" s="143"/>
      <c r="X43" s="143"/>
    </row>
    <row r="44" spans="1:24" ht="11.25" customHeight="1">
      <c r="B44" s="128" t="s">
        <v>301</v>
      </c>
      <c r="C44" s="5"/>
      <c r="D44" s="92">
        <f t="shared" ref="D44:U44" si="36">D29-D35-D38-D41</f>
        <v>337.88312345000003</v>
      </c>
      <c r="E44" s="92">
        <f t="shared" si="36"/>
        <v>331.36863080000012</v>
      </c>
      <c r="F44" s="92">
        <f t="shared" si="36"/>
        <v>497.06028935000006</v>
      </c>
      <c r="G44" s="92">
        <f t="shared" si="36"/>
        <v>563.65713144999961</v>
      </c>
      <c r="H44" s="92">
        <f t="shared" si="36"/>
        <v>972.56259820000014</v>
      </c>
      <c r="I44" s="92">
        <f t="shared" si="36"/>
        <v>832.29534999999987</v>
      </c>
      <c r="J44" s="92">
        <f t="shared" ca="1" si="36"/>
        <v>1181.8699677230388</v>
      </c>
      <c r="K44" s="92">
        <f t="shared" ca="1" si="36"/>
        <v>1371.8506201130526</v>
      </c>
      <c r="L44" s="92">
        <f t="shared" ca="1" si="36"/>
        <v>1644.8695769935111</v>
      </c>
      <c r="M44" s="92">
        <f t="shared" ca="1" si="36"/>
        <v>1920.7851963433493</v>
      </c>
      <c r="N44" s="92">
        <f t="shared" ca="1" si="36"/>
        <v>2212.3617197867839</v>
      </c>
      <c r="O44" s="92">
        <f t="shared" ca="1" si="36"/>
        <v>2654.6598613888727</v>
      </c>
      <c r="P44" s="92">
        <f t="shared" ca="1" si="36"/>
        <v>3129.5341334459522</v>
      </c>
      <c r="Q44" s="92">
        <f t="shared" ca="1" si="36"/>
        <v>3596.0341940911667</v>
      </c>
      <c r="R44" s="92">
        <f t="shared" ca="1" si="36"/>
        <v>4027.8502670179532</v>
      </c>
      <c r="S44" s="92">
        <f t="shared" ca="1" si="36"/>
        <v>4399.3085734502156</v>
      </c>
      <c r="T44" s="92">
        <f t="shared" ca="1" si="36"/>
        <v>4690.5981778336263</v>
      </c>
      <c r="U44" s="92">
        <f t="shared" ca="1" si="36"/>
        <v>4888.7178131821584</v>
      </c>
      <c r="V44" s="181"/>
    </row>
    <row r="45" spans="1:24" ht="11.25" customHeight="1">
      <c r="B45" s="9" t="s">
        <v>249</v>
      </c>
      <c r="D45" s="47"/>
      <c r="E45" s="211">
        <f>IF(AND(E44&gt;0,D44&gt;0),E44/D44-1,"n/m")</f>
        <v>-1.9280313806392058E-2</v>
      </c>
      <c r="F45" s="211">
        <f t="shared" ref="F45:U45" si="37">IF(AND(F44&gt;0,E44&gt;0),F44/E44-1,"n/m")</f>
        <v>0.50002216006380018</v>
      </c>
      <c r="G45" s="211">
        <f t="shared" si="37"/>
        <v>0.13398141739926039</v>
      </c>
      <c r="H45" s="211">
        <f t="shared" si="37"/>
        <v>0.72545071096341363</v>
      </c>
      <c r="I45" s="211">
        <f t="shared" si="37"/>
        <v>-0.14422439075860427</v>
      </c>
      <c r="J45" s="211">
        <f t="shared" ca="1" si="37"/>
        <v>0.42001270068736907</v>
      </c>
      <c r="K45" s="211">
        <f t="shared" ca="1" si="37"/>
        <v>0.16074581601902094</v>
      </c>
      <c r="L45" s="211">
        <f t="shared" ca="1" si="37"/>
        <v>0.19901507706280674</v>
      </c>
      <c r="M45" s="211">
        <f t="shared" ca="1" si="37"/>
        <v>0.16774315922004956</v>
      </c>
      <c r="N45" s="211">
        <f t="shared" ca="1" si="37"/>
        <v>0.15180069275758501</v>
      </c>
      <c r="O45" s="211">
        <f t="shared" ca="1" si="37"/>
        <v>0.19992125955095408</v>
      </c>
      <c r="P45" s="211">
        <f t="shared" ca="1" si="37"/>
        <v>0.17888328330268011</v>
      </c>
      <c r="Q45" s="211">
        <f t="shared" ca="1" si="37"/>
        <v>0.14906373944276097</v>
      </c>
      <c r="R45" s="211">
        <f t="shared" ca="1" si="37"/>
        <v>0.12008119211889756</v>
      </c>
      <c r="S45" s="211">
        <f t="shared" ca="1" si="37"/>
        <v>9.2222471494024516E-2</v>
      </c>
      <c r="T45" s="211">
        <f t="shared" ca="1" si="37"/>
        <v>6.621258761918658E-2</v>
      </c>
      <c r="U45" s="211">
        <f t="shared" ca="1" si="37"/>
        <v>4.2237605490230701E-2</v>
      </c>
      <c r="V45" s="47"/>
      <c r="W45" s="114"/>
      <c r="X45" s="114"/>
    </row>
    <row r="46" spans="1:24" ht="11.25" customHeight="1">
      <c r="B46" s="41"/>
      <c r="D46" s="47"/>
      <c r="E46" s="127"/>
      <c r="F46" s="127"/>
      <c r="G46" s="127"/>
      <c r="H46" s="127"/>
      <c r="I46" s="127"/>
      <c r="J46" s="127"/>
      <c r="K46" s="141"/>
      <c r="L46" s="141"/>
      <c r="M46" s="141"/>
      <c r="N46" s="141"/>
      <c r="O46" s="141"/>
      <c r="P46" s="141"/>
      <c r="Q46" s="141"/>
      <c r="R46" s="141"/>
      <c r="S46" s="141"/>
      <c r="T46" s="141"/>
      <c r="U46" s="141"/>
      <c r="V46" s="47"/>
      <c r="W46" s="114"/>
      <c r="X46" s="114"/>
    </row>
    <row r="47" spans="1:24" ht="11.25" customHeight="1">
      <c r="B47" s="161" t="s">
        <v>21</v>
      </c>
      <c r="D47" s="47"/>
      <c r="E47" s="127"/>
      <c r="F47" s="127"/>
      <c r="G47" s="127"/>
      <c r="H47" s="127"/>
      <c r="I47" s="127"/>
      <c r="J47" s="127"/>
      <c r="K47" s="141"/>
      <c r="L47" s="141"/>
      <c r="M47" s="141"/>
      <c r="N47" s="141"/>
      <c r="O47" s="141"/>
      <c r="P47" s="141"/>
      <c r="Q47" s="141"/>
      <c r="R47" s="141"/>
      <c r="S47" s="141"/>
      <c r="T47" s="141"/>
      <c r="U47" s="141"/>
      <c r="V47" s="47"/>
      <c r="W47" s="114"/>
      <c r="X47" s="114"/>
    </row>
    <row r="48" spans="1:24" ht="11.25" customHeight="1">
      <c r="B48" s="13" t="s">
        <v>101</v>
      </c>
      <c r="D48" s="19">
        <f t="shared" ref="D48:U48" si="38">D29</f>
        <v>383.62355700000001</v>
      </c>
      <c r="E48" s="19">
        <f t="shared" si="38"/>
        <v>372.70144800000014</v>
      </c>
      <c r="F48" s="19">
        <f t="shared" si="38"/>
        <v>566.78381100000001</v>
      </c>
      <c r="G48" s="19">
        <f t="shared" si="38"/>
        <v>649.98103699999967</v>
      </c>
      <c r="H48" s="19">
        <f t="shared" si="38"/>
        <v>1121.2792920000002</v>
      </c>
      <c r="I48" s="19">
        <f t="shared" si="38"/>
        <v>921.46599999999989</v>
      </c>
      <c r="J48" s="19">
        <f t="shared" ca="1" si="38"/>
        <v>1305.3836868813955</v>
      </c>
      <c r="K48" s="19">
        <f t="shared" ca="1" si="38"/>
        <v>1613.9419060153559</v>
      </c>
      <c r="L48" s="19">
        <f t="shared" ca="1" si="38"/>
        <v>1935.1406788158954</v>
      </c>
      <c r="M48" s="19">
        <f t="shared" ca="1" si="38"/>
        <v>2259.7472898157048</v>
      </c>
      <c r="N48" s="19">
        <f t="shared" ca="1" si="38"/>
        <v>2602.7784938668042</v>
      </c>
      <c r="O48" s="19">
        <f t="shared" ca="1" si="38"/>
        <v>3123.129248692791</v>
      </c>
      <c r="P48" s="19">
        <f t="shared" ca="1" si="38"/>
        <v>3681.8048628775905</v>
      </c>
      <c r="Q48" s="19">
        <f t="shared" ca="1" si="38"/>
        <v>4230.6284636366663</v>
      </c>
      <c r="R48" s="19">
        <f t="shared" ca="1" si="38"/>
        <v>4738.6473729622976</v>
      </c>
      <c r="S48" s="19">
        <f t="shared" ca="1" si="38"/>
        <v>5175.6571452355474</v>
      </c>
      <c r="T48" s="19">
        <f t="shared" ca="1" si="38"/>
        <v>5518.3507974513241</v>
      </c>
      <c r="U48" s="19">
        <f t="shared" ca="1" si="38"/>
        <v>5751.4327213907736</v>
      </c>
      <c r="V48" s="19"/>
    </row>
    <row r="49" spans="1:25" s="5" customFormat="1" ht="11.25" customHeight="1">
      <c r="B49" s="60"/>
      <c r="D49" s="44"/>
      <c r="E49" s="44"/>
      <c r="F49" s="44"/>
      <c r="G49" s="44"/>
      <c r="H49" s="44"/>
      <c r="I49" s="44"/>
      <c r="J49" s="44"/>
      <c r="K49" s="44"/>
      <c r="L49" s="44"/>
      <c r="M49" s="44"/>
      <c r="N49" s="44"/>
      <c r="O49" s="44"/>
      <c r="P49" s="44"/>
      <c r="Q49" s="44"/>
      <c r="R49" s="44"/>
      <c r="S49" s="44"/>
      <c r="T49" s="44"/>
      <c r="U49" s="44"/>
      <c r="V49" s="44"/>
    </row>
    <row r="50" spans="1:25" s="18" customFormat="1" ht="11.25" customHeight="1">
      <c r="B50" s="30" t="s">
        <v>72</v>
      </c>
      <c r="D50" s="57">
        <f>('Historical Financials'!AX70/1000)*1000</f>
        <v>292.54599999999999</v>
      </c>
      <c r="E50" s="57">
        <f>('Historical Financials'!AY70/1000)*1000</f>
        <v>286.88400000000001</v>
      </c>
      <c r="F50" s="57">
        <f>('Historical Financials'!AZ70/1000)*1000</f>
        <v>331.72500000000002</v>
      </c>
      <c r="G50" s="57">
        <f>('Historical Financials'!BA70/1000)*1000</f>
        <v>422.39499999999998</v>
      </c>
      <c r="H50" s="57">
        <f>('Historical Financials'!BB70/1000)*1000</f>
        <v>437.25400000000002</v>
      </c>
      <c r="I50" s="57">
        <f>('Historical Financials'!BC70/1000)*1000</f>
        <v>532.19100000000003</v>
      </c>
      <c r="J50" s="57">
        <f ca="1">('D&amp;A Build (B)'!R57/1000)*1000</f>
        <v>662.112547543255</v>
      </c>
      <c r="K50" s="57">
        <f ca="1">('D&amp;A Build (B)'!S57/1000)*1000</f>
        <v>809.73824913179931</v>
      </c>
      <c r="L50" s="57">
        <f ca="1">('D&amp;A Build (B)'!T57/1000)*1000</f>
        <v>890.32920797869042</v>
      </c>
      <c r="M50" s="57">
        <f ca="1">('D&amp;A Build (B)'!U57/1000)*1000</f>
        <v>1081.0151476881192</v>
      </c>
      <c r="N50" s="57">
        <f ca="1">('D&amp;A Build (B)'!V57/1000)*1000</f>
        <v>1317.2844646100009</v>
      </c>
      <c r="O50" s="57">
        <f ca="1">('D&amp;A Build (B)'!W57/1000)*1000</f>
        <v>1433.1851282733758</v>
      </c>
      <c r="P50" s="57">
        <f ca="1">('D&amp;A Build (B)'!X57/1000)*1000</f>
        <v>1641.26142127209</v>
      </c>
      <c r="Q50" s="57">
        <f ca="1">('D&amp;A Build (B)'!Y57/1000)*1000</f>
        <v>1821.4331656058821</v>
      </c>
      <c r="R50" s="57">
        <f ca="1">('D&amp;A Build (B)'!Z57/1000)*1000</f>
        <v>1961.296617399641</v>
      </c>
      <c r="S50" s="57">
        <f ca="1">('D&amp;A Build (B)'!AA57/1000)*1000</f>
        <v>2046.2497834593071</v>
      </c>
      <c r="T50" s="57">
        <f ca="1">('D&amp;A Build (B)'!AB57/1000)*1000</f>
        <v>2061.3307662276584</v>
      </c>
      <c r="U50" s="57">
        <f ca="1">('D&amp;A Build (B)'!AC57/1000)*1000</f>
        <v>2011.2539135842735</v>
      </c>
      <c r="V50" s="67"/>
    </row>
    <row r="51" spans="1:25" ht="11.25" customHeight="1">
      <c r="B51" s="35" t="s">
        <v>249</v>
      </c>
      <c r="D51" s="274">
        <f>+'Historical Financials'!AX70/'Historical Financials'!AW70-1</f>
        <v>0.12455841594815165</v>
      </c>
      <c r="E51" s="211">
        <f>IF(AND(E50&gt;0,D50&gt;0),E50/D50-1,"n/m")</f>
        <v>-1.9354221216492329E-2</v>
      </c>
      <c r="F51" s="211">
        <f t="shared" ref="F51:U51" si="39">IF(AND(F50&gt;0,E50&gt;0),F50/E50-1,"n/m")</f>
        <v>0.15630359308988995</v>
      </c>
      <c r="G51" s="211">
        <f t="shared" si="39"/>
        <v>0.27332881151556254</v>
      </c>
      <c r="H51" s="211">
        <f t="shared" si="39"/>
        <v>3.5177973224114867E-2</v>
      </c>
      <c r="I51" s="211">
        <f t="shared" si="39"/>
        <v>0.21712094114633596</v>
      </c>
      <c r="J51" s="211">
        <f t="shared" ca="1" si="39"/>
        <v>0.24412578856699008</v>
      </c>
      <c r="K51" s="211">
        <f t="shared" ca="1" si="39"/>
        <v>0.22296164320749434</v>
      </c>
      <c r="L51" s="211">
        <f t="shared" ca="1" si="39"/>
        <v>9.9527173050427908E-2</v>
      </c>
      <c r="M51" s="211">
        <f t="shared" ca="1" si="39"/>
        <v>0.21417464236890771</v>
      </c>
      <c r="N51" s="211">
        <f t="shared" ca="1" si="39"/>
        <v>0.21856244792422386</v>
      </c>
      <c r="O51" s="211">
        <f t="shared" ca="1" si="39"/>
        <v>8.7984536960047377E-2</v>
      </c>
      <c r="P51" s="211">
        <f t="shared" ca="1" si="39"/>
        <v>0.14518451865977244</v>
      </c>
      <c r="Q51" s="211">
        <f t="shared" ca="1" si="39"/>
        <v>0.10977638418756386</v>
      </c>
      <c r="R51" s="211">
        <f t="shared" ca="1" si="39"/>
        <v>7.6787583774579282E-2</v>
      </c>
      <c r="S51" s="211">
        <f t="shared" ca="1" si="39"/>
        <v>4.3314797622146628E-2</v>
      </c>
      <c r="T51" s="211">
        <f t="shared" ca="1" si="39"/>
        <v>7.3700595549268666E-3</v>
      </c>
      <c r="U51" s="211">
        <f t="shared" ca="1" si="39"/>
        <v>-2.4293458121244726E-2</v>
      </c>
      <c r="V51" s="43"/>
    </row>
    <row r="52" spans="1:25" s="18" customFormat="1" ht="11.25" customHeight="1">
      <c r="B52" s="35" t="s">
        <v>259</v>
      </c>
      <c r="D52" s="120">
        <f t="shared" ref="D52:U52" si="40">D50/D12</f>
        <v>0.28361948594286646</v>
      </c>
      <c r="E52" s="120">
        <f t="shared" si="40"/>
        <v>0.26811953427613344</v>
      </c>
      <c r="F52" s="120">
        <f t="shared" si="40"/>
        <v>0.24769371539707691</v>
      </c>
      <c r="G52" s="120">
        <f t="shared" si="40"/>
        <v>0.2660898316789726</v>
      </c>
      <c r="H52" s="120">
        <f t="shared" si="40"/>
        <v>0.19314266614529652</v>
      </c>
      <c r="I52" s="120">
        <f t="shared" si="40"/>
        <v>0.24618686093028938</v>
      </c>
      <c r="J52" s="120">
        <f t="shared" ca="1" si="40"/>
        <v>0.22934353941165603</v>
      </c>
      <c r="K52" s="120">
        <f t="shared" ca="1" si="40"/>
        <v>0.22788441751905331</v>
      </c>
      <c r="L52" s="120">
        <f t="shared" ca="1" si="40"/>
        <v>0.20878202601486825</v>
      </c>
      <c r="M52" s="120">
        <f t="shared" ca="1" si="40"/>
        <v>0.21688210305357736</v>
      </c>
      <c r="N52" s="120">
        <f t="shared" ca="1" si="40"/>
        <v>0.22924009389406538</v>
      </c>
      <c r="O52" s="120">
        <f t="shared" ca="1" si="40"/>
        <v>0.21244397620760486</v>
      </c>
      <c r="P52" s="120">
        <f t="shared" ca="1" si="40"/>
        <v>0.21082895878538702</v>
      </c>
      <c r="Q52" s="120">
        <f t="shared" ca="1" si="40"/>
        <v>0.20792590670383612</v>
      </c>
      <c r="R52" s="120">
        <f t="shared" ca="1" si="40"/>
        <v>0.20402804952423739</v>
      </c>
      <c r="S52" s="120">
        <f t="shared" ca="1" si="40"/>
        <v>0.19884565992464923</v>
      </c>
      <c r="T52" s="120">
        <f t="shared" ca="1" si="40"/>
        <v>0.19160710421483376</v>
      </c>
      <c r="U52" s="120">
        <f t="shared" ca="1" si="40"/>
        <v>0.18287285825284044</v>
      </c>
      <c r="V52" s="67"/>
    </row>
    <row r="53" spans="1:25" s="18" customFormat="1" ht="11.25" customHeight="1">
      <c r="B53" s="30"/>
      <c r="D53" s="210"/>
      <c r="E53" s="210"/>
      <c r="F53" s="210"/>
      <c r="G53" s="210"/>
      <c r="H53" s="210"/>
      <c r="I53" s="210"/>
      <c r="J53" s="210"/>
      <c r="K53" s="21"/>
      <c r="L53" s="21"/>
      <c r="M53" s="21"/>
      <c r="N53" s="21"/>
      <c r="O53" s="21"/>
      <c r="P53" s="21"/>
      <c r="Q53" s="21"/>
      <c r="R53" s="21"/>
      <c r="S53" s="21"/>
      <c r="T53" s="21"/>
      <c r="U53" s="21"/>
      <c r="V53" s="67"/>
    </row>
    <row r="54" spans="1:25" s="5" customFormat="1" ht="11.25" customHeight="1">
      <c r="B54" s="48" t="s">
        <v>18</v>
      </c>
      <c r="D54" s="92">
        <f>D48+D50</f>
        <v>676.16955699999994</v>
      </c>
      <c r="E54" s="92">
        <f t="shared" ref="E54:U54" si="41">E48+E50</f>
        <v>659.58544800000016</v>
      </c>
      <c r="F54" s="92">
        <f t="shared" si="41"/>
        <v>898.50881100000004</v>
      </c>
      <c r="G54" s="92">
        <f t="shared" si="41"/>
        <v>1072.3760369999995</v>
      </c>
      <c r="H54" s="92">
        <f t="shared" si="41"/>
        <v>1558.5332920000001</v>
      </c>
      <c r="I54" s="92">
        <f t="shared" si="41"/>
        <v>1453.6569999999999</v>
      </c>
      <c r="J54" s="92">
        <f t="shared" ca="1" si="41"/>
        <v>1967.4962344246505</v>
      </c>
      <c r="K54" s="92">
        <f t="shared" ca="1" si="41"/>
        <v>2423.6801551471553</v>
      </c>
      <c r="L54" s="92">
        <f t="shared" ca="1" si="41"/>
        <v>2825.4698867945858</v>
      </c>
      <c r="M54" s="92">
        <f t="shared" ca="1" si="41"/>
        <v>3340.762437503824</v>
      </c>
      <c r="N54" s="92">
        <f t="shared" ca="1" si="41"/>
        <v>3920.0629584768049</v>
      </c>
      <c r="O54" s="92">
        <f t="shared" ca="1" si="41"/>
        <v>4556.3143769661665</v>
      </c>
      <c r="P54" s="92">
        <f t="shared" ca="1" si="41"/>
        <v>5323.0662841496805</v>
      </c>
      <c r="Q54" s="92">
        <f t="shared" ca="1" si="41"/>
        <v>6052.0616292425484</v>
      </c>
      <c r="R54" s="92">
        <f t="shared" ca="1" si="41"/>
        <v>6699.9439903619386</v>
      </c>
      <c r="S54" s="92">
        <f t="shared" ca="1" si="41"/>
        <v>7221.9069286948543</v>
      </c>
      <c r="T54" s="92">
        <f t="shared" ca="1" si="41"/>
        <v>7579.6815636789825</v>
      </c>
      <c r="U54" s="92">
        <f t="shared" ca="1" si="41"/>
        <v>7762.6866349750471</v>
      </c>
      <c r="V54" s="61"/>
      <c r="W54" s="275"/>
      <c r="X54" s="275"/>
    </row>
    <row r="55" spans="1:25" ht="11.25" customHeight="1">
      <c r="B55" s="9" t="s">
        <v>249</v>
      </c>
      <c r="D55" s="67"/>
      <c r="E55" s="211">
        <f>IF(AND(E54&gt;0,D54&gt;0),E54/D54-1,"n/m")</f>
        <v>-2.4526553773848492E-2</v>
      </c>
      <c r="F55" s="211">
        <f t="shared" ref="F55:U55" si="42">IF(AND(F54&gt;0,E54&gt;0),F54/E54-1,"n/m")</f>
        <v>0.36223261705434084</v>
      </c>
      <c r="G55" s="211">
        <f t="shared" si="42"/>
        <v>0.19350642294369158</v>
      </c>
      <c r="H55" s="211">
        <f t="shared" si="42"/>
        <v>0.45334587703026119</v>
      </c>
      <c r="I55" s="211">
        <f t="shared" si="42"/>
        <v>-6.7291659753650035E-2</v>
      </c>
      <c r="J55" s="211">
        <f t="shared" ca="1" si="42"/>
        <v>0.35348038390394065</v>
      </c>
      <c r="K55" s="211">
        <f t="shared" ca="1" si="42"/>
        <v>0.23186012391830846</v>
      </c>
      <c r="L55" s="211">
        <f t="shared" ca="1" si="42"/>
        <v>0.16577671389277659</v>
      </c>
      <c r="M55" s="211">
        <f t="shared" ca="1" si="42"/>
        <v>0.18237410815013955</v>
      </c>
      <c r="N55" s="211">
        <f t="shared" ca="1" si="42"/>
        <v>0.17340368607766887</v>
      </c>
      <c r="O55" s="211">
        <f t="shared" ca="1" si="42"/>
        <v>0.16230642855200106</v>
      </c>
      <c r="P55" s="211">
        <f t="shared" ca="1" si="42"/>
        <v>0.16828336320683346</v>
      </c>
      <c r="Q55" s="211">
        <f t="shared" ca="1" si="42"/>
        <v>0.13695026628985874</v>
      </c>
      <c r="R55" s="211">
        <f t="shared" ca="1" si="42"/>
        <v>0.10705151414667213</v>
      </c>
      <c r="S55" s="211">
        <f t="shared" ca="1" si="42"/>
        <v>7.7905567432171807E-2</v>
      </c>
      <c r="T55" s="211">
        <f t="shared" ca="1" si="42"/>
        <v>4.9540189110244492E-2</v>
      </c>
      <c r="U55" s="211">
        <f t="shared" ca="1" si="42"/>
        <v>2.4144163545471997E-2</v>
      </c>
      <c r="V55" s="67"/>
    </row>
    <row r="56" spans="1:25" ht="11.25" customHeight="1">
      <c r="B56" s="35" t="s">
        <v>17</v>
      </c>
      <c r="D56" s="211">
        <f t="shared" ref="D56:U56" si="43">IFERROR(D54/D12,"n/a")</f>
        <v>0.65553746134473123</v>
      </c>
      <c r="E56" s="211">
        <f t="shared" si="43"/>
        <v>0.61644338176083313</v>
      </c>
      <c r="F56" s="211">
        <f t="shared" si="43"/>
        <v>0.67090205957826499</v>
      </c>
      <c r="G56" s="211">
        <f t="shared" si="43"/>
        <v>0.67554861961409007</v>
      </c>
      <c r="H56" s="211">
        <f t="shared" si="43"/>
        <v>0.68843115281526512</v>
      </c>
      <c r="I56" s="211">
        <f t="shared" si="43"/>
        <v>0.67244890217861941</v>
      </c>
      <c r="J56" s="211">
        <f t="shared" ca="1" si="43"/>
        <v>0.6815043029411495</v>
      </c>
      <c r="K56" s="211">
        <f t="shared" ca="1" si="43"/>
        <v>0.6820956537503251</v>
      </c>
      <c r="L56" s="211">
        <f t="shared" ca="1" si="43"/>
        <v>0.66257213862301279</v>
      </c>
      <c r="M56" s="211">
        <f t="shared" ca="1" si="43"/>
        <v>0.67025109203859468</v>
      </c>
      <c r="N56" s="211">
        <f t="shared" ca="1" si="43"/>
        <v>0.68218795925595554</v>
      </c>
      <c r="O56" s="211">
        <f t="shared" ca="1" si="43"/>
        <v>0.67539184156949494</v>
      </c>
      <c r="P56" s="211">
        <f t="shared" ca="1" si="43"/>
        <v>0.68377682414727725</v>
      </c>
      <c r="Q56" s="211">
        <f t="shared" ca="1" si="43"/>
        <v>0.69087377206572631</v>
      </c>
      <c r="R56" s="211">
        <f t="shared" ca="1" si="43"/>
        <v>0.69697591488612765</v>
      </c>
      <c r="S56" s="211">
        <f t="shared" ca="1" si="43"/>
        <v>0.70179352528653938</v>
      </c>
      <c r="T56" s="211">
        <f t="shared" ca="1" si="43"/>
        <v>0.70455496957672392</v>
      </c>
      <c r="U56" s="211">
        <f t="shared" ca="1" si="43"/>
        <v>0.70582072361473058</v>
      </c>
      <c r="V56" s="67"/>
    </row>
    <row r="57" spans="1:25" ht="11.25" customHeight="1">
      <c r="B57" s="12"/>
      <c r="D57" s="47"/>
      <c r="E57" s="47"/>
      <c r="J57" s="47"/>
      <c r="K57" s="47"/>
      <c r="L57" s="47"/>
      <c r="M57" s="47"/>
      <c r="N57" s="47"/>
      <c r="O57" s="47"/>
      <c r="P57" s="47"/>
      <c r="Q57" s="47"/>
      <c r="R57" s="47"/>
      <c r="S57" s="47"/>
      <c r="T57" s="47"/>
      <c r="U57" s="47"/>
      <c r="V57" s="47"/>
    </row>
    <row r="58" spans="1:25" s="18" customFormat="1" ht="11.25" customHeight="1">
      <c r="B58" s="30" t="s">
        <v>69</v>
      </c>
      <c r="D58" s="57">
        <f>('Historical Financials'!AX72/1000)*1000</f>
        <v>315.58199999999999</v>
      </c>
      <c r="E58" s="57">
        <f>('Historical Financials'!AY72/1000)*1000</f>
        <v>460.42200000000003</v>
      </c>
      <c r="F58" s="57">
        <f>('Historical Financials'!AZ72/1000)*1000</f>
        <v>507.23899999999998</v>
      </c>
      <c r="G58" s="57">
        <f>('Historical Financials'!BA72/1000)*1000</f>
        <v>839.19600000000003</v>
      </c>
      <c r="H58" s="57">
        <f>('Historical Financials'!BB72/1000)*1000</f>
        <v>1082.672</v>
      </c>
      <c r="I58" s="57">
        <f>('Historical Financials'!BC72/1000)*1000</f>
        <v>949.81700000000001</v>
      </c>
      <c r="J58" s="57">
        <f ca="1">('Historical Financials'!BD72/1000)*1000</f>
        <v>990.18415175882456</v>
      </c>
      <c r="K58" s="19">
        <f t="shared" ref="K58:U58" ca="1" si="44">K59*K12</f>
        <v>1243.6496987444702</v>
      </c>
      <c r="L58" s="19">
        <f t="shared" ca="1" si="44"/>
        <v>1492.5385520032753</v>
      </c>
      <c r="M58" s="19">
        <f t="shared" ca="1" si="44"/>
        <v>1744.5206237112839</v>
      </c>
      <c r="N58" s="19">
        <f t="shared" ca="1" si="44"/>
        <v>2011.2082261951823</v>
      </c>
      <c r="O58" s="19">
        <f t="shared" ca="1" si="44"/>
        <v>2178.0521338365261</v>
      </c>
      <c r="P58" s="19">
        <f t="shared" ca="1" si="44"/>
        <v>2302.0767718914035</v>
      </c>
      <c r="Q58" s="19">
        <f t="shared" ca="1" si="44"/>
        <v>2352.6885855110522</v>
      </c>
      <c r="R58" s="19">
        <f t="shared" ca="1" si="44"/>
        <v>2320.8232475419222</v>
      </c>
      <c r="S58" s="19">
        <f t="shared" ca="1" si="44"/>
        <v>2205.1378773955876</v>
      </c>
      <c r="T58" s="19">
        <f t="shared" ca="1" si="44"/>
        <v>2013.3038943889749</v>
      </c>
      <c r="U58" s="19">
        <f t="shared" ca="1" si="44"/>
        <v>1759.6959398346662</v>
      </c>
      <c r="V58" s="19"/>
    </row>
    <row r="59" spans="1:25" s="18" customFormat="1" ht="11.25" customHeight="1">
      <c r="B59" s="35" t="s">
        <v>259</v>
      </c>
      <c r="D59" s="67">
        <f t="shared" ref="D59:J59" si="45">D58/D12</f>
        <v>0.30595258391098046</v>
      </c>
      <c r="E59" s="67">
        <f t="shared" si="45"/>
        <v>0.43030678675173906</v>
      </c>
      <c r="F59" s="67">
        <f t="shared" si="45"/>
        <v>0.37874719271775681</v>
      </c>
      <c r="G59" s="67">
        <f t="shared" si="45"/>
        <v>0.5286556952276118</v>
      </c>
      <c r="H59" s="67">
        <f t="shared" si="45"/>
        <v>0.47823497701761553</v>
      </c>
      <c r="I59" s="67">
        <f t="shared" si="45"/>
        <v>0.43937696369954521</v>
      </c>
      <c r="J59" s="67">
        <f t="shared" ca="1" si="45"/>
        <v>0.34298147479052499</v>
      </c>
      <c r="K59" s="683">
        <f>+'Simple Model (A)'!K60</f>
        <v>0.35</v>
      </c>
      <c r="L59" s="142">
        <v>0.35</v>
      </c>
      <c r="M59" s="142">
        <v>0.35</v>
      </c>
      <c r="N59" s="142">
        <v>0.35</v>
      </c>
      <c r="O59" s="142">
        <f>+N59-($N59-$U59)/7</f>
        <v>0.32285714285714284</v>
      </c>
      <c r="P59" s="142">
        <f t="shared" ref="P59:T59" si="46">+O59-($N59-$U59)/7</f>
        <v>0.29571428571428571</v>
      </c>
      <c r="Q59" s="142">
        <f t="shared" si="46"/>
        <v>0.26857142857142857</v>
      </c>
      <c r="R59" s="142">
        <f t="shared" si="46"/>
        <v>0.24142857142857144</v>
      </c>
      <c r="S59" s="142">
        <f t="shared" si="46"/>
        <v>0.2142857142857143</v>
      </c>
      <c r="T59" s="142">
        <f t="shared" si="46"/>
        <v>0.18714285714285717</v>
      </c>
      <c r="U59" s="142">
        <v>0.16</v>
      </c>
      <c r="V59" s="67"/>
      <c r="Y59" s="562">
        <f ca="1">U64-U31</f>
        <v>2.2872858252840356E-2</v>
      </c>
    </row>
    <row r="60" spans="1:25" ht="11.25" customHeight="1">
      <c r="A60" s="628" t="s">
        <v>970</v>
      </c>
      <c r="B60" s="35" t="s">
        <v>64</v>
      </c>
      <c r="D60" s="43"/>
      <c r="E60" s="34"/>
      <c r="F60" s="34"/>
      <c r="G60" s="34"/>
      <c r="H60" s="34"/>
      <c r="I60" s="95"/>
      <c r="J60" s="95">
        <f>_xll.VAData($A$2,J$1,$A60, "vaactuals.consensus", "CD", "IMPL","","")/1000</f>
        <v>956.00653599999998</v>
      </c>
      <c r="K60" s="95">
        <f>_xll.VAData($A$2,K$1,$A60, "vaactuals.consensus", "CD", "IMPL","","")/1000</f>
        <v>1282.1009226037993</v>
      </c>
      <c r="L60" s="95">
        <f>_xll.VAData($A$2,L$1,$A60, "vaactuals.consensus", "CD", "IMPL","","")/1000</f>
        <v>1398.0392415341614</v>
      </c>
      <c r="M60" s="47"/>
      <c r="N60" s="47"/>
      <c r="O60" s="47"/>
      <c r="P60" s="47"/>
      <c r="Q60" s="47"/>
      <c r="R60" s="47"/>
      <c r="S60" s="47"/>
      <c r="T60" s="47"/>
      <c r="U60" s="47"/>
      <c r="V60" s="47"/>
    </row>
    <row r="61" spans="1:25" ht="11.25" customHeight="1">
      <c r="B61" s="12"/>
      <c r="D61" s="47"/>
      <c r="E61" s="47"/>
      <c r="J61" s="47"/>
      <c r="K61" s="47"/>
      <c r="L61" s="47"/>
      <c r="M61" s="47"/>
      <c r="N61" s="47"/>
      <c r="O61" s="47"/>
      <c r="P61" s="47"/>
      <c r="Q61" s="47"/>
      <c r="R61" s="47"/>
      <c r="S61" s="47"/>
      <c r="T61" s="47"/>
      <c r="U61" s="47"/>
      <c r="V61" s="47"/>
    </row>
    <row r="62" spans="1:25" s="5" customFormat="1" ht="11.25" customHeight="1">
      <c r="B62" s="48" t="s">
        <v>30</v>
      </c>
      <c r="D62" s="44">
        <f>D54-D58</f>
        <v>360.58755699999995</v>
      </c>
      <c r="E62" s="44">
        <f t="shared" ref="E62:U62" si="47">E54-E58</f>
        <v>199.16344800000013</v>
      </c>
      <c r="F62" s="44">
        <f t="shared" si="47"/>
        <v>391.26981100000006</v>
      </c>
      <c r="G62" s="44">
        <f t="shared" si="47"/>
        <v>233.18003699999952</v>
      </c>
      <c r="H62" s="44">
        <f t="shared" si="47"/>
        <v>475.86129200000005</v>
      </c>
      <c r="I62" s="44">
        <f t="shared" si="47"/>
        <v>503.83999999999992</v>
      </c>
      <c r="J62" s="44">
        <f t="shared" ca="1" si="47"/>
        <v>977.31208266582598</v>
      </c>
      <c r="K62" s="44">
        <f t="shared" ca="1" si="47"/>
        <v>1180.0304564026851</v>
      </c>
      <c r="L62" s="44">
        <f t="shared" ca="1" si="47"/>
        <v>1332.9313347913105</v>
      </c>
      <c r="M62" s="44">
        <f t="shared" ca="1" si="47"/>
        <v>1596.2418137925401</v>
      </c>
      <c r="N62" s="44">
        <f t="shared" ca="1" si="47"/>
        <v>1908.8547322816225</v>
      </c>
      <c r="O62" s="44">
        <f t="shared" ca="1" si="47"/>
        <v>2378.2622431296404</v>
      </c>
      <c r="P62" s="44">
        <f t="shared" ca="1" si="47"/>
        <v>3020.989512258277</v>
      </c>
      <c r="Q62" s="44">
        <f t="shared" ca="1" si="47"/>
        <v>3699.3730437314962</v>
      </c>
      <c r="R62" s="44">
        <f t="shared" ca="1" si="47"/>
        <v>4379.1207428200159</v>
      </c>
      <c r="S62" s="44">
        <f t="shared" ca="1" si="47"/>
        <v>5016.7690512992667</v>
      </c>
      <c r="T62" s="44">
        <f t="shared" ca="1" si="47"/>
        <v>5566.3776692900074</v>
      </c>
      <c r="U62" s="44">
        <f t="shared" ca="1" si="47"/>
        <v>6002.9906951403809</v>
      </c>
      <c r="V62" s="44"/>
    </row>
    <row r="63" spans="1:25" ht="11.25" customHeight="1">
      <c r="B63" s="9" t="s">
        <v>249</v>
      </c>
      <c r="D63" s="67"/>
      <c r="E63" s="211">
        <f>IF(AND(E62&gt;0,D62&gt;0),E62/D62-1,"n/m")</f>
        <v>-0.44766965988235652</v>
      </c>
      <c r="F63" s="211">
        <f t="shared" ref="F63:U63" si="48">IF(AND(F62&gt;0,E62&gt;0),F62/E62-1,"n/m")</f>
        <v>0.96456636460722356</v>
      </c>
      <c r="G63" s="211">
        <f t="shared" si="48"/>
        <v>-0.40404286135942269</v>
      </c>
      <c r="H63" s="211">
        <f t="shared" si="48"/>
        <v>1.0407462753769141</v>
      </c>
      <c r="I63" s="211">
        <f t="shared" si="48"/>
        <v>5.8795931651444144E-2</v>
      </c>
      <c r="J63" s="211">
        <f t="shared" ca="1" si="48"/>
        <v>0.93972706149933738</v>
      </c>
      <c r="K63" s="211">
        <f t="shared" ca="1" si="48"/>
        <v>0.20742440140911977</v>
      </c>
      <c r="L63" s="211">
        <f t="shared" ca="1" si="48"/>
        <v>0.12957367122094698</v>
      </c>
      <c r="M63" s="211">
        <f t="shared" ca="1" si="48"/>
        <v>0.19754241807396222</v>
      </c>
      <c r="N63" s="211">
        <f t="shared" ca="1" si="48"/>
        <v>0.19584308328970512</v>
      </c>
      <c r="O63" s="211">
        <f t="shared" ca="1" si="48"/>
        <v>0.24591054673235546</v>
      </c>
      <c r="P63" s="211">
        <f t="shared" ca="1" si="48"/>
        <v>0.27025079802925722</v>
      </c>
      <c r="Q63" s="211">
        <f t="shared" ca="1" si="48"/>
        <v>0.22455673173327506</v>
      </c>
      <c r="R63" s="211">
        <f t="shared" ca="1" si="48"/>
        <v>0.18374672979799556</v>
      </c>
      <c r="S63" s="211">
        <f t="shared" ca="1" si="48"/>
        <v>0.14561103607949977</v>
      </c>
      <c r="T63" s="211">
        <f t="shared" ca="1" si="48"/>
        <v>0.10955429926526117</v>
      </c>
      <c r="U63" s="211">
        <f t="shared" ca="1" si="48"/>
        <v>7.843754983769613E-2</v>
      </c>
      <c r="V63" s="67"/>
    </row>
    <row r="64" spans="1:25" ht="11.25" customHeight="1">
      <c r="B64" s="35" t="s">
        <v>17</v>
      </c>
      <c r="D64" s="211">
        <f t="shared" ref="D64:U64" si="49">IFERROR(D62/D12,"n/a")</f>
        <v>0.34958487743375077</v>
      </c>
      <c r="E64" s="211">
        <f t="shared" si="49"/>
        <v>0.1861365950090941</v>
      </c>
      <c r="F64" s="211">
        <f t="shared" si="49"/>
        <v>0.29215486686050818</v>
      </c>
      <c r="G64" s="211">
        <f t="shared" si="49"/>
        <v>0.14689292438647825</v>
      </c>
      <c r="H64" s="211">
        <f t="shared" si="49"/>
        <v>0.21019617579764957</v>
      </c>
      <c r="I64" s="211">
        <f t="shared" si="49"/>
        <v>0.2330719384790742</v>
      </c>
      <c r="J64" s="211">
        <f t="shared" ca="1" si="49"/>
        <v>0.33852282815062451</v>
      </c>
      <c r="K64" s="211">
        <f t="shared" ca="1" si="49"/>
        <v>0.33209565375032513</v>
      </c>
      <c r="L64" s="211">
        <f t="shared" ca="1" si="49"/>
        <v>0.31257213862301286</v>
      </c>
      <c r="M64" s="211">
        <f t="shared" ca="1" si="49"/>
        <v>0.32025109203859475</v>
      </c>
      <c r="N64" s="211">
        <f t="shared" ca="1" si="49"/>
        <v>0.33218795925595557</v>
      </c>
      <c r="O64" s="211">
        <f t="shared" ca="1" si="49"/>
        <v>0.3525346987123521</v>
      </c>
      <c r="P64" s="211">
        <f t="shared" ca="1" si="49"/>
        <v>0.38806253843299149</v>
      </c>
      <c r="Q64" s="211">
        <f t="shared" ca="1" si="49"/>
        <v>0.42230234349429774</v>
      </c>
      <c r="R64" s="211">
        <f t="shared" ca="1" si="49"/>
        <v>0.45554734345755615</v>
      </c>
      <c r="S64" s="211">
        <f t="shared" ca="1" si="49"/>
        <v>0.48750781100082508</v>
      </c>
      <c r="T64" s="211">
        <f t="shared" ca="1" si="49"/>
        <v>0.51741211243386676</v>
      </c>
      <c r="U64" s="211">
        <f t="shared" ca="1" si="49"/>
        <v>0.54582072361473055</v>
      </c>
      <c r="V64" s="67"/>
    </row>
    <row r="65" spans="2:22" ht="11.25" customHeight="1">
      <c r="B65" s="35"/>
      <c r="D65" s="211"/>
      <c r="E65" s="211"/>
      <c r="F65" s="211"/>
      <c r="G65" s="211"/>
      <c r="H65" s="211"/>
      <c r="I65" s="211"/>
      <c r="J65" s="211"/>
      <c r="K65" s="211"/>
      <c r="L65" s="211"/>
      <c r="M65" s="211"/>
      <c r="N65" s="211"/>
      <c r="O65" s="211"/>
      <c r="P65" s="211"/>
      <c r="Q65" s="211"/>
      <c r="R65" s="211"/>
      <c r="S65" s="211"/>
      <c r="T65" s="211"/>
      <c r="U65" s="211"/>
      <c r="V65" s="67"/>
    </row>
    <row r="66" spans="2:22" ht="11.25" customHeight="1">
      <c r="B66" s="35" t="s">
        <v>775</v>
      </c>
      <c r="D66" s="211"/>
      <c r="E66" s="211"/>
      <c r="F66" s="211"/>
      <c r="G66" s="211"/>
      <c r="H66" s="211"/>
      <c r="I66" s="211"/>
      <c r="J66" s="211"/>
      <c r="K66" s="211"/>
      <c r="L66" s="211"/>
      <c r="M66" s="211"/>
      <c r="N66" s="211"/>
      <c r="O66" s="211"/>
      <c r="P66" s="211"/>
      <c r="Q66" s="211"/>
      <c r="R66" s="211"/>
      <c r="S66" s="211"/>
      <c r="T66" s="211"/>
      <c r="U66" s="211"/>
      <c r="V66" s="67"/>
    </row>
    <row r="67" spans="2:22" ht="11.25" customHeight="1">
      <c r="B67" s="35" t="s">
        <v>776</v>
      </c>
      <c r="D67" s="538">
        <f>D157</f>
        <v>1156.0029999999999</v>
      </c>
      <c r="E67" s="538">
        <f t="shared" ref="E67:U67" si="50">E157</f>
        <v>1336.5605</v>
      </c>
      <c r="F67" s="538">
        <f t="shared" si="50"/>
        <v>1592.1025</v>
      </c>
      <c r="G67" s="538">
        <f t="shared" si="50"/>
        <v>1939.4894999999999</v>
      </c>
      <c r="H67" s="538">
        <f t="shared" si="50"/>
        <v>2470.7885000000001</v>
      </c>
      <c r="I67" s="538">
        <f t="shared" si="50"/>
        <v>2958.3029999999999</v>
      </c>
      <c r="J67" s="538">
        <f t="shared" ca="1" si="50"/>
        <v>3355.2073333712879</v>
      </c>
      <c r="K67" s="538">
        <f t="shared" ca="1" si="50"/>
        <v>3799.3227226948807</v>
      </c>
      <c r="L67" s="538">
        <f t="shared" ca="1" si="50"/>
        <v>4398.046997308853</v>
      </c>
      <c r="M67" s="538">
        <f t="shared" ca="1" si="50"/>
        <v>5135.7892950356927</v>
      </c>
      <c r="N67" s="538">
        <f t="shared" ca="1" si="50"/>
        <v>5915.4056678791003</v>
      </c>
      <c r="O67" s="538">
        <f t="shared" ca="1" si="50"/>
        <v>6752.7118890654938</v>
      </c>
      <c r="P67" s="538">
        <f t="shared" ca="1" si="50"/>
        <v>7591.3502327372989</v>
      </c>
      <c r="Q67" s="538">
        <f t="shared" ca="1" si="50"/>
        <v>8336.2137214515587</v>
      </c>
      <c r="R67" s="538">
        <f t="shared" ca="1" si="50"/>
        <v>8940.8440999288632</v>
      </c>
      <c r="S67" s="538">
        <f t="shared" ca="1" si="50"/>
        <v>9367.7052402453355</v>
      </c>
      <c r="T67" s="538">
        <f t="shared" ca="1" si="50"/>
        <v>9597.1318216544769</v>
      </c>
      <c r="U67" s="538">
        <f t="shared" ca="1" si="50"/>
        <v>9625.8288224113385</v>
      </c>
      <c r="V67" s="67"/>
    </row>
    <row r="68" spans="2:22" ht="11.25" customHeight="1">
      <c r="B68" s="36" t="s">
        <v>249</v>
      </c>
      <c r="D68" s="211"/>
      <c r="E68" s="211">
        <f>IF(AND(E67&gt;0,D67&gt;0),E67/D67-1,"n/m")</f>
        <v>0.156191203656046</v>
      </c>
      <c r="F68" s="211">
        <f t="shared" ref="F68:U68" si="51">IF(AND(F67&gt;0,E67&gt;0),F67/E67-1,"n/m")</f>
        <v>0.19119373945287177</v>
      </c>
      <c r="G68" s="211">
        <f t="shared" si="51"/>
        <v>0.21819386628687543</v>
      </c>
      <c r="H68" s="211">
        <f t="shared" si="51"/>
        <v>0.2739375490302991</v>
      </c>
      <c r="I68" s="211">
        <f t="shared" si="51"/>
        <v>0.19731130365873062</v>
      </c>
      <c r="J68" s="211">
        <f t="shared" ca="1" si="51"/>
        <v>0.13416622075943141</v>
      </c>
      <c r="K68" s="211">
        <f t="shared" ca="1" si="51"/>
        <v>0.13236600460018333</v>
      </c>
      <c r="L68" s="211">
        <f t="shared" ca="1" si="51"/>
        <v>0.15758710652231556</v>
      </c>
      <c r="M68" s="211">
        <f t="shared" ca="1" si="51"/>
        <v>0.16774315922004956</v>
      </c>
      <c r="N68" s="211">
        <f t="shared" ca="1" si="51"/>
        <v>0.15180069275758501</v>
      </c>
      <c r="O68" s="211">
        <f t="shared" ca="1" si="51"/>
        <v>0.1415467117890159</v>
      </c>
      <c r="P68" s="211">
        <f t="shared" ca="1" si="51"/>
        <v>0.12419282170616408</v>
      </c>
      <c r="Q68" s="211">
        <f t="shared" ca="1" si="51"/>
        <v>9.8120026856628906E-2</v>
      </c>
      <c r="R68" s="211">
        <f t="shared" ca="1" si="51"/>
        <v>7.2530575472340653E-2</v>
      </c>
      <c r="S68" s="211">
        <f t="shared" ca="1" si="51"/>
        <v>4.7742823333634554E-2</v>
      </c>
      <c r="T68" s="211">
        <f t="shared" ca="1" si="51"/>
        <v>2.4491225494957192E-2</v>
      </c>
      <c r="U68" s="211">
        <f t="shared" ca="1" si="51"/>
        <v>2.9901642793017658E-3</v>
      </c>
      <c r="V68" s="67"/>
    </row>
    <row r="69" spans="2:22" ht="11.25" customHeight="1">
      <c r="B69" s="35" t="s">
        <v>546</v>
      </c>
      <c r="D69" s="211">
        <f t="shared" ref="D69:U69" si="52">D159</f>
        <v>0.33185342685096841</v>
      </c>
      <c r="E69" s="211">
        <f t="shared" si="52"/>
        <v>0.27885116161969481</v>
      </c>
      <c r="F69" s="211">
        <f t="shared" si="52"/>
        <v>0.35599706111886642</v>
      </c>
      <c r="G69" s="211">
        <f t="shared" si="52"/>
        <v>0.33512995919802591</v>
      </c>
      <c r="H69" s="211">
        <f t="shared" si="52"/>
        <v>0.45381435602440279</v>
      </c>
      <c r="I69" s="211">
        <f t="shared" si="52"/>
        <v>0.31148465860326002</v>
      </c>
      <c r="J69" s="211">
        <f t="shared" ca="1" si="52"/>
        <v>0.38906200338139924</v>
      </c>
      <c r="K69" s="211">
        <f t="shared" ca="1" si="52"/>
        <v>0.4247972662007975</v>
      </c>
      <c r="L69" s="211">
        <f t="shared" si="52"/>
        <v>0.44</v>
      </c>
      <c r="M69" s="211">
        <f t="shared" si="52"/>
        <v>0.44</v>
      </c>
      <c r="N69" s="211">
        <f t="shared" si="52"/>
        <v>0.44</v>
      </c>
      <c r="O69" s="211">
        <f t="shared" si="52"/>
        <v>0.46250000000000002</v>
      </c>
      <c r="P69" s="211">
        <f t="shared" si="52"/>
        <v>0.48500000000000004</v>
      </c>
      <c r="Q69" s="211">
        <f t="shared" si="52"/>
        <v>0.50750000000000006</v>
      </c>
      <c r="R69" s="211">
        <f t="shared" si="52"/>
        <v>0.53</v>
      </c>
      <c r="S69" s="211">
        <f t="shared" si="52"/>
        <v>0.55249999999999999</v>
      </c>
      <c r="T69" s="211">
        <f t="shared" si="52"/>
        <v>0.57499999999999996</v>
      </c>
      <c r="U69" s="211">
        <f t="shared" si="52"/>
        <v>0.59749999999999992</v>
      </c>
      <c r="V69" s="67"/>
    </row>
    <row r="70" spans="2:22" ht="11.25" customHeight="1">
      <c r="B70" s="35"/>
      <c r="D70" s="72"/>
      <c r="E70" s="72"/>
      <c r="F70" s="72"/>
      <c r="G70" s="72"/>
      <c r="H70" s="72"/>
      <c r="I70" s="72"/>
      <c r="J70" s="72"/>
      <c r="K70" s="72"/>
      <c r="L70" s="72"/>
      <c r="M70" s="72"/>
      <c r="N70" s="72"/>
      <c r="O70" s="72"/>
      <c r="P70" s="72"/>
      <c r="Q70" s="72"/>
      <c r="R70" s="72"/>
      <c r="S70" s="72"/>
      <c r="T70" s="72"/>
      <c r="U70" s="72"/>
      <c r="V70" s="67"/>
    </row>
    <row r="71" spans="2:22" ht="11.25" customHeight="1">
      <c r="B71" s="30" t="s">
        <v>280</v>
      </c>
      <c r="D71" s="19">
        <f t="shared" ref="D71:U71" si="53">-D35</f>
        <v>11.643000000000001</v>
      </c>
      <c r="E71" s="19">
        <f t="shared" si="53"/>
        <v>12.939</v>
      </c>
      <c r="F71" s="19">
        <f t="shared" si="53"/>
        <v>6.9370000000000003</v>
      </c>
      <c r="G71" s="19">
        <f t="shared" si="53"/>
        <v>0.29399999999999998</v>
      </c>
      <c r="H71" s="19">
        <f t="shared" si="53"/>
        <v>10.672000000000001</v>
      </c>
      <c r="I71" s="19">
        <f t="shared" si="53"/>
        <v>48.293999999999997</v>
      </c>
      <c r="J71" s="19">
        <f t="shared" si="53"/>
        <v>77.548677962169123</v>
      </c>
      <c r="K71" s="19">
        <f t="shared" ca="1" si="53"/>
        <v>0</v>
      </c>
      <c r="L71" s="19">
        <f t="shared" ca="1" si="53"/>
        <v>0</v>
      </c>
      <c r="M71" s="19">
        <f t="shared" ca="1" si="53"/>
        <v>0</v>
      </c>
      <c r="N71" s="19">
        <f t="shared" ca="1" si="53"/>
        <v>0</v>
      </c>
      <c r="O71" s="19">
        <f t="shared" ca="1" si="53"/>
        <v>0</v>
      </c>
      <c r="P71" s="19">
        <f t="shared" ca="1" si="53"/>
        <v>0</v>
      </c>
      <c r="Q71" s="19">
        <f t="shared" ca="1" si="53"/>
        <v>0</v>
      </c>
      <c r="R71" s="19">
        <f t="shared" ca="1" si="53"/>
        <v>0</v>
      </c>
      <c r="S71" s="19">
        <f t="shared" ca="1" si="53"/>
        <v>0</v>
      </c>
      <c r="T71" s="19">
        <f t="shared" ca="1" si="53"/>
        <v>0</v>
      </c>
      <c r="U71" s="19">
        <f t="shared" ca="1" si="53"/>
        <v>0</v>
      </c>
      <c r="V71" s="67"/>
    </row>
    <row r="72" spans="2:22" ht="11.25" customHeight="1">
      <c r="B72" s="13" t="s">
        <v>254</v>
      </c>
      <c r="D72" s="19">
        <f t="shared" ref="D72:U72" si="54">-D41</f>
        <v>-59.626433550000002</v>
      </c>
      <c r="E72" s="19">
        <f t="shared" si="54"/>
        <v>-58.476817200000021</v>
      </c>
      <c r="F72" s="19">
        <f t="shared" si="54"/>
        <v>-87.716521650000033</v>
      </c>
      <c r="G72" s="19">
        <f t="shared" si="54"/>
        <v>-99.468905550000002</v>
      </c>
      <c r="H72" s="19">
        <f t="shared" si="54"/>
        <v>-171.62869380000004</v>
      </c>
      <c r="I72" s="19">
        <f t="shared" si="54"/>
        <v>-146.87564999999998</v>
      </c>
      <c r="J72" s="19">
        <f t="shared" ca="1" si="54"/>
        <v>-208.56528842171258</v>
      </c>
      <c r="K72" s="19">
        <f t="shared" ca="1" si="54"/>
        <v>-242.09128590230324</v>
      </c>
      <c r="L72" s="19">
        <f t="shared" ca="1" si="54"/>
        <v>-290.27110182238414</v>
      </c>
      <c r="M72" s="19">
        <f t="shared" ca="1" si="54"/>
        <v>-338.96209347235549</v>
      </c>
      <c r="N72" s="19">
        <f t="shared" ca="1" si="54"/>
        <v>-390.41677408002039</v>
      </c>
      <c r="O72" s="19">
        <f t="shared" ca="1" si="54"/>
        <v>-468.46938730391838</v>
      </c>
      <c r="P72" s="19">
        <f t="shared" ca="1" si="54"/>
        <v>-552.2707294316383</v>
      </c>
      <c r="Q72" s="19">
        <f t="shared" ca="1" si="54"/>
        <v>-634.59426954549951</v>
      </c>
      <c r="R72" s="19">
        <f t="shared" ca="1" si="54"/>
        <v>-710.79710594434425</v>
      </c>
      <c r="S72" s="19">
        <f t="shared" ca="1" si="54"/>
        <v>-776.34857178533161</v>
      </c>
      <c r="T72" s="19">
        <f t="shared" ca="1" si="54"/>
        <v>-827.75261961769809</v>
      </c>
      <c r="U72" s="19">
        <f t="shared" ca="1" si="54"/>
        <v>-862.7149082086155</v>
      </c>
      <c r="V72" s="67"/>
    </row>
    <row r="73" spans="2:22" s="5" customFormat="1" ht="11.25" customHeight="1">
      <c r="B73" s="182" t="s">
        <v>31</v>
      </c>
      <c r="C73" s="147"/>
      <c r="D73" s="150">
        <f t="shared" ref="D73:U73" si="55">D62+SUM(D71:D72)</f>
        <v>312.60412344999997</v>
      </c>
      <c r="E73" s="150">
        <f t="shared" si="55"/>
        <v>153.62563080000012</v>
      </c>
      <c r="F73" s="150">
        <f t="shared" si="55"/>
        <v>310.49028935000001</v>
      </c>
      <c r="G73" s="150">
        <f t="shared" si="55"/>
        <v>134.00513144999951</v>
      </c>
      <c r="H73" s="150">
        <f t="shared" si="55"/>
        <v>314.90459820000001</v>
      </c>
      <c r="I73" s="150">
        <f t="shared" si="55"/>
        <v>405.25834999999995</v>
      </c>
      <c r="J73" s="150">
        <f t="shared" ca="1" si="55"/>
        <v>846.29547220628251</v>
      </c>
      <c r="K73" s="150">
        <f t="shared" ca="1" si="55"/>
        <v>937.93917050038181</v>
      </c>
      <c r="L73" s="150">
        <f t="shared" ca="1" si="55"/>
        <v>1042.6602329689263</v>
      </c>
      <c r="M73" s="150">
        <f t="shared" ca="1" si="55"/>
        <v>1257.2797203201847</v>
      </c>
      <c r="N73" s="150">
        <f t="shared" ca="1" si="55"/>
        <v>1518.4379582016022</v>
      </c>
      <c r="O73" s="150">
        <f t="shared" ca="1" si="55"/>
        <v>1909.792855825722</v>
      </c>
      <c r="P73" s="150">
        <f t="shared" ca="1" si="55"/>
        <v>2468.7187828266387</v>
      </c>
      <c r="Q73" s="150">
        <f t="shared" ca="1" si="55"/>
        <v>3064.7787741859966</v>
      </c>
      <c r="R73" s="150">
        <f t="shared" ca="1" si="55"/>
        <v>3668.3236368756716</v>
      </c>
      <c r="S73" s="150">
        <f t="shared" ca="1" si="55"/>
        <v>4240.4204795139349</v>
      </c>
      <c r="T73" s="150">
        <f t="shared" ca="1" si="55"/>
        <v>4738.6250496723096</v>
      </c>
      <c r="U73" s="150">
        <f t="shared" ca="1" si="55"/>
        <v>5140.2757869317657</v>
      </c>
      <c r="V73" s="61"/>
    </row>
    <row r="74" spans="2:22" ht="11.25" customHeight="1">
      <c r="B74" s="36" t="s">
        <v>249</v>
      </c>
      <c r="D74" s="67"/>
      <c r="E74" s="211">
        <f>IF(AND(E73&gt;0,D73&gt;0),E73/D73-1,"n/m")</f>
        <v>-0.50856172623528417</v>
      </c>
      <c r="F74" s="211">
        <f t="shared" ref="F74:U74" si="56">IF(AND(F73&gt;0,E73&gt;0),F73/E73-1,"n/m")</f>
        <v>1.0210839020359601</v>
      </c>
      <c r="G74" s="211">
        <f t="shared" si="56"/>
        <v>-0.56840797910126484</v>
      </c>
      <c r="H74" s="211">
        <f t="shared" si="56"/>
        <v>1.3499443252103998</v>
      </c>
      <c r="I74" s="211">
        <f t="shared" si="56"/>
        <v>0.28692420598639568</v>
      </c>
      <c r="J74" s="211">
        <f t="shared" ca="1" si="56"/>
        <v>1.0882863294643594</v>
      </c>
      <c r="K74" s="211">
        <f t="shared" ca="1" si="56"/>
        <v>0.10828806404361968</v>
      </c>
      <c r="L74" s="211">
        <f t="shared" ca="1" si="56"/>
        <v>0.1116501642773664</v>
      </c>
      <c r="M74" s="211">
        <f t="shared" ca="1" si="56"/>
        <v>0.20583837434764285</v>
      </c>
      <c r="N74" s="211">
        <f t="shared" ca="1" si="56"/>
        <v>0.20771689359223089</v>
      </c>
      <c r="O74" s="211">
        <f t="shared" ca="1" si="56"/>
        <v>0.25773519129331435</v>
      </c>
      <c r="P74" s="211">
        <f t="shared" ca="1" si="56"/>
        <v>0.29266311542424228</v>
      </c>
      <c r="Q74" s="211">
        <f t="shared" ca="1" si="56"/>
        <v>0.24144507487275635</v>
      </c>
      <c r="R74" s="211">
        <f t="shared" ca="1" si="56"/>
        <v>0.19692934047090427</v>
      </c>
      <c r="S74" s="211">
        <f t="shared" ca="1" si="56"/>
        <v>0.15595593499092697</v>
      </c>
      <c r="T74" s="211">
        <f t="shared" ca="1" si="56"/>
        <v>0.11748942647675409</v>
      </c>
      <c r="U74" s="211">
        <f t="shared" ca="1" si="56"/>
        <v>8.4761029422919076E-2</v>
      </c>
      <c r="V74" s="67"/>
    </row>
    <row r="75" spans="2:22" ht="11.25" customHeight="1">
      <c r="B75" s="35"/>
      <c r="D75" s="47"/>
      <c r="E75" s="47"/>
      <c r="J75" s="191"/>
      <c r="K75" s="191"/>
      <c r="L75" s="191"/>
      <c r="M75" s="191"/>
      <c r="N75" s="191"/>
      <c r="O75" s="191"/>
      <c r="P75" s="191"/>
      <c r="Q75" s="191"/>
      <c r="R75" s="191"/>
      <c r="S75" s="191"/>
      <c r="T75" s="191"/>
      <c r="U75" s="191"/>
      <c r="V75" s="47"/>
    </row>
    <row r="76" spans="2:22" ht="11.25" customHeight="1">
      <c r="B76" s="13" t="s">
        <v>32</v>
      </c>
      <c r="D76" s="49">
        <f>('Historical Financials'!AX84/1000)*1000</f>
        <v>0</v>
      </c>
      <c r="E76" s="49">
        <f>('Historical Financials'!AY84/1000)*1000</f>
        <v>2.8180000000000002E-3</v>
      </c>
      <c r="F76" s="49">
        <f>('Historical Financials'!AZ84/1000)*1000</f>
        <v>6.6119999999999998E-3</v>
      </c>
      <c r="G76" s="49">
        <f>('Historical Financials'!BA84/1000)*1000</f>
        <v>7.7880000000000007E-3</v>
      </c>
      <c r="H76" s="49">
        <f>('Historical Financials'!BB84/1000)*1000</f>
        <v>0.30234800000000001</v>
      </c>
      <c r="I76" s="49">
        <f>('Historical Financials'!BC84/1000)*1000</f>
        <v>0.48305000000000003</v>
      </c>
      <c r="J76" s="49">
        <f>('Historical Financials'!BD84/1000)*1000</f>
        <v>1.0598379650710756</v>
      </c>
      <c r="K76" s="686">
        <f>+'Simple Model (A)'!K77</f>
        <v>0</v>
      </c>
      <c r="L76" s="50">
        <v>0</v>
      </c>
      <c r="M76" s="50">
        <v>0</v>
      </c>
      <c r="N76" s="50">
        <v>0</v>
      </c>
      <c r="O76" s="50">
        <v>0</v>
      </c>
      <c r="P76" s="50">
        <v>0</v>
      </c>
      <c r="Q76" s="50">
        <v>0</v>
      </c>
      <c r="R76" s="50">
        <v>0</v>
      </c>
      <c r="S76" s="50">
        <v>0</v>
      </c>
      <c r="T76" s="50">
        <v>0</v>
      </c>
      <c r="U76" s="50">
        <v>0</v>
      </c>
      <c r="V76" s="67"/>
    </row>
    <row r="77" spans="2:22" ht="11.25" customHeight="1">
      <c r="B77" s="13" t="s">
        <v>34</v>
      </c>
      <c r="D77" s="49">
        <f>('Historical Financials'!AX85/1000)*1000</f>
        <v>-55.715000000000032</v>
      </c>
      <c r="E77" s="49">
        <f>('Historical Financials'!AY85/1000)*1000</f>
        <v>13.529000000000035</v>
      </c>
      <c r="F77" s="49">
        <f>('Historical Financials'!AZ85/1000)*1000</f>
        <v>7.0419999999999519</v>
      </c>
      <c r="G77" s="49">
        <f>('Historical Financials'!BA85/1000)*1000</f>
        <v>-24.788999999999973</v>
      </c>
      <c r="H77" s="49">
        <f>('Historical Financials'!BB85/1000)*1000</f>
        <v>164.34700000000001</v>
      </c>
      <c r="I77" s="49">
        <f>('Historical Financials'!BC85/1000)*1000</f>
        <v>-19.525999999999996</v>
      </c>
      <c r="J77" s="49">
        <f ca="1">('Historical Financials'!BD85/1000)*1000</f>
        <v>34.086927778524199</v>
      </c>
      <c r="K77" s="686">
        <f ca="1">+'Simple Model (A)'!K78</f>
        <v>44.953211478280039</v>
      </c>
      <c r="L77" s="50">
        <f t="shared" ref="L77:U77" ca="1" si="57">-(L146-K146)</f>
        <v>-8.9672633708091922</v>
      </c>
      <c r="M77" s="50">
        <f t="shared" ca="1" si="57"/>
        <v>21.59846328925785</v>
      </c>
      <c r="N77" s="50">
        <f t="shared" ca="1" si="57"/>
        <v>22.85893735576272</v>
      </c>
      <c r="O77" s="50">
        <f t="shared" ca="1" si="57"/>
        <v>29.996098736980173</v>
      </c>
      <c r="P77" s="50">
        <f t="shared" ca="1" si="57"/>
        <v>31.158645068813257</v>
      </c>
      <c r="Q77" s="50">
        <f t="shared" ca="1" si="57"/>
        <v>29.256300385170192</v>
      </c>
      <c r="R77" s="50">
        <f t="shared" ca="1" si="57"/>
        <v>25.585999978496318</v>
      </c>
      <c r="S77" s="50">
        <f t="shared" ca="1" si="57"/>
        <v>20.332982134906672</v>
      </c>
      <c r="T77" s="50">
        <f t="shared" ca="1" si="57"/>
        <v>14.024069547583167</v>
      </c>
      <c r="U77" s="50">
        <f t="shared" ca="1" si="57"/>
        <v>7.1996163360345236</v>
      </c>
      <c r="V77" s="67"/>
    </row>
    <row r="78" spans="2:22" ht="13.5" customHeight="1">
      <c r="B78" s="30" t="s">
        <v>854</v>
      </c>
      <c r="D78" s="59">
        <f>('Historical Financials'!AX86/1000)*1000</f>
        <v>13.125876550000044</v>
      </c>
      <c r="E78" s="59">
        <f>('Historical Financials'!AY86/1000)*1000</f>
        <v>0.49855119999980951</v>
      </c>
      <c r="F78" s="59">
        <f>('Historical Financials'!AZ86/1000)*1000</f>
        <v>4.8260986500002332</v>
      </c>
      <c r="G78" s="59">
        <f>('Historical Financials'!BA86/1000)*1000</f>
        <v>164.03508055000026</v>
      </c>
      <c r="H78" s="59">
        <f>('Historical Financials'!BB86/1000)*1000</f>
        <v>59.045053800000119</v>
      </c>
      <c r="I78" s="59">
        <f>('Historical Financials'!BC86/1000)*1000</f>
        <v>-45.771399999999858</v>
      </c>
      <c r="J78" s="59">
        <f>('Historical Financials'!BD86/1000)*1000</f>
        <v>-76.181361061142212</v>
      </c>
      <c r="K78" s="687">
        <f>+'Simple Model (A)'!K79</f>
        <v>-44.233407184284488</v>
      </c>
      <c r="L78" s="51">
        <v>0</v>
      </c>
      <c r="M78" s="51">
        <v>0</v>
      </c>
      <c r="N78" s="51">
        <v>0</v>
      </c>
      <c r="O78" s="51">
        <v>0</v>
      </c>
      <c r="P78" s="51">
        <v>0</v>
      </c>
      <c r="Q78" s="51">
        <v>0</v>
      </c>
      <c r="R78" s="51">
        <v>0</v>
      </c>
      <c r="S78" s="51">
        <v>0</v>
      </c>
      <c r="T78" s="51">
        <v>0</v>
      </c>
      <c r="U78" s="51">
        <v>0</v>
      </c>
      <c r="V78" s="67"/>
    </row>
    <row r="79" spans="2:22" ht="11.25" customHeight="1">
      <c r="B79" s="60" t="s">
        <v>33</v>
      </c>
      <c r="D79" s="92">
        <f t="shared" ref="D79:U79" si="58">D73+SUM(D76:D78)</f>
        <v>270.01499999999999</v>
      </c>
      <c r="E79" s="92">
        <f t="shared" si="58"/>
        <v>167.65599999999998</v>
      </c>
      <c r="F79" s="92">
        <f t="shared" si="58"/>
        <v>322.36500000000018</v>
      </c>
      <c r="G79" s="92">
        <f t="shared" si="58"/>
        <v>273.25899999999979</v>
      </c>
      <c r="H79" s="92">
        <f t="shared" si="58"/>
        <v>538.59900000000016</v>
      </c>
      <c r="I79" s="92">
        <f t="shared" si="58"/>
        <v>340.44400000000007</v>
      </c>
      <c r="J79" s="92">
        <f t="shared" ca="1" si="58"/>
        <v>805.26087688873554</v>
      </c>
      <c r="K79" s="92">
        <f t="shared" ca="1" si="58"/>
        <v>938.6589747943774</v>
      </c>
      <c r="L79" s="92">
        <f t="shared" ca="1" si="58"/>
        <v>1033.6929695981171</v>
      </c>
      <c r="M79" s="92">
        <f t="shared" ca="1" si="58"/>
        <v>1278.8781836094424</v>
      </c>
      <c r="N79" s="92">
        <f t="shared" ca="1" si="58"/>
        <v>1541.2968955573649</v>
      </c>
      <c r="O79" s="92">
        <f t="shared" ca="1" si="58"/>
        <v>1939.7889545627022</v>
      </c>
      <c r="P79" s="92">
        <f t="shared" ca="1" si="58"/>
        <v>2499.877427895452</v>
      </c>
      <c r="Q79" s="92">
        <f t="shared" ca="1" si="58"/>
        <v>3094.0350745711667</v>
      </c>
      <c r="R79" s="92">
        <f t="shared" ca="1" si="58"/>
        <v>3693.9096368541677</v>
      </c>
      <c r="S79" s="92">
        <f t="shared" ca="1" si="58"/>
        <v>4260.7534616488419</v>
      </c>
      <c r="T79" s="92">
        <f t="shared" ca="1" si="58"/>
        <v>4752.6491192198928</v>
      </c>
      <c r="U79" s="92">
        <f t="shared" ca="1" si="58"/>
        <v>5147.4754032678002</v>
      </c>
      <c r="V79" s="67"/>
    </row>
    <row r="80" spans="2:22" ht="11.25" customHeight="1">
      <c r="B80" s="13"/>
      <c r="D80" s="67"/>
      <c r="E80" s="67"/>
      <c r="F80" s="67"/>
      <c r="G80" s="67"/>
      <c r="H80" s="67"/>
      <c r="I80" s="67"/>
      <c r="J80" s="115"/>
      <c r="K80" s="67"/>
      <c r="L80" s="67"/>
      <c r="M80" s="67"/>
      <c r="N80" s="67"/>
      <c r="O80" s="67"/>
      <c r="P80" s="67"/>
      <c r="Q80" s="67"/>
      <c r="R80" s="67"/>
      <c r="S80" s="67"/>
      <c r="T80" s="67"/>
      <c r="U80" s="67"/>
      <c r="V80" s="67"/>
    </row>
    <row r="81" spans="2:24" ht="11.25" customHeight="1">
      <c r="B81" s="13" t="s">
        <v>406</v>
      </c>
      <c r="D81" s="49">
        <f>('Historical Financials'!AX97/1000)*1000</f>
        <v>180.55500000000001</v>
      </c>
      <c r="E81" s="49">
        <f>('Historical Financials'!AY97/1000)*1000</f>
        <v>175.422</v>
      </c>
      <c r="F81" s="49">
        <f>('Historical Financials'!AZ97/1000)*1000</f>
        <v>345.26400000000001</v>
      </c>
      <c r="G81" s="49">
        <f>('Historical Financials'!BA97/1000)*1000</f>
        <v>729.55899999999997</v>
      </c>
      <c r="H81" s="49">
        <f>('Historical Financials'!BB97/1000)*1000</f>
        <v>853.65</v>
      </c>
      <c r="I81" s="49">
        <f>('Historical Financials'!BC97/1000)*1000</f>
        <v>923.19299999999998</v>
      </c>
      <c r="J81" s="49">
        <f>('Historical Financials'!BD97/1000)*1000</f>
        <v>968.5089999999999</v>
      </c>
      <c r="K81" s="53">
        <f t="shared" ref="K81:U81" ca="1" si="59">K83+K82</f>
        <v>0</v>
      </c>
      <c r="L81" s="53">
        <f t="shared" ca="1" si="59"/>
        <v>0</v>
      </c>
      <c r="M81" s="53">
        <f t="shared" ca="1" si="59"/>
        <v>0</v>
      </c>
      <c r="N81" s="53">
        <f t="shared" ca="1" si="59"/>
        <v>0</v>
      </c>
      <c r="O81" s="53">
        <f t="shared" ca="1" si="59"/>
        <v>0</v>
      </c>
      <c r="P81" s="53">
        <f t="shared" ca="1" si="59"/>
        <v>0</v>
      </c>
      <c r="Q81" s="53">
        <f t="shared" ca="1" si="59"/>
        <v>0</v>
      </c>
      <c r="R81" s="53">
        <f t="shared" ca="1" si="59"/>
        <v>0</v>
      </c>
      <c r="S81" s="53">
        <f t="shared" ca="1" si="59"/>
        <v>0</v>
      </c>
      <c r="T81" s="53">
        <f t="shared" ca="1" si="59"/>
        <v>0</v>
      </c>
      <c r="U81" s="53">
        <f t="shared" ca="1" si="59"/>
        <v>0</v>
      </c>
      <c r="V81" s="47"/>
      <c r="X81" s="189"/>
    </row>
    <row r="82" spans="2:24" ht="13.5" customHeight="1">
      <c r="B82" s="30" t="s">
        <v>278</v>
      </c>
      <c r="D82" s="59">
        <f>('Historical Financials'!AX98/1000)*1000</f>
        <v>695.18200000000002</v>
      </c>
      <c r="E82" s="59">
        <f>('Historical Financials'!AY98/1000)*1000</f>
        <v>583.44799999999998</v>
      </c>
      <c r="F82" s="59">
        <f>('Historical Financials'!AZ98/1000)*1000</f>
        <v>791.47700000000009</v>
      </c>
      <c r="G82" s="59">
        <f>('Historical Financials'!BA98/1000)*1000</f>
        <v>1188.4549999999999</v>
      </c>
      <c r="H82" s="59">
        <f>('Historical Financials'!BB98/1000)*1000</f>
        <v>1561.4860000000001</v>
      </c>
      <c r="I82" s="59">
        <f>('Historical Financials'!BC98/1000)*1000</f>
        <v>1687.6450000000002</v>
      </c>
      <c r="J82" s="59">
        <f ca="1">('Historical Financials'!BD98/1000)*1000</f>
        <v>2334.3474052248921</v>
      </c>
      <c r="K82" s="687">
        <f>+'Simple Model (A)'!K83</f>
        <v>0</v>
      </c>
      <c r="L82" s="51">
        <v>0</v>
      </c>
      <c r="M82" s="51">
        <v>0</v>
      </c>
      <c r="N82" s="51">
        <v>0</v>
      </c>
      <c r="O82" s="51">
        <v>0</v>
      </c>
      <c r="P82" s="51">
        <v>0</v>
      </c>
      <c r="Q82" s="51">
        <v>0</v>
      </c>
      <c r="R82" s="51">
        <v>0</v>
      </c>
      <c r="S82" s="51">
        <v>0</v>
      </c>
      <c r="T82" s="51">
        <v>0</v>
      </c>
      <c r="U82" s="51">
        <v>0</v>
      </c>
      <c r="V82" s="47"/>
      <c r="X82" s="189"/>
    </row>
    <row r="83" spans="2:24" ht="11.25" customHeight="1">
      <c r="B83" s="12" t="s">
        <v>316</v>
      </c>
      <c r="D83" s="53">
        <f t="shared" ref="D83:I83" si="60">D81-D82</f>
        <v>-514.62699999999995</v>
      </c>
      <c r="E83" s="53">
        <f t="shared" si="60"/>
        <v>-408.02599999999995</v>
      </c>
      <c r="F83" s="53">
        <f t="shared" si="60"/>
        <v>-446.21300000000008</v>
      </c>
      <c r="G83" s="53">
        <f t="shared" si="60"/>
        <v>-458.89599999999996</v>
      </c>
      <c r="H83" s="53">
        <f t="shared" si="60"/>
        <v>-707.83600000000013</v>
      </c>
      <c r="I83" s="53">
        <f t="shared" si="60"/>
        <v>-764.45200000000023</v>
      </c>
      <c r="J83" s="53">
        <f ca="1">J81-J82</f>
        <v>-1365.8384052248921</v>
      </c>
      <c r="K83" s="53">
        <f t="shared" ref="K83:U83" ca="1" si="61">K84*K54</f>
        <v>0</v>
      </c>
      <c r="L83" s="53">
        <f t="shared" ca="1" si="61"/>
        <v>0</v>
      </c>
      <c r="M83" s="53">
        <f t="shared" ca="1" si="61"/>
        <v>0</v>
      </c>
      <c r="N83" s="53">
        <f t="shared" ca="1" si="61"/>
        <v>0</v>
      </c>
      <c r="O83" s="53">
        <f t="shared" ca="1" si="61"/>
        <v>0</v>
      </c>
      <c r="P83" s="53">
        <f t="shared" ca="1" si="61"/>
        <v>0</v>
      </c>
      <c r="Q83" s="53">
        <f t="shared" ca="1" si="61"/>
        <v>0</v>
      </c>
      <c r="R83" s="53">
        <f t="shared" ca="1" si="61"/>
        <v>0</v>
      </c>
      <c r="S83" s="53">
        <f t="shared" ca="1" si="61"/>
        <v>0</v>
      </c>
      <c r="T83" s="53">
        <f t="shared" ca="1" si="61"/>
        <v>0</v>
      </c>
      <c r="U83" s="53">
        <f t="shared" ca="1" si="61"/>
        <v>0</v>
      </c>
      <c r="V83" s="47"/>
      <c r="X83" s="27"/>
    </row>
    <row r="84" spans="2:24" ht="11.25" customHeight="1">
      <c r="B84" s="36" t="s">
        <v>53</v>
      </c>
      <c r="D84" s="76"/>
      <c r="E84" s="76">
        <f t="shared" ref="E84:J84" si="62">E83/E54</f>
        <v>-0.61860976653930044</v>
      </c>
      <c r="F84" s="76">
        <f t="shared" si="62"/>
        <v>-0.49661505211438606</v>
      </c>
      <c r="G84" s="76">
        <f t="shared" si="62"/>
        <v>-0.42792451916752422</v>
      </c>
      <c r="H84" s="76">
        <f t="shared" si="62"/>
        <v>-0.45416803326136462</v>
      </c>
      <c r="I84" s="76">
        <f t="shared" si="62"/>
        <v>-0.52588196527791653</v>
      </c>
      <c r="J84" s="76">
        <f t="shared" ca="1" si="62"/>
        <v>-0.69420128045342888</v>
      </c>
      <c r="K84" s="688">
        <f>+'Simple Model (A)'!K85</f>
        <v>0</v>
      </c>
      <c r="L84" s="337">
        <f t="shared" ref="L84:U84" si="63">K84</f>
        <v>0</v>
      </c>
      <c r="M84" s="337">
        <f t="shared" si="63"/>
        <v>0</v>
      </c>
      <c r="N84" s="337">
        <f t="shared" si="63"/>
        <v>0</v>
      </c>
      <c r="O84" s="337">
        <f t="shared" si="63"/>
        <v>0</v>
      </c>
      <c r="P84" s="337">
        <f t="shared" si="63"/>
        <v>0</v>
      </c>
      <c r="Q84" s="337">
        <f t="shared" si="63"/>
        <v>0</v>
      </c>
      <c r="R84" s="337">
        <f t="shared" si="63"/>
        <v>0</v>
      </c>
      <c r="S84" s="337">
        <f t="shared" si="63"/>
        <v>0</v>
      </c>
      <c r="T84" s="337">
        <f t="shared" si="63"/>
        <v>0</v>
      </c>
      <c r="U84" s="337">
        <f t="shared" si="63"/>
        <v>0</v>
      </c>
      <c r="V84" s="47"/>
      <c r="X84" s="27"/>
    </row>
    <row r="85" spans="2:24" ht="11.25" customHeight="1">
      <c r="B85" s="35"/>
      <c r="D85" s="47"/>
      <c r="E85" s="47"/>
      <c r="J85" s="47"/>
      <c r="K85" s="53"/>
      <c r="L85" s="47"/>
      <c r="M85" s="47"/>
      <c r="N85" s="47"/>
      <c r="O85" s="47"/>
      <c r="P85" s="47"/>
      <c r="Q85" s="47"/>
      <c r="R85" s="47"/>
      <c r="S85" s="47"/>
      <c r="T85" s="47"/>
      <c r="U85" s="47"/>
      <c r="V85" s="47"/>
      <c r="X85" s="27"/>
    </row>
    <row r="86" spans="2:24" ht="11.25" customHeight="1">
      <c r="B86" s="13" t="s">
        <v>44</v>
      </c>
      <c r="D86" s="19"/>
      <c r="E86" s="19"/>
      <c r="F86" s="19"/>
      <c r="G86" s="19"/>
      <c r="H86" s="19"/>
      <c r="I86" s="19"/>
      <c r="J86" s="53"/>
      <c r="K86" s="53">
        <f t="shared" ref="K86:U86" ca="1" si="64">K79+(K83-J83)</f>
        <v>2304.4973800192693</v>
      </c>
      <c r="L86" s="53">
        <f t="shared" ca="1" si="64"/>
        <v>1033.6929695981171</v>
      </c>
      <c r="M86" s="53">
        <f t="shared" ca="1" si="64"/>
        <v>1278.8781836094424</v>
      </c>
      <c r="N86" s="53">
        <f t="shared" ca="1" si="64"/>
        <v>1541.2968955573649</v>
      </c>
      <c r="O86" s="53">
        <f t="shared" ca="1" si="64"/>
        <v>1939.7889545627022</v>
      </c>
      <c r="P86" s="53">
        <f t="shared" ca="1" si="64"/>
        <v>2499.877427895452</v>
      </c>
      <c r="Q86" s="53">
        <f t="shared" ca="1" si="64"/>
        <v>3094.0350745711667</v>
      </c>
      <c r="R86" s="53">
        <f t="shared" ca="1" si="64"/>
        <v>3693.9096368541677</v>
      </c>
      <c r="S86" s="53">
        <f t="shared" ca="1" si="64"/>
        <v>4260.7534616488419</v>
      </c>
      <c r="T86" s="53">
        <f t="shared" ca="1" si="64"/>
        <v>4752.6491192198928</v>
      </c>
      <c r="U86" s="53">
        <f t="shared" ca="1" si="64"/>
        <v>5147.4754032678002</v>
      </c>
    </row>
    <row r="87" spans="2:24" ht="11.25" customHeight="1">
      <c r="B87" s="9" t="s">
        <v>302</v>
      </c>
      <c r="J87" s="40"/>
      <c r="K87" s="218">
        <f ca="1">K86/$D$120</f>
        <v>6.8621737990596968E-2</v>
      </c>
      <c r="L87" s="218">
        <f t="shared" ref="L87:U87" ca="1" si="65">L86/$D$120</f>
        <v>3.0780598293364509E-2</v>
      </c>
      <c r="M87" s="218">
        <f t="shared" ca="1" si="65"/>
        <v>3.8081554962238189E-2</v>
      </c>
      <c r="N87" s="218">
        <f t="shared" ca="1" si="65"/>
        <v>4.5895678879779682E-2</v>
      </c>
      <c r="O87" s="218">
        <f t="shared" ca="1" si="65"/>
        <v>5.7761701337209904E-2</v>
      </c>
      <c r="P87" s="218">
        <f t="shared" ca="1" si="65"/>
        <v>7.4439630677390817E-2</v>
      </c>
      <c r="Q87" s="218">
        <f t="shared" ca="1" si="65"/>
        <v>9.2132048429217309E-2</v>
      </c>
      <c r="R87" s="218">
        <f t="shared" ca="1" si="65"/>
        <v>0.10999470056200643</v>
      </c>
      <c r="S87" s="218">
        <f t="shared" ca="1" si="65"/>
        <v>0.12687378611181196</v>
      </c>
      <c r="T87" s="218">
        <f t="shared" ca="1" si="65"/>
        <v>0.14152111668602629</v>
      </c>
      <c r="U87" s="218">
        <f t="shared" ca="1" si="65"/>
        <v>0.15327798221802788</v>
      </c>
    </row>
    <row r="88" spans="2:24" ht="11.25" customHeight="1">
      <c r="D88" s="19"/>
      <c r="E88" s="19"/>
      <c r="F88" s="19"/>
      <c r="G88" s="19"/>
      <c r="H88" s="19"/>
      <c r="I88" s="19"/>
    </row>
    <row r="89" spans="2:24" s="18" customFormat="1" ht="11.25" customHeight="1">
      <c r="B89" s="30" t="s">
        <v>45</v>
      </c>
      <c r="J89" s="20"/>
      <c r="K89" s="20">
        <f t="shared" ref="K89:U89" ca="1" si="66">K86+J89</f>
        <v>2304.4973800192693</v>
      </c>
      <c r="L89" s="20">
        <f t="shared" ca="1" si="66"/>
        <v>3338.1903496173863</v>
      </c>
      <c r="M89" s="20">
        <f t="shared" ca="1" si="66"/>
        <v>4617.0685332268285</v>
      </c>
      <c r="N89" s="20">
        <f t="shared" ca="1" si="66"/>
        <v>6158.3654287841937</v>
      </c>
      <c r="O89" s="20">
        <f t="shared" ca="1" si="66"/>
        <v>8098.1543833468959</v>
      </c>
      <c r="P89" s="20">
        <f t="shared" ca="1" si="66"/>
        <v>10598.031811242348</v>
      </c>
      <c r="Q89" s="20">
        <f t="shared" ca="1" si="66"/>
        <v>13692.066885813514</v>
      </c>
      <c r="R89" s="20">
        <f t="shared" ca="1" si="66"/>
        <v>17385.976522667683</v>
      </c>
      <c r="S89" s="20">
        <f t="shared" ca="1" si="66"/>
        <v>21646.729984316524</v>
      </c>
      <c r="T89" s="20">
        <f t="shared" ca="1" si="66"/>
        <v>26399.379103536416</v>
      </c>
      <c r="U89" s="20">
        <f t="shared" ca="1" si="66"/>
        <v>31546.854506804215</v>
      </c>
    </row>
    <row r="90" spans="2:24" ht="11.25" customHeight="1">
      <c r="B90" s="9" t="s">
        <v>302</v>
      </c>
      <c r="J90" s="40"/>
      <c r="K90" s="218">
        <f ca="1">K89/$D$120</f>
        <v>6.8621737990596968E-2</v>
      </c>
      <c r="L90" s="40">
        <f t="shared" ref="L90:U90" ca="1" si="67">L89/$D$120</f>
        <v>9.9402336283961473E-2</v>
      </c>
      <c r="M90" s="40">
        <f t="shared" ca="1" si="67"/>
        <v>0.13748389124619964</v>
      </c>
      <c r="N90" s="40">
        <f t="shared" ca="1" si="67"/>
        <v>0.18337957012597933</v>
      </c>
      <c r="O90" s="219">
        <f t="shared" ca="1" si="67"/>
        <v>0.24114127146318926</v>
      </c>
      <c r="P90" s="40">
        <f t="shared" ca="1" si="67"/>
        <v>0.31558090214058004</v>
      </c>
      <c r="Q90" s="40">
        <f t="shared" ca="1" si="67"/>
        <v>0.40771295056979734</v>
      </c>
      <c r="R90" s="40">
        <f t="shared" ca="1" si="67"/>
        <v>0.51770765113180384</v>
      </c>
      <c r="S90" s="40">
        <f t="shared" ca="1" si="67"/>
        <v>0.64458143724361572</v>
      </c>
      <c r="T90" s="40">
        <f t="shared" ca="1" si="67"/>
        <v>0.78610255392964201</v>
      </c>
      <c r="U90" s="40">
        <f t="shared" ca="1" si="67"/>
        <v>0.93938053614766992</v>
      </c>
    </row>
    <row r="91" spans="2:24" ht="11.25" hidden="1" customHeight="1" outlineLevel="1"/>
    <row r="92" spans="2:24" ht="11.25" hidden="1" customHeight="1" outlineLevel="1">
      <c r="B92" s="25" t="s">
        <v>66</v>
      </c>
    </row>
    <row r="93" spans="2:24" ht="11.25" hidden="1" customHeight="1" outlineLevel="1">
      <c r="B93" s="2" t="s">
        <v>49</v>
      </c>
      <c r="D93" s="19"/>
      <c r="H93" s="19">
        <f>$D$120</f>
        <v>33582.614598526314</v>
      </c>
      <c r="I93" s="19">
        <f t="shared" ref="I93:U93" si="68">$D$120</f>
        <v>33582.614598526314</v>
      </c>
      <c r="J93" s="19">
        <f t="shared" si="68"/>
        <v>33582.614598526314</v>
      </c>
      <c r="K93" s="19">
        <f t="shared" si="68"/>
        <v>33582.614598526314</v>
      </c>
      <c r="L93" s="19">
        <f t="shared" si="68"/>
        <v>33582.614598526314</v>
      </c>
      <c r="M93" s="19">
        <f t="shared" si="68"/>
        <v>33582.614598526314</v>
      </c>
      <c r="N93" s="19">
        <f t="shared" si="68"/>
        <v>33582.614598526314</v>
      </c>
      <c r="O93" s="19">
        <f t="shared" si="68"/>
        <v>33582.614598526314</v>
      </c>
      <c r="P93" s="19">
        <f t="shared" si="68"/>
        <v>33582.614598526314</v>
      </c>
      <c r="Q93" s="19">
        <f t="shared" si="68"/>
        <v>33582.614598526314</v>
      </c>
      <c r="R93" s="19">
        <f t="shared" si="68"/>
        <v>33582.614598526314</v>
      </c>
      <c r="S93" s="19">
        <f t="shared" si="68"/>
        <v>33582.614598526314</v>
      </c>
      <c r="T93" s="19">
        <f t="shared" si="68"/>
        <v>33582.614598526314</v>
      </c>
      <c r="U93" s="19">
        <f t="shared" si="68"/>
        <v>33582.614598526314</v>
      </c>
    </row>
    <row r="94" spans="2:24" ht="13.5" hidden="1" outlineLevel="1">
      <c r="B94" s="178" t="s">
        <v>45</v>
      </c>
      <c r="H94" s="24">
        <f>-H89</f>
        <v>0</v>
      </c>
      <c r="I94" s="24">
        <f t="shared" ref="I94:U94" si="69">-I89</f>
        <v>0</v>
      </c>
      <c r="J94" s="24">
        <f t="shared" si="69"/>
        <v>0</v>
      </c>
      <c r="K94" s="24">
        <f t="shared" ca="1" si="69"/>
        <v>-2304.4973800192693</v>
      </c>
      <c r="L94" s="24">
        <f t="shared" ca="1" si="69"/>
        <v>-3338.1903496173863</v>
      </c>
      <c r="M94" s="24">
        <f t="shared" ca="1" si="69"/>
        <v>-4617.0685332268285</v>
      </c>
      <c r="N94" s="24">
        <f t="shared" ca="1" si="69"/>
        <v>-6158.3654287841937</v>
      </c>
      <c r="O94" s="24">
        <f t="shared" ca="1" si="69"/>
        <v>-8098.1543833468959</v>
      </c>
      <c r="P94" s="24">
        <f t="shared" ca="1" si="69"/>
        <v>-10598.031811242348</v>
      </c>
      <c r="Q94" s="24">
        <f t="shared" ca="1" si="69"/>
        <v>-13692.066885813514</v>
      </c>
      <c r="R94" s="24">
        <f t="shared" ca="1" si="69"/>
        <v>-17385.976522667683</v>
      </c>
      <c r="S94" s="24">
        <f t="shared" ca="1" si="69"/>
        <v>-21646.729984316524</v>
      </c>
      <c r="T94" s="24">
        <f t="shared" ca="1" si="69"/>
        <v>-26399.379103536416</v>
      </c>
      <c r="U94" s="24">
        <f t="shared" ca="1" si="69"/>
        <v>-31546.854506804215</v>
      </c>
    </row>
    <row r="95" spans="2:24" ht="11.25" hidden="1" customHeight="1" outlineLevel="1">
      <c r="B95" s="12" t="s">
        <v>65</v>
      </c>
      <c r="H95" s="19">
        <f>H93+H94</f>
        <v>33582.614598526314</v>
      </c>
      <c r="I95" s="19">
        <f t="shared" ref="I95:U95" si="70">I93+I94</f>
        <v>33582.614598526314</v>
      </c>
      <c r="J95" s="19">
        <f t="shared" si="70"/>
        <v>33582.614598526314</v>
      </c>
      <c r="K95" s="19">
        <f t="shared" ca="1" si="70"/>
        <v>31278.117218507046</v>
      </c>
      <c r="L95" s="19">
        <f t="shared" ca="1" si="70"/>
        <v>30244.424248908927</v>
      </c>
      <c r="M95" s="19">
        <f t="shared" ca="1" si="70"/>
        <v>28965.546065299484</v>
      </c>
      <c r="N95" s="19">
        <f t="shared" ca="1" si="70"/>
        <v>27424.249169742121</v>
      </c>
      <c r="O95" s="19">
        <f t="shared" ca="1" si="70"/>
        <v>25484.460215179417</v>
      </c>
      <c r="P95" s="19">
        <f t="shared" ca="1" si="70"/>
        <v>22984.582787283965</v>
      </c>
      <c r="Q95" s="19">
        <f t="shared" ca="1" si="70"/>
        <v>19890.5477127128</v>
      </c>
      <c r="R95" s="19">
        <f t="shared" ca="1" si="70"/>
        <v>16196.638075858631</v>
      </c>
      <c r="S95" s="19">
        <f t="shared" ca="1" si="70"/>
        <v>11935.88461420979</v>
      </c>
      <c r="T95" s="19">
        <f t="shared" ca="1" si="70"/>
        <v>7183.2354949898981</v>
      </c>
      <c r="U95" s="19">
        <f t="shared" ca="1" si="70"/>
        <v>2035.7600917220989</v>
      </c>
    </row>
    <row r="96" spans="2:24" ht="11.25" hidden="1" customHeight="1" outlineLevel="1">
      <c r="B96" s="13" t="s">
        <v>316</v>
      </c>
      <c r="H96" s="50">
        <f>SUM($J$121:$J$122)</f>
        <v>-1199.0909999999999</v>
      </c>
      <c r="I96" s="50">
        <f>H96</f>
        <v>-1199.0909999999999</v>
      </c>
      <c r="J96" s="19">
        <f t="shared" ref="J96:U96" ca="1" si="71">J83</f>
        <v>-1365.8384052248921</v>
      </c>
      <c r="K96" s="19">
        <f t="shared" ca="1" si="71"/>
        <v>0</v>
      </c>
      <c r="L96" s="19">
        <f t="shared" ca="1" si="71"/>
        <v>0</v>
      </c>
      <c r="M96" s="19">
        <f t="shared" ca="1" si="71"/>
        <v>0</v>
      </c>
      <c r="N96" s="19">
        <f t="shared" ca="1" si="71"/>
        <v>0</v>
      </c>
      <c r="O96" s="19">
        <f t="shared" ca="1" si="71"/>
        <v>0</v>
      </c>
      <c r="P96" s="19">
        <f t="shared" ca="1" si="71"/>
        <v>0</v>
      </c>
      <c r="Q96" s="19">
        <f t="shared" ca="1" si="71"/>
        <v>0</v>
      </c>
      <c r="R96" s="19">
        <f t="shared" ca="1" si="71"/>
        <v>0</v>
      </c>
      <c r="S96" s="19">
        <f t="shared" ca="1" si="71"/>
        <v>0</v>
      </c>
      <c r="T96" s="19">
        <f t="shared" ca="1" si="71"/>
        <v>0</v>
      </c>
      <c r="U96" s="19">
        <f t="shared" ca="1" si="71"/>
        <v>0</v>
      </c>
    </row>
    <row r="97" spans="2:21" ht="13.5" hidden="1" outlineLevel="1">
      <c r="B97" s="18" t="s">
        <v>279</v>
      </c>
      <c r="H97" s="24">
        <f>$J$123</f>
        <v>31.902999999999999</v>
      </c>
      <c r="I97" s="24">
        <f t="shared" ref="I97:U97" si="72">$J$123</f>
        <v>31.902999999999999</v>
      </c>
      <c r="J97" s="24">
        <f t="shared" si="72"/>
        <v>31.902999999999999</v>
      </c>
      <c r="K97" s="24">
        <f t="shared" si="72"/>
        <v>31.902999999999999</v>
      </c>
      <c r="L97" s="24">
        <f t="shared" si="72"/>
        <v>31.902999999999999</v>
      </c>
      <c r="M97" s="24">
        <f t="shared" si="72"/>
        <v>31.902999999999999</v>
      </c>
      <c r="N97" s="24">
        <f t="shared" si="72"/>
        <v>31.902999999999999</v>
      </c>
      <c r="O97" s="24">
        <f t="shared" si="72"/>
        <v>31.902999999999999</v>
      </c>
      <c r="P97" s="24">
        <f t="shared" si="72"/>
        <v>31.902999999999999</v>
      </c>
      <c r="Q97" s="24">
        <f t="shared" si="72"/>
        <v>31.902999999999999</v>
      </c>
      <c r="R97" s="24">
        <f t="shared" si="72"/>
        <v>31.902999999999999</v>
      </c>
      <c r="S97" s="24">
        <f t="shared" si="72"/>
        <v>31.902999999999999</v>
      </c>
      <c r="T97" s="24">
        <f t="shared" si="72"/>
        <v>31.902999999999999</v>
      </c>
      <c r="U97" s="24">
        <f t="shared" si="72"/>
        <v>31.902999999999999</v>
      </c>
    </row>
    <row r="98" spans="2:21" ht="11.25" hidden="1" customHeight="1" outlineLevel="1">
      <c r="B98" s="12" t="s">
        <v>50</v>
      </c>
      <c r="H98" s="19">
        <f t="shared" ref="H98:U98" si="73">SUM(H95+SUM(H96:H97))</f>
        <v>32415.426598526316</v>
      </c>
      <c r="I98" s="19">
        <f t="shared" si="73"/>
        <v>32415.426598526316</v>
      </c>
      <c r="J98" s="19">
        <f t="shared" ca="1" si="73"/>
        <v>32248.679193301421</v>
      </c>
      <c r="K98" s="19">
        <f t="shared" ca="1" si="73"/>
        <v>31310.020218507045</v>
      </c>
      <c r="L98" s="19">
        <f t="shared" ca="1" si="73"/>
        <v>30276.327248908925</v>
      </c>
      <c r="M98" s="19">
        <f t="shared" ca="1" si="73"/>
        <v>28997.449065299483</v>
      </c>
      <c r="N98" s="19">
        <f t="shared" ca="1" si="73"/>
        <v>27456.152169742119</v>
      </c>
      <c r="O98" s="19">
        <f t="shared" ca="1" si="73"/>
        <v>25516.363215179415</v>
      </c>
      <c r="P98" s="19">
        <f t="shared" ca="1" si="73"/>
        <v>23016.485787283964</v>
      </c>
      <c r="Q98" s="19">
        <f t="shared" ca="1" si="73"/>
        <v>19922.450712712798</v>
      </c>
      <c r="R98" s="19">
        <f t="shared" ca="1" si="73"/>
        <v>16228.541075858631</v>
      </c>
      <c r="S98" s="19">
        <f t="shared" ca="1" si="73"/>
        <v>11967.78761420979</v>
      </c>
      <c r="T98" s="19">
        <f t="shared" ca="1" si="73"/>
        <v>7215.1384949898984</v>
      </c>
      <c r="U98" s="19">
        <f t="shared" ca="1" si="73"/>
        <v>2067.6630917220987</v>
      </c>
    </row>
    <row r="99" spans="2:21" ht="11.25" customHeight="1" collapsed="1">
      <c r="J99" s="77"/>
      <c r="K99" s="77"/>
      <c r="L99" s="77"/>
      <c r="M99" s="77"/>
      <c r="N99" s="77"/>
      <c r="O99" s="77"/>
      <c r="P99" s="77"/>
      <c r="Q99" s="77"/>
      <c r="R99" s="77"/>
      <c r="S99" s="77"/>
    </row>
    <row r="100" spans="2:21" ht="11.25" customHeight="1">
      <c r="B100" s="65" t="s">
        <v>448</v>
      </c>
    </row>
    <row r="101" spans="2:21" ht="11.25" customHeight="1">
      <c r="B101" s="2" t="s">
        <v>317</v>
      </c>
      <c r="D101" s="77"/>
      <c r="E101" s="77"/>
      <c r="F101" s="77"/>
      <c r="G101" s="77"/>
      <c r="H101" s="77">
        <f t="shared" ref="H101:U101" si="74">H98/H12</f>
        <v>14.318455445751285</v>
      </c>
      <c r="I101" s="77">
        <f t="shared" si="74"/>
        <v>14.995090334123278</v>
      </c>
      <c r="J101" s="77">
        <f t="shared" ca="1" si="74"/>
        <v>11.170345970614012</v>
      </c>
      <c r="K101" s="77">
        <f t="shared" ca="1" si="74"/>
        <v>8.811570563270875</v>
      </c>
      <c r="L101" s="77">
        <f t="shared" ca="1" si="74"/>
        <v>7.0997928481614645</v>
      </c>
      <c r="M101" s="77">
        <f t="shared" ca="1" si="74"/>
        <v>5.817705468717052</v>
      </c>
      <c r="N101" s="77">
        <f t="shared" ca="1" si="74"/>
        <v>4.7780498976922692</v>
      </c>
      <c r="O101" s="77">
        <f t="shared" ca="1" si="74"/>
        <v>3.7823429456882964</v>
      </c>
      <c r="P101" s="77">
        <f t="shared" ca="1" si="74"/>
        <v>2.9565928197292815</v>
      </c>
      <c r="Q101" s="77">
        <f t="shared" ca="1" si="74"/>
        <v>2.2742495889632974</v>
      </c>
      <c r="R101" s="77">
        <f t="shared" ca="1" si="74"/>
        <v>1.6882084805312894</v>
      </c>
      <c r="S101" s="77">
        <f t="shared" ca="1" si="74"/>
        <v>1.1629775823176838</v>
      </c>
      <c r="T101" s="77">
        <f t="shared" ca="1" si="74"/>
        <v>0.67066955783325499</v>
      </c>
      <c r="U101" s="77">
        <f t="shared" ca="1" si="74"/>
        <v>0.1880018514486195</v>
      </c>
    </row>
    <row r="102" spans="2:21" ht="11.25" customHeight="1">
      <c r="B102" s="2" t="s">
        <v>318</v>
      </c>
      <c r="D102" s="77"/>
      <c r="E102" s="77"/>
      <c r="F102" s="77"/>
      <c r="G102" s="77"/>
      <c r="H102" s="77">
        <f t="shared" ref="H102:U102" si="75">H$98/H19</f>
        <v>24.04071596770676</v>
      </c>
      <c r="I102" s="77">
        <f t="shared" si="75"/>
        <v>27.584991203832079</v>
      </c>
      <c r="J102" s="77">
        <f t="shared" ca="1" si="75"/>
        <v>20.012351358722061</v>
      </c>
      <c r="K102" s="77">
        <f t="shared" ca="1" si="75"/>
        <v>15.75714147422226</v>
      </c>
      <c r="L102" s="77">
        <f t="shared" ca="1" si="75"/>
        <v>12.717031320855046</v>
      </c>
      <c r="M102" s="77">
        <f t="shared" ca="1" si="75"/>
        <v>10.437798987186634</v>
      </c>
      <c r="N102" s="77">
        <f t="shared" ca="1" si="75"/>
        <v>8.5866982247920518</v>
      </c>
      <c r="O102" s="77">
        <f t="shared" ca="1" si="75"/>
        <v>6.6832003037412502</v>
      </c>
      <c r="P102" s="77">
        <f t="shared" ca="1" si="75"/>
        <v>5.1378986658850954</v>
      </c>
      <c r="Q102" s="77">
        <f t="shared" ca="1" si="75"/>
        <v>3.8879526255836239</v>
      </c>
      <c r="R102" s="77">
        <f t="shared" ca="1" si="75"/>
        <v>2.8399605396909537</v>
      </c>
      <c r="S102" s="77">
        <f t="shared" ca="1" si="75"/>
        <v>1.9256257849687386</v>
      </c>
      <c r="T102" s="77">
        <f t="shared" ca="1" si="75"/>
        <v>1.0932788191179181</v>
      </c>
      <c r="U102" s="77">
        <f t="shared" ca="1" si="75"/>
        <v>0.30179387698744786</v>
      </c>
    </row>
    <row r="103" spans="2:21" ht="11.25" customHeight="1">
      <c r="B103" s="2" t="s">
        <v>319</v>
      </c>
      <c r="H103" s="77">
        <f t="shared" ref="H103:U103" si="76">H$98/H29</f>
        <v>28.909324224393426</v>
      </c>
      <c r="I103" s="77">
        <f t="shared" si="76"/>
        <v>35.178103802556272</v>
      </c>
      <c r="J103" s="77">
        <f t="shared" ca="1" si="76"/>
        <v>24.7043681619345</v>
      </c>
      <c r="K103" s="77">
        <f t="shared" ca="1" si="76"/>
        <v>19.399719470577491</v>
      </c>
      <c r="L103" s="77">
        <f t="shared" ca="1" si="76"/>
        <v>15.645543282897078</v>
      </c>
      <c r="M103" s="77">
        <f t="shared" ca="1" si="76"/>
        <v>12.832164550428287</v>
      </c>
      <c r="N103" s="77">
        <f t="shared" ca="1" si="76"/>
        <v>10.548785551455833</v>
      </c>
      <c r="O103" s="77">
        <f t="shared" ca="1" si="76"/>
        <v>8.1701271972203777</v>
      </c>
      <c r="P103" s="77">
        <f t="shared" ca="1" si="76"/>
        <v>6.2514138159117305</v>
      </c>
      <c r="Q103" s="77">
        <f t="shared" ca="1" si="76"/>
        <v>4.7090995779826468</v>
      </c>
      <c r="R103" s="77">
        <f t="shared" ca="1" si="76"/>
        <v>3.4247201360572208</v>
      </c>
      <c r="S103" s="77">
        <f t="shared" ca="1" si="76"/>
        <v>2.3123223348027873</v>
      </c>
      <c r="T103" s="77">
        <f t="shared" ca="1" si="76"/>
        <v>1.3074809412845307</v>
      </c>
      <c r="U103" s="77">
        <f t="shared" ca="1" si="76"/>
        <v>0.35950400393836301</v>
      </c>
    </row>
    <row r="104" spans="2:21" ht="11.25" customHeight="1">
      <c r="B104" s="2" t="s">
        <v>46</v>
      </c>
      <c r="H104" s="77">
        <f t="shared" ref="H104:U104" si="77">H$98/H62</f>
        <v>68.119485958371058</v>
      </c>
      <c r="I104" s="77">
        <f t="shared" si="77"/>
        <v>64.336746980244371</v>
      </c>
      <c r="J104" s="77">
        <f t="shared" ca="1" si="77"/>
        <v>32.997319653857453</v>
      </c>
      <c r="K104" s="77">
        <f t="shared" ca="1" si="77"/>
        <v>26.533230603179032</v>
      </c>
      <c r="L104" s="77">
        <f t="shared" ca="1" si="77"/>
        <v>22.714093711098116</v>
      </c>
      <c r="M104" s="77">
        <f t="shared" ca="1" si="77"/>
        <v>18.166075349450917</v>
      </c>
      <c r="N104" s="77">
        <f t="shared" ca="1" si="77"/>
        <v>14.383573409446528</v>
      </c>
      <c r="O104" s="77">
        <f t="shared" ca="1" si="77"/>
        <v>10.728994789742581</v>
      </c>
      <c r="P104" s="77">
        <f t="shared" ca="1" si="77"/>
        <v>7.618856567985393</v>
      </c>
      <c r="Q104" s="77">
        <f t="shared" ca="1" si="77"/>
        <v>5.3853586748897735</v>
      </c>
      <c r="R104" s="77">
        <f t="shared" ca="1" si="77"/>
        <v>3.7058902982903281</v>
      </c>
      <c r="S104" s="77">
        <f t="shared" ca="1" si="77"/>
        <v>2.3855568179105866</v>
      </c>
      <c r="T104" s="77">
        <f t="shared" ca="1" si="77"/>
        <v>1.2961999568940838</v>
      </c>
      <c r="U104" s="77">
        <f t="shared" ca="1" si="77"/>
        <v>0.34443883003116099</v>
      </c>
    </row>
    <row r="105" spans="2:21" ht="11.25" customHeight="1">
      <c r="B105" s="2" t="s">
        <v>70</v>
      </c>
      <c r="H105" s="77">
        <f t="shared" ref="H105:U105" si="78">H$95/H73</f>
        <v>106.64377335385099</v>
      </c>
      <c r="I105" s="77">
        <f t="shared" si="78"/>
        <v>82.86717497252387</v>
      </c>
      <c r="J105" s="77">
        <f t="shared" ca="1" si="78"/>
        <v>39.681902717707828</v>
      </c>
      <c r="K105" s="77">
        <f t="shared" ca="1" si="78"/>
        <v>33.347703350336104</v>
      </c>
      <c r="L105" s="77">
        <f t="shared" ca="1" si="78"/>
        <v>29.006979735660718</v>
      </c>
      <c r="M105" s="77">
        <f t="shared" ca="1" si="78"/>
        <v>23.038267139092156</v>
      </c>
      <c r="N105" s="77">
        <f t="shared" ca="1" si="78"/>
        <v>18.060829566077679</v>
      </c>
      <c r="O105" s="77">
        <f t="shared" ca="1" si="78"/>
        <v>13.344096527244</v>
      </c>
      <c r="P105" s="77">
        <f t="shared" ca="1" si="78"/>
        <v>9.3103284777405992</v>
      </c>
      <c r="Q105" s="77">
        <f t="shared" ca="1" si="78"/>
        <v>6.4900435490635759</v>
      </c>
      <c r="R105" s="77">
        <f t="shared" ca="1" si="78"/>
        <v>4.4152696651523868</v>
      </c>
      <c r="S105" s="77">
        <f t="shared" ca="1" si="78"/>
        <v>2.8147879843222436</v>
      </c>
      <c r="T105" s="77">
        <f t="shared" ca="1" si="78"/>
        <v>1.5158902465783066</v>
      </c>
      <c r="U105" s="77">
        <f t="shared" ca="1" si="78"/>
        <v>0.39604102505504779</v>
      </c>
    </row>
    <row r="106" spans="2:21" ht="11.25" customHeight="1">
      <c r="B106" s="2" t="s">
        <v>71</v>
      </c>
      <c r="H106" s="77">
        <f t="shared" ref="H106:U106" si="79">H$95/H44</f>
        <v>34.530028874933457</v>
      </c>
      <c r="I106" s="77">
        <f t="shared" si="79"/>
        <v>40.34939591880012</v>
      </c>
      <c r="J106" s="77">
        <f t="shared" ca="1" si="79"/>
        <v>28.414813402210179</v>
      </c>
      <c r="K106" s="77">
        <f t="shared" ca="1" si="79"/>
        <v>22.799943929703844</v>
      </c>
      <c r="L106" s="77">
        <f t="shared" ca="1" si="79"/>
        <v>18.387126050558741</v>
      </c>
      <c r="M106" s="77">
        <f t="shared" ca="1" si="79"/>
        <v>15.080054823642945</v>
      </c>
      <c r="N106" s="77">
        <f t="shared" ca="1" si="79"/>
        <v>12.395915606596706</v>
      </c>
      <c r="O106" s="77">
        <f t="shared" ca="1" si="79"/>
        <v>9.5998966141923674</v>
      </c>
      <c r="P106" s="77">
        <f t="shared" ca="1" si="79"/>
        <v>7.3444103202592261</v>
      </c>
      <c r="Q106" s="77">
        <f t="shared" ca="1" si="79"/>
        <v>5.5312454329260845</v>
      </c>
      <c r="R106" s="77">
        <f t="shared" ca="1" si="79"/>
        <v>4.0211619107305907</v>
      </c>
      <c r="S106" s="77">
        <f t="shared" ca="1" si="79"/>
        <v>2.7131273960282618</v>
      </c>
      <c r="T106" s="77">
        <f t="shared" ca="1" si="79"/>
        <v>1.531411394166257</v>
      </c>
      <c r="U106" s="77">
        <f t="shared" ca="1" si="79"/>
        <v>0.41642004499273488</v>
      </c>
    </row>
    <row r="108" spans="2:21" ht="13.5" customHeight="1">
      <c r="B108" s="213" t="s">
        <v>47</v>
      </c>
      <c r="I108" s="212"/>
      <c r="J108" s="212"/>
    </row>
    <row r="109" spans="2:21" ht="13.5" customHeight="1">
      <c r="B109" s="30" t="s">
        <v>62</v>
      </c>
      <c r="S109" s="145"/>
      <c r="T109" s="145">
        <v>15</v>
      </c>
      <c r="U109" s="101" t="s">
        <v>52</v>
      </c>
    </row>
    <row r="110" spans="2:21" ht="11.25" customHeight="1">
      <c r="B110" s="2" t="s">
        <v>320</v>
      </c>
      <c r="I110" s="19"/>
      <c r="J110" s="19"/>
      <c r="K110" s="19"/>
      <c r="L110" s="19"/>
      <c r="M110" s="19"/>
      <c r="N110" s="19"/>
      <c r="O110" s="19"/>
      <c r="P110" s="19"/>
      <c r="Q110" s="19"/>
      <c r="R110" s="19"/>
      <c r="S110" s="19"/>
      <c r="T110" s="19">
        <f ca="1">T109*U73</f>
        <v>77104.136803976478</v>
      </c>
      <c r="U110" s="102">
        <f ca="1">SUM(J110:T110)</f>
        <v>77104.136803976478</v>
      </c>
    </row>
    <row r="111" spans="2:21" ht="11.25" customHeight="1">
      <c r="B111" s="13" t="s">
        <v>321</v>
      </c>
      <c r="J111" s="19"/>
      <c r="K111" s="19">
        <f t="shared" ref="K111:T111" ca="1" si="80">K86</f>
        <v>2304.4973800192693</v>
      </c>
      <c r="L111" s="19">
        <f t="shared" ca="1" si="80"/>
        <v>1033.6929695981171</v>
      </c>
      <c r="M111" s="19">
        <f t="shared" ca="1" si="80"/>
        <v>1278.8781836094424</v>
      </c>
      <c r="N111" s="19">
        <f t="shared" ca="1" si="80"/>
        <v>1541.2968955573649</v>
      </c>
      <c r="O111" s="19">
        <f t="shared" ca="1" si="80"/>
        <v>1939.7889545627022</v>
      </c>
      <c r="P111" s="19">
        <f t="shared" ca="1" si="80"/>
        <v>2499.877427895452</v>
      </c>
      <c r="Q111" s="19">
        <f t="shared" ca="1" si="80"/>
        <v>3094.0350745711667</v>
      </c>
      <c r="R111" s="19">
        <f t="shared" ca="1" si="80"/>
        <v>3693.9096368541677</v>
      </c>
      <c r="S111" s="19">
        <f t="shared" ca="1" si="80"/>
        <v>4260.7534616488419</v>
      </c>
      <c r="T111" s="19">
        <f t="shared" ca="1" si="80"/>
        <v>4752.6491192198928</v>
      </c>
      <c r="U111" s="102">
        <f ca="1">SUM(J111:T111)</f>
        <v>26399.379103536416</v>
      </c>
    </row>
    <row r="112" spans="2:21" ht="13.5">
      <c r="B112" s="30" t="s">
        <v>322</v>
      </c>
      <c r="C112" s="18"/>
      <c r="D112" s="18"/>
      <c r="E112" s="18"/>
      <c r="F112" s="18"/>
      <c r="G112" s="18"/>
      <c r="H112" s="18"/>
      <c r="I112" s="70"/>
      <c r="J112" s="70">
        <f>-D120</f>
        <v>-33582.614598526314</v>
      </c>
      <c r="K112" s="70" t="s">
        <v>51</v>
      </c>
      <c r="L112" s="70" t="s">
        <v>51</v>
      </c>
      <c r="M112" s="70" t="s">
        <v>51</v>
      </c>
      <c r="N112" s="70" t="s">
        <v>51</v>
      </c>
      <c r="O112" s="70" t="s">
        <v>51</v>
      </c>
      <c r="P112" s="70" t="s">
        <v>51</v>
      </c>
      <c r="Q112" s="70" t="s">
        <v>51</v>
      </c>
      <c r="R112" s="70" t="s">
        <v>51</v>
      </c>
      <c r="S112" s="70" t="s">
        <v>51</v>
      </c>
      <c r="T112" s="70" t="s">
        <v>51</v>
      </c>
      <c r="U112" s="103">
        <f>SUM(J112:T112)</f>
        <v>-33582.614598526314</v>
      </c>
    </row>
    <row r="113" spans="2:24" s="18" customFormat="1" ht="11.25" customHeight="1">
      <c r="B113" s="12" t="s">
        <v>15</v>
      </c>
      <c r="C113" s="2"/>
      <c r="D113" s="2"/>
      <c r="E113" s="2"/>
      <c r="F113" s="2"/>
      <c r="G113" s="2"/>
      <c r="H113" s="2"/>
      <c r="I113" s="19"/>
      <c r="J113" s="19">
        <f t="shared" ref="J113:T113" si="81">SUM(J110:J112)</f>
        <v>-33582.614598526314</v>
      </c>
      <c r="K113" s="19">
        <f t="shared" ca="1" si="81"/>
        <v>2304.4973800192693</v>
      </c>
      <c r="L113" s="19">
        <f t="shared" ca="1" si="81"/>
        <v>1033.6929695981171</v>
      </c>
      <c r="M113" s="19">
        <f t="shared" ca="1" si="81"/>
        <v>1278.8781836094424</v>
      </c>
      <c r="N113" s="19">
        <f t="shared" ca="1" si="81"/>
        <v>1541.2968955573649</v>
      </c>
      <c r="O113" s="19">
        <f t="shared" ca="1" si="81"/>
        <v>1939.7889545627022</v>
      </c>
      <c r="P113" s="19">
        <f t="shared" ca="1" si="81"/>
        <v>2499.877427895452</v>
      </c>
      <c r="Q113" s="19">
        <f t="shared" ca="1" si="81"/>
        <v>3094.0350745711667</v>
      </c>
      <c r="R113" s="19">
        <f t="shared" ca="1" si="81"/>
        <v>3693.9096368541677</v>
      </c>
      <c r="S113" s="19">
        <f t="shared" ca="1" si="81"/>
        <v>4260.7534616488419</v>
      </c>
      <c r="T113" s="19">
        <f t="shared" ca="1" si="81"/>
        <v>81856.785923196367</v>
      </c>
      <c r="U113" s="104">
        <f ca="1">(U110+U111)/-U112</f>
        <v>3.0820565088477321</v>
      </c>
    </row>
    <row r="114" spans="2:24" ht="11.25" customHeight="1">
      <c r="S114" s="19"/>
    </row>
    <row r="115" spans="2:24" ht="11.25" customHeight="1">
      <c r="B115" s="130" t="s">
        <v>76</v>
      </c>
      <c r="C115" s="131"/>
      <c r="D115" s="131"/>
      <c r="E115" s="131"/>
      <c r="F115" s="132">
        <f ca="1">XIRR(J113:T113,J207:T207)</f>
        <v>0.14307280182838442</v>
      </c>
      <c r="I115"/>
    </row>
    <row r="117" spans="2:24" ht="11.25" customHeight="1">
      <c r="B117" s="151" t="s">
        <v>48</v>
      </c>
      <c r="C117" s="152"/>
      <c r="D117" s="152"/>
      <c r="E117" s="152"/>
      <c r="F117" s="153"/>
      <c r="G117" s="153"/>
      <c r="H117" s="153"/>
      <c r="I117" s="153"/>
      <c r="J117" s="153"/>
      <c r="K117" s="153"/>
      <c r="L117"/>
      <c r="M117"/>
      <c r="N117"/>
      <c r="O117"/>
      <c r="P117"/>
      <c r="Q117"/>
      <c r="R117"/>
      <c r="S117"/>
      <c r="T117"/>
      <c r="U117"/>
    </row>
    <row r="118" spans="2:24" ht="13.5" customHeight="1">
      <c r="B118" s="96"/>
      <c r="C118" s="97"/>
      <c r="D118" s="89" t="s">
        <v>907</v>
      </c>
      <c r="E118" s="585"/>
      <c r="G118" s="89" t="s">
        <v>908</v>
      </c>
      <c r="H118" s="585"/>
      <c r="I118" s="64" t="s">
        <v>910</v>
      </c>
      <c r="J118" s="89" t="s">
        <v>909</v>
      </c>
      <c r="K118" s="585"/>
      <c r="L118"/>
      <c r="M118"/>
      <c r="N118"/>
      <c r="O118"/>
      <c r="P118"/>
      <c r="Q118"/>
      <c r="R118"/>
      <c r="S118"/>
      <c r="T118"/>
      <c r="U118"/>
    </row>
    <row r="119" spans="2:24" ht="13.5" customHeight="1">
      <c r="B119" s="96"/>
      <c r="C119" s="97"/>
      <c r="D119" s="146" t="s">
        <v>904</v>
      </c>
      <c r="E119" s="146" t="s">
        <v>905</v>
      </c>
      <c r="G119" s="146" t="s">
        <v>904</v>
      </c>
      <c r="H119" s="146" t="s">
        <v>906</v>
      </c>
      <c r="I119" s="64" t="s">
        <v>910</v>
      </c>
      <c r="J119" s="146" t="s">
        <v>904</v>
      </c>
      <c r="K119" s="146" t="s">
        <v>905</v>
      </c>
      <c r="L119" s="146"/>
      <c r="M119" s="146"/>
      <c r="N119" s="146"/>
      <c r="O119" s="146"/>
      <c r="P119" s="146"/>
      <c r="Q119" s="146"/>
      <c r="R119" s="146"/>
      <c r="S119" s="146"/>
      <c r="T119"/>
      <c r="U119"/>
    </row>
    <row r="120" spans="2:24" ht="11.25" customHeight="1">
      <c r="B120" s="105" t="s">
        <v>75</v>
      </c>
      <c r="C120" s="97"/>
      <c r="D120" s="106">
        <f>E120*E125</f>
        <v>33582.614598526314</v>
      </c>
      <c r="E120" s="241">
        <f>'Simple Model (A)'!E121</f>
        <v>1294.7444399999999</v>
      </c>
      <c r="G120" s="287">
        <f>H120*H125</f>
        <v>1024.4848870813398</v>
      </c>
      <c r="H120" s="593">
        <f>'Simple Model (A)'!H121</f>
        <v>197.49</v>
      </c>
      <c r="I120" s="64" t="s">
        <v>910</v>
      </c>
      <c r="J120" s="106">
        <f>G120/D$125</f>
        <v>33582.614598526321</v>
      </c>
      <c r="K120" s="225">
        <f>J120/E$125</f>
        <v>1294.7444400000002</v>
      </c>
      <c r="L120" s="583">
        <f>'Simple Model (A)'!L121</f>
        <v>0</v>
      </c>
      <c r="M120" s="106"/>
      <c r="N120" s="106"/>
      <c r="O120" s="106"/>
      <c r="Q120" s="106"/>
      <c r="R120" s="106"/>
      <c r="S120" s="106"/>
      <c r="T120" s="106"/>
      <c r="U120" s="106"/>
    </row>
    <row r="121" spans="2:24" ht="11.25" customHeight="1">
      <c r="B121" s="105" t="s">
        <v>278</v>
      </c>
      <c r="C121" s="97"/>
      <c r="D121" s="107">
        <f>+'Simple Model (A)'!D122</f>
        <v>-2167.6</v>
      </c>
      <c r="E121" s="225">
        <f>D121/$E$125</f>
        <v>-83.569670845913095</v>
      </c>
      <c r="G121" s="287">
        <f>D121*$D$125</f>
        <v>-66.125686394142761</v>
      </c>
      <c r="H121" s="225">
        <f>G121/H$125</f>
        <v>-12.747051684855565</v>
      </c>
      <c r="I121" s="64" t="s">
        <v>910</v>
      </c>
      <c r="J121" s="106">
        <f t="shared" ref="J121:J123" si="82">G121/D$125</f>
        <v>-2167.6</v>
      </c>
      <c r="K121" s="225">
        <f t="shared" ref="K121:K123" si="83">J121/E$125</f>
        <v>-83.569670845913095</v>
      </c>
      <c r="L121" s="583">
        <f>'Simple Model (A)'!L122</f>
        <v>0</v>
      </c>
      <c r="M121" s="107"/>
      <c r="N121" s="107"/>
      <c r="O121" s="106"/>
      <c r="P121" s="106"/>
      <c r="Q121" s="106"/>
      <c r="R121" s="106"/>
      <c r="S121" s="106"/>
      <c r="T121" s="106"/>
      <c r="U121" s="106"/>
    </row>
    <row r="122" spans="2:24" ht="11.25" customHeight="1">
      <c r="B122" s="105" t="s">
        <v>28</v>
      </c>
      <c r="C122" s="97"/>
      <c r="D122" s="107">
        <f>+'Simple Model (A)'!D123</f>
        <v>968.5089999999999</v>
      </c>
      <c r="E122" s="225">
        <f>D122/$E$125</f>
        <v>37.339905121472796</v>
      </c>
      <c r="G122" s="287">
        <f>D122*$D$125</f>
        <v>29.54572910311165</v>
      </c>
      <c r="H122" s="225">
        <f t="shared" ref="H122:H123" si="84">G122/H$125</f>
        <v>5.6955315926590604</v>
      </c>
      <c r="I122" s="64" t="s">
        <v>910</v>
      </c>
      <c r="J122" s="106">
        <f t="shared" si="82"/>
        <v>968.5089999999999</v>
      </c>
      <c r="K122" s="225">
        <f t="shared" si="83"/>
        <v>37.339905121472796</v>
      </c>
      <c r="L122" s="107"/>
      <c r="M122" s="107"/>
      <c r="N122" s="107"/>
      <c r="O122" s="106"/>
      <c r="P122" s="106"/>
      <c r="Q122" s="106"/>
      <c r="R122" s="106"/>
      <c r="S122" s="106"/>
      <c r="T122" s="106"/>
      <c r="U122" s="106"/>
    </row>
    <row r="123" spans="2:24" ht="13.5" customHeight="1">
      <c r="B123" s="105" t="s">
        <v>279</v>
      </c>
      <c r="C123" s="97"/>
      <c r="D123" s="108">
        <f>+'Simple Model (A)'!D124</f>
        <v>31.902999999999999</v>
      </c>
      <c r="E123" s="289">
        <f>D123/$E$125</f>
        <v>1.2299885629254315</v>
      </c>
      <c r="G123" s="288">
        <f>D123*$D$125</f>
        <v>0.97324588163514336</v>
      </c>
      <c r="H123" s="289">
        <f t="shared" si="84"/>
        <v>0.18761265450357406</v>
      </c>
      <c r="I123" s="64" t="s">
        <v>910</v>
      </c>
      <c r="J123" s="588">
        <f t="shared" si="82"/>
        <v>31.902999999999999</v>
      </c>
      <c r="K123" s="289">
        <f t="shared" si="83"/>
        <v>1.2299885629254315</v>
      </c>
      <c r="L123" s="108"/>
      <c r="M123" s="108"/>
      <c r="N123" s="108"/>
      <c r="O123" s="106"/>
      <c r="P123" s="106"/>
      <c r="Q123" s="106"/>
      <c r="R123" s="106"/>
      <c r="S123" s="106"/>
      <c r="T123" s="106"/>
      <c r="U123" s="106"/>
    </row>
    <row r="124" spans="2:24" ht="11.25" customHeight="1">
      <c r="B124" s="226" t="s">
        <v>50</v>
      </c>
      <c r="C124" s="106"/>
      <c r="D124" s="106">
        <f>SUM(D120:D123)</f>
        <v>32415.426598526312</v>
      </c>
      <c r="E124" s="193">
        <f>SUM(E120:E123)</f>
        <v>1249.7446628384851</v>
      </c>
      <c r="G124" s="287">
        <f>SUM(G120:G123)</f>
        <v>988.87817567194384</v>
      </c>
      <c r="H124" s="591">
        <f>SUM(H120:H123)</f>
        <v>190.62609256230706</v>
      </c>
      <c r="I124" s="64" t="s">
        <v>910</v>
      </c>
      <c r="J124" s="106">
        <f>SUM(J120:J123)</f>
        <v>32415.426598526319</v>
      </c>
      <c r="K124" s="193">
        <f>SUM(K120:K123)</f>
        <v>1249.7446628384853</v>
      </c>
      <c r="L124" s="19"/>
      <c r="M124" s="97"/>
      <c r="N124" s="97"/>
      <c r="O124" s="106"/>
      <c r="P124" s="106"/>
      <c r="Q124" s="106"/>
      <c r="R124" s="106"/>
      <c r="S124" s="106"/>
      <c r="T124" s="106"/>
      <c r="U124" s="106"/>
    </row>
    <row r="125" spans="2:24" s="18" customFormat="1" ht="11.25" customHeight="1">
      <c r="B125" s="224" t="s">
        <v>911</v>
      </c>
      <c r="C125" s="277"/>
      <c r="D125" s="286">
        <f>+'Simple Model (A)'!D126</f>
        <v>3.0506406345332519E-2</v>
      </c>
      <c r="E125" s="276">
        <f>+'Simple Model (A)'!E126</f>
        <v>25.937639553429026</v>
      </c>
      <c r="H125" s="586">
        <f>E125/5</f>
        <v>5.1875279106858052</v>
      </c>
      <c r="I125" s="64"/>
      <c r="J125" s="587"/>
      <c r="K125" s="590">
        <f>J120/D120-1</f>
        <v>0</v>
      </c>
      <c r="L125" s="336" t="s">
        <v>912</v>
      </c>
      <c r="M125" s="174"/>
      <c r="N125" s="174"/>
      <c r="O125" s="106"/>
      <c r="P125" s="106"/>
      <c r="Q125" s="106"/>
      <c r="R125" s="106"/>
      <c r="S125" s="106"/>
      <c r="T125" s="106"/>
      <c r="U125" s="106"/>
      <c r="W125" s="175"/>
      <c r="X125" s="175"/>
    </row>
    <row r="126" spans="2:24" s="18" customFormat="1" ht="11.25" customHeight="1">
      <c r="B126" s="224"/>
      <c r="C126" s="277"/>
      <c r="E126" s="286"/>
      <c r="F126" s="276"/>
      <c r="G126" s="54"/>
      <c r="H126" s="54"/>
      <c r="J126" s="174"/>
      <c r="K126" s="174"/>
      <c r="L126" s="174"/>
      <c r="M126" s="174"/>
      <c r="N126" s="174"/>
      <c r="O126" s="106"/>
      <c r="P126" s="106"/>
      <c r="Q126" s="106"/>
      <c r="R126" s="106"/>
      <c r="S126" s="106"/>
      <c r="T126" s="106"/>
      <c r="U126" s="106"/>
      <c r="W126" s="175"/>
      <c r="X126" s="175"/>
    </row>
    <row r="127" spans="2:24" s="18" customFormat="1" ht="11.25" customHeight="1">
      <c r="B127" s="55" t="s">
        <v>114</v>
      </c>
      <c r="C127" s="2"/>
      <c r="D127" s="3"/>
      <c r="E127" s="3"/>
      <c r="F127" s="3"/>
      <c r="G127" s="3"/>
      <c r="H127" s="3"/>
      <c r="I127" s="3"/>
      <c r="J127" s="3"/>
      <c r="K127" s="3"/>
      <c r="L127" s="3"/>
      <c r="M127" s="3"/>
      <c r="N127" s="3"/>
      <c r="O127" s="3"/>
      <c r="P127" s="3"/>
      <c r="Q127" s="3"/>
      <c r="R127" s="3"/>
      <c r="S127" s="3"/>
      <c r="T127" s="2"/>
      <c r="U127" s="124">
        <f ca="1">U2</f>
        <v>45796</v>
      </c>
      <c r="W127" s="175"/>
      <c r="X127" s="175"/>
    </row>
    <row r="128" spans="2:24" s="18" customFormat="1" ht="11.25" customHeight="1">
      <c r="B128" s="5" t="str">
        <f>B3</f>
        <v>Simple Model – Case B (High)</v>
      </c>
      <c r="C128" s="2"/>
      <c r="D128" s="2"/>
      <c r="E128" s="2"/>
      <c r="F128" s="2"/>
      <c r="G128" s="2"/>
      <c r="H128" s="2"/>
      <c r="I128" s="2"/>
      <c r="J128" s="2"/>
      <c r="K128" s="2"/>
      <c r="L128" s="2"/>
      <c r="M128" s="2"/>
      <c r="N128" s="2"/>
      <c r="O128" s="2"/>
      <c r="P128" s="2"/>
      <c r="Q128" s="2"/>
      <c r="R128" s="2"/>
      <c r="S128" s="2"/>
      <c r="T128" s="2"/>
      <c r="U128" s="2"/>
      <c r="W128" s="175"/>
      <c r="X128" s="175"/>
    </row>
    <row r="129" spans="2:24" s="18" customFormat="1" ht="11.25" customHeight="1">
      <c r="B129" s="7" t="str">
        <f>B4</f>
        <v>(TWD in billions, unless otherwise noted)</v>
      </c>
      <c r="C129" s="123"/>
      <c r="D129" s="123"/>
      <c r="E129" s="123"/>
      <c r="F129" s="123"/>
      <c r="G129" s="123"/>
      <c r="H129" s="235"/>
      <c r="I129" s="123"/>
      <c r="J129" s="123"/>
      <c r="K129" s="123"/>
      <c r="L129" s="123"/>
      <c r="M129" s="123"/>
      <c r="N129" s="123"/>
      <c r="O129" s="123"/>
      <c r="P129" s="123"/>
      <c r="Q129" s="123"/>
      <c r="R129" s="123"/>
      <c r="S129" s="123"/>
      <c r="T129" s="123"/>
      <c r="U129" s="565" t="str">
        <f>U4</f>
        <v>(ROIC-driven model)</v>
      </c>
      <c r="W129" s="175"/>
      <c r="X129" s="175"/>
    </row>
    <row r="130" spans="2:24" s="18" customFormat="1" ht="11.25" customHeight="1">
      <c r="B130" s="224"/>
      <c r="C130" s="277"/>
      <c r="E130" s="286"/>
      <c r="F130" s="276"/>
      <c r="G130" s="54"/>
      <c r="H130" s="54"/>
      <c r="J130" s="174"/>
      <c r="K130" s="174"/>
      <c r="L130" s="174"/>
      <c r="M130" s="174"/>
      <c r="N130" s="174"/>
      <c r="O130" s="106"/>
      <c r="P130" s="106"/>
      <c r="Q130" s="106"/>
      <c r="R130" s="106"/>
      <c r="S130" s="106"/>
      <c r="T130" s="106"/>
      <c r="U130" s="106"/>
      <c r="W130" s="175"/>
      <c r="X130" s="175"/>
    </row>
    <row r="131" spans="2:24" s="18" customFormat="1" ht="13.5" customHeight="1">
      <c r="B131" s="224"/>
      <c r="C131" s="277"/>
      <c r="D131" s="22" t="s">
        <v>0</v>
      </c>
      <c r="E131" s="22"/>
      <c r="F131" s="22"/>
      <c r="G131" s="22"/>
      <c r="H131" s="22"/>
      <c r="I131" s="22"/>
      <c r="J131" s="22"/>
      <c r="K131" s="22"/>
      <c r="L131" s="22"/>
      <c r="M131" s="22"/>
      <c r="N131" s="22"/>
      <c r="O131" s="22"/>
      <c r="P131" s="22"/>
      <c r="Q131" s="22"/>
      <c r="R131" s="22"/>
      <c r="S131" s="22"/>
      <c r="T131" s="22"/>
      <c r="U131" s="22"/>
      <c r="W131" s="175"/>
      <c r="X131" s="175"/>
    </row>
    <row r="132" spans="2:24" s="18" customFormat="1" ht="13.5" customHeight="1">
      <c r="B132" s="224"/>
      <c r="C132" s="277"/>
      <c r="D132" s="8" t="s">
        <v>1</v>
      </c>
      <c r="E132" s="8" t="s">
        <v>2</v>
      </c>
      <c r="F132" s="8" t="s">
        <v>3</v>
      </c>
      <c r="G132" s="8" t="s">
        <v>4</v>
      </c>
      <c r="H132" s="8" t="s">
        <v>5</v>
      </c>
      <c r="I132" s="8" t="s">
        <v>68</v>
      </c>
      <c r="J132" s="8" t="s">
        <v>6</v>
      </c>
      <c r="K132" s="8" t="s">
        <v>22</v>
      </c>
      <c r="L132" s="8" t="s">
        <v>23</v>
      </c>
      <c r="M132" s="8" t="s">
        <v>24</v>
      </c>
      <c r="N132" s="8" t="s">
        <v>25</v>
      </c>
      <c r="O132" s="8" t="s">
        <v>26</v>
      </c>
      <c r="P132" s="8" t="s">
        <v>27</v>
      </c>
      <c r="Q132" s="8" t="s">
        <v>38</v>
      </c>
      <c r="R132" s="8" t="s">
        <v>39</v>
      </c>
      <c r="S132" s="8" t="s">
        <v>40</v>
      </c>
      <c r="T132" s="8" t="s">
        <v>41</v>
      </c>
      <c r="U132" s="8" t="s">
        <v>112</v>
      </c>
      <c r="W132" s="175"/>
      <c r="X132" s="175"/>
    </row>
    <row r="133" spans="2:24" s="18" customFormat="1" ht="11.25" customHeight="1">
      <c r="B133" s="224"/>
      <c r="C133" s="277"/>
      <c r="E133" s="286"/>
      <c r="F133" s="276"/>
      <c r="G133" s="54"/>
      <c r="H133" s="54"/>
      <c r="J133" s="174"/>
      <c r="K133" s="174"/>
      <c r="L133" s="174"/>
      <c r="M133" s="174"/>
      <c r="N133" s="174"/>
      <c r="O133" s="106"/>
      <c r="P133" s="106"/>
      <c r="Q133" s="106"/>
      <c r="R133" s="106"/>
      <c r="S133" s="106"/>
      <c r="T133" s="106"/>
      <c r="U133" s="106"/>
      <c r="W133" s="175"/>
      <c r="X133" s="175"/>
    </row>
    <row r="134" spans="2:24" s="18" customFormat="1" ht="11.25" customHeight="1">
      <c r="B134" s="447" t="s">
        <v>683</v>
      </c>
      <c r="C134" s="488"/>
      <c r="E134" s="286"/>
      <c r="F134" s="276"/>
      <c r="G134" s="54"/>
      <c r="H134" s="54"/>
      <c r="J134" s="174"/>
      <c r="K134" s="174"/>
      <c r="L134" s="174"/>
      <c r="M134" s="174"/>
      <c r="N134" s="174"/>
      <c r="O134" s="106"/>
      <c r="P134" s="106"/>
      <c r="Q134" s="106"/>
      <c r="R134" s="106"/>
      <c r="S134" s="106"/>
      <c r="T134" s="106"/>
      <c r="U134" s="106"/>
      <c r="W134" s="175"/>
      <c r="X134" s="175"/>
    </row>
    <row r="135" spans="2:24" s="18" customFormat="1" ht="11.25" customHeight="1">
      <c r="B135" s="440"/>
      <c r="C135" s="277"/>
      <c r="E135" s="286"/>
      <c r="F135" s="276"/>
      <c r="G135" s="54"/>
      <c r="H135" s="54"/>
      <c r="J135" s="174"/>
      <c r="K135" s="174"/>
      <c r="L135" s="174"/>
      <c r="M135" s="174"/>
      <c r="N135" s="174"/>
      <c r="O135" s="106"/>
      <c r="P135" s="106"/>
      <c r="Q135" s="106"/>
      <c r="R135" s="106"/>
      <c r="S135" s="106"/>
      <c r="T135" s="106"/>
      <c r="U135" s="106"/>
      <c r="W135" s="175"/>
      <c r="X135" s="175"/>
    </row>
    <row r="136" spans="2:24" s="18" customFormat="1" ht="11.25" customHeight="1">
      <c r="B136" s="449" t="s">
        <v>520</v>
      </c>
      <c r="C136" s="277"/>
      <c r="E136" s="286"/>
      <c r="F136" s="276"/>
      <c r="G136" s="54"/>
      <c r="H136" s="54"/>
      <c r="J136" s="174"/>
      <c r="K136" s="174"/>
      <c r="L136" s="174"/>
      <c r="M136" s="174"/>
      <c r="N136" s="174"/>
      <c r="O136" s="106"/>
      <c r="P136" s="106"/>
      <c r="Q136" s="106"/>
      <c r="R136" s="106"/>
      <c r="S136" s="106"/>
      <c r="T136" s="106"/>
      <c r="U136" s="106"/>
      <c r="W136" s="175"/>
      <c r="X136" s="175"/>
    </row>
    <row r="137" spans="2:24" s="18" customFormat="1" ht="11.25" customHeight="1">
      <c r="B137" s="30" t="s">
        <v>7</v>
      </c>
      <c r="C137" s="277"/>
      <c r="D137" s="56">
        <f t="shared" ref="D137:J137" si="85">D12</f>
        <v>1031.473557</v>
      </c>
      <c r="E137" s="56">
        <f t="shared" si="85"/>
        <v>1069.9854480000001</v>
      </c>
      <c r="F137" s="56">
        <f t="shared" si="85"/>
        <v>1339.254811</v>
      </c>
      <c r="G137" s="56">
        <f t="shared" si="85"/>
        <v>1587.4150369999998</v>
      </c>
      <c r="H137" s="56">
        <f t="shared" si="85"/>
        <v>2263.8912920000002</v>
      </c>
      <c r="I137" s="56">
        <f t="shared" si="85"/>
        <v>2161.7359999999999</v>
      </c>
      <c r="J137" s="56">
        <f t="shared" ca="1" si="85"/>
        <v>2886.9901861713579</v>
      </c>
      <c r="K137" s="56">
        <f ca="1">IF($W$137=1,K140/K142,2000)</f>
        <v>3553.2848535556295</v>
      </c>
      <c r="L137" s="56">
        <f t="shared" ref="L137:U137" ca="1" si="86">IF($W$137=1,L140/L142,2000)</f>
        <v>4264.3958628665014</v>
      </c>
      <c r="M137" s="56">
        <f t="shared" ca="1" si="86"/>
        <v>4984.3446391750967</v>
      </c>
      <c r="N137" s="56">
        <f t="shared" ca="1" si="86"/>
        <v>5746.309217700521</v>
      </c>
      <c r="O137" s="56">
        <f t="shared" ca="1" si="86"/>
        <v>6746.1791755998593</v>
      </c>
      <c r="P137" s="56">
        <f t="shared" ca="1" si="86"/>
        <v>7784.8006778936351</v>
      </c>
      <c r="Q137" s="56">
        <f t="shared" ca="1" si="86"/>
        <v>8760.0106907326408</v>
      </c>
      <c r="R137" s="56">
        <f t="shared" ca="1" si="86"/>
        <v>9612.8773566825184</v>
      </c>
      <c r="S137" s="56">
        <f t="shared" ca="1" si="86"/>
        <v>10290.643427846075</v>
      </c>
      <c r="T137" s="56">
        <f t="shared" ca="1" si="86"/>
        <v>10758.112412765513</v>
      </c>
      <c r="U137" s="56">
        <f t="shared" ca="1" si="86"/>
        <v>10998.099623966664</v>
      </c>
      <c r="W137" s="564">
        <v>1</v>
      </c>
      <c r="X137" s="175" t="s">
        <v>691</v>
      </c>
    </row>
    <row r="138" spans="2:24" s="18" customFormat="1" ht="11.25" customHeight="1">
      <c r="B138" s="9" t="s">
        <v>249</v>
      </c>
      <c r="C138" s="277"/>
      <c r="D138" s="134">
        <f>D13</f>
        <v>5.5273131944750142E-2</v>
      </c>
      <c r="E138" s="134">
        <f>(E137/D137)-1</f>
        <v>3.7336770039951839E-2</v>
      </c>
      <c r="F138" s="134">
        <f t="shared" ref="F138:U138" si="87">(F137/E137)-1</f>
        <v>0.25165703281601992</v>
      </c>
      <c r="G138" s="134">
        <f t="shared" si="87"/>
        <v>0.18529724437928463</v>
      </c>
      <c r="H138" s="134">
        <f t="shared" si="87"/>
        <v>0.42614958232879618</v>
      </c>
      <c r="I138" s="134">
        <f t="shared" si="87"/>
        <v>-4.5123762064455342E-2</v>
      </c>
      <c r="J138" s="134">
        <f t="shared" ca="1" si="87"/>
        <v>0.33549618740279019</v>
      </c>
      <c r="K138" s="134">
        <f t="shared" ca="1" si="87"/>
        <v>0.23079214836815654</v>
      </c>
      <c r="L138" s="134">
        <f t="shared" ca="1" si="87"/>
        <v>0.20012777996092601</v>
      </c>
      <c r="M138" s="134">
        <f t="shared" ca="1" si="87"/>
        <v>0.16882784794389383</v>
      </c>
      <c r="N138" s="134">
        <f t="shared" ca="1" si="87"/>
        <v>0.15287156761526188</v>
      </c>
      <c r="O138" s="134">
        <f t="shared" ca="1" si="87"/>
        <v>0.17400211510014296</v>
      </c>
      <c r="P138" s="134">
        <f t="shared" ca="1" si="87"/>
        <v>0.15395699925230977</v>
      </c>
      <c r="Q138" s="134">
        <f t="shared" ca="1" si="87"/>
        <v>0.12527103174372756</v>
      </c>
      <c r="R138" s="134">
        <f t="shared" ca="1" si="87"/>
        <v>9.735908962441564E-2</v>
      </c>
      <c r="S138" s="134">
        <f t="shared" ca="1" si="87"/>
        <v>7.0506056200997813E-2</v>
      </c>
      <c r="T138" s="134">
        <f t="shared" ca="1" si="87"/>
        <v>4.5426604098873558E-2</v>
      </c>
      <c r="U138" s="134">
        <f t="shared" ca="1" si="87"/>
        <v>2.2307557496460406E-2</v>
      </c>
      <c r="W138" s="175"/>
      <c r="X138" s="175"/>
    </row>
    <row r="139" spans="2:24" s="18" customFormat="1" ht="11.25" customHeight="1">
      <c r="B139" s="35"/>
      <c r="C139" s="277"/>
      <c r="E139" s="286"/>
      <c r="F139" s="276"/>
      <c r="G139" s="54"/>
      <c r="H139" s="54"/>
      <c r="K139" s="134"/>
      <c r="L139" s="134"/>
      <c r="M139" s="134"/>
      <c r="N139" s="134"/>
      <c r="O139" s="134"/>
      <c r="P139" s="134"/>
      <c r="Q139" s="134"/>
      <c r="R139" s="134"/>
      <c r="S139" s="134"/>
      <c r="T139" s="134"/>
      <c r="U139" s="134"/>
      <c r="W139" s="175"/>
      <c r="X139" s="175"/>
    </row>
    <row r="140" spans="2:24" s="18" customFormat="1" ht="11.25" customHeight="1">
      <c r="B140" s="30" t="s">
        <v>253</v>
      </c>
      <c r="C140" s="277"/>
      <c r="D140" s="56">
        <f t="shared" ref="D140:J140" si="88">D29</f>
        <v>383.62355700000001</v>
      </c>
      <c r="E140" s="56">
        <f t="shared" si="88"/>
        <v>372.70144800000014</v>
      </c>
      <c r="F140" s="56">
        <f t="shared" si="88"/>
        <v>566.78381100000001</v>
      </c>
      <c r="G140" s="56">
        <f t="shared" si="88"/>
        <v>649.98103699999967</v>
      </c>
      <c r="H140" s="56">
        <f t="shared" si="88"/>
        <v>1121.2792920000002</v>
      </c>
      <c r="I140" s="56">
        <f t="shared" si="88"/>
        <v>921.46599999999989</v>
      </c>
      <c r="J140" s="56">
        <f t="shared" ca="1" si="88"/>
        <v>1305.3836868813955</v>
      </c>
      <c r="K140" s="56">
        <f ca="1">K157*K159</f>
        <v>1613.9419060153559</v>
      </c>
      <c r="L140" s="56">
        <f t="shared" ref="L140:U140" ca="1" si="89">L157*L159</f>
        <v>1935.1406788158954</v>
      </c>
      <c r="M140" s="56">
        <f t="shared" ca="1" si="89"/>
        <v>2259.7472898157048</v>
      </c>
      <c r="N140" s="56">
        <f t="shared" ca="1" si="89"/>
        <v>2602.7784938668042</v>
      </c>
      <c r="O140" s="56">
        <f t="shared" ca="1" si="89"/>
        <v>3123.129248692791</v>
      </c>
      <c r="P140" s="56">
        <f t="shared" ca="1" si="89"/>
        <v>3681.8048628775905</v>
      </c>
      <c r="Q140" s="56">
        <f t="shared" ca="1" si="89"/>
        <v>4230.6284636366663</v>
      </c>
      <c r="R140" s="56">
        <f t="shared" ca="1" si="89"/>
        <v>4738.6473729622976</v>
      </c>
      <c r="S140" s="56">
        <f t="shared" ca="1" si="89"/>
        <v>5175.6571452355474</v>
      </c>
      <c r="T140" s="56">
        <f t="shared" ca="1" si="89"/>
        <v>5518.3507974513241</v>
      </c>
      <c r="U140" s="56">
        <f t="shared" ca="1" si="89"/>
        <v>5751.4327213907736</v>
      </c>
      <c r="W140" s="175"/>
      <c r="X140" s="175"/>
    </row>
    <row r="141" spans="2:24" s="18" customFormat="1" ht="11.25" customHeight="1">
      <c r="B141" s="9" t="s">
        <v>249</v>
      </c>
      <c r="C141" s="277"/>
      <c r="D141" s="134">
        <f>D30</f>
        <v>-5.019836134028566E-6</v>
      </c>
      <c r="E141" s="134">
        <f>(E140/D140)-1</f>
        <v>-2.8470902791821628E-2</v>
      </c>
      <c r="F141" s="134">
        <f t="shared" ref="F141:U141" si="90">(F140/E140)-1</f>
        <v>0.52074485903258361</v>
      </c>
      <c r="G141" s="134">
        <f t="shared" si="90"/>
        <v>0.14678828926537513</v>
      </c>
      <c r="H141" s="134">
        <f t="shared" si="90"/>
        <v>0.72509539228296083</v>
      </c>
      <c r="I141" s="134">
        <f t="shared" si="90"/>
        <v>-0.17820117915813627</v>
      </c>
      <c r="J141" s="134">
        <f t="shared" ca="1" si="90"/>
        <v>0.41663793008249428</v>
      </c>
      <c r="K141" s="134">
        <f t="shared" ca="1" si="90"/>
        <v>0.23637358290505084</v>
      </c>
      <c r="L141" s="134">
        <f t="shared" ca="1" si="90"/>
        <v>0.19901507706280697</v>
      </c>
      <c r="M141" s="134">
        <f t="shared" ca="1" si="90"/>
        <v>0.16774315922004956</v>
      </c>
      <c r="N141" s="134">
        <f t="shared" ca="1" si="90"/>
        <v>0.15180069275758501</v>
      </c>
      <c r="O141" s="134">
        <f t="shared" ca="1" si="90"/>
        <v>0.19992125955095408</v>
      </c>
      <c r="P141" s="134">
        <f t="shared" ca="1" si="90"/>
        <v>0.17888328330268033</v>
      </c>
      <c r="Q141" s="134">
        <f t="shared" ca="1" si="90"/>
        <v>0.14906373944276097</v>
      </c>
      <c r="R141" s="134">
        <f t="shared" ca="1" si="90"/>
        <v>0.12008119211889756</v>
      </c>
      <c r="S141" s="134">
        <f t="shared" ca="1" si="90"/>
        <v>9.2222471494024516E-2</v>
      </c>
      <c r="T141" s="134">
        <f t="shared" ca="1" si="90"/>
        <v>6.6212587619186358E-2</v>
      </c>
      <c r="U141" s="134">
        <f t="shared" ca="1" si="90"/>
        <v>4.2237605490230701E-2</v>
      </c>
      <c r="W141" s="175"/>
      <c r="X141" s="175"/>
    </row>
    <row r="142" spans="2:24" s="18" customFormat="1" ht="11.25" customHeight="1">
      <c r="B142" s="35" t="s">
        <v>17</v>
      </c>
      <c r="C142" s="277"/>
      <c r="D142" s="134">
        <f>D140/D137</f>
        <v>0.37191797540186483</v>
      </c>
      <c r="E142" s="134">
        <f t="shared" ref="E142:J142" si="91">E140/E137</f>
        <v>0.34832384748469969</v>
      </c>
      <c r="F142" s="134">
        <f t="shared" si="91"/>
        <v>0.42320834418118808</v>
      </c>
      <c r="G142" s="134">
        <f t="shared" si="91"/>
        <v>0.40945878793511753</v>
      </c>
      <c r="H142" s="134">
        <f t="shared" si="91"/>
        <v>0.49528848666996861</v>
      </c>
      <c r="I142" s="134">
        <f t="shared" si="91"/>
        <v>0.42626204124833</v>
      </c>
      <c r="J142" s="134">
        <f t="shared" ca="1" si="91"/>
        <v>0.45216076352949341</v>
      </c>
      <c r="K142" s="683">
        <f ca="1">+'Simple Model (A)'!K143</f>
        <v>0.45421123623127174</v>
      </c>
      <c r="L142" s="683">
        <f ca="1">+'Simple Model (A)'!L143</f>
        <v>0.45379011260814456</v>
      </c>
      <c r="M142" s="683">
        <f ca="1">+'Simple Model (A)'!M143</f>
        <v>0.45336898898501737</v>
      </c>
      <c r="N142" s="683">
        <f ca="1">+'Simple Model (A)'!N143</f>
        <v>0.45294786536189019</v>
      </c>
      <c r="O142" s="142">
        <f ca="1">+N142+1%</f>
        <v>0.4629478653618902</v>
      </c>
      <c r="P142" s="142">
        <f t="shared" ref="P142:U142" ca="1" si="92">+O142+1%</f>
        <v>0.47294786536189021</v>
      </c>
      <c r="Q142" s="142">
        <f t="shared" ca="1" si="92"/>
        <v>0.48294786536189022</v>
      </c>
      <c r="R142" s="142">
        <f t="shared" ca="1" si="92"/>
        <v>0.49294786536189023</v>
      </c>
      <c r="S142" s="142">
        <f t="shared" ca="1" si="92"/>
        <v>0.50294786536189018</v>
      </c>
      <c r="T142" s="142">
        <f t="shared" ca="1" si="92"/>
        <v>0.51294786536189019</v>
      </c>
      <c r="U142" s="142">
        <f t="shared" ca="1" si="92"/>
        <v>0.5229478653618902</v>
      </c>
      <c r="W142" s="136">
        <f ca="1">+U64</f>
        <v>0.54582072361473055</v>
      </c>
      <c r="X142" s="175"/>
    </row>
    <row r="143" spans="2:24" s="18" customFormat="1" ht="11.25" customHeight="1">
      <c r="B143" s="482" t="s">
        <v>295</v>
      </c>
      <c r="C143" s="277"/>
      <c r="D143" s="134"/>
      <c r="E143" s="136">
        <f>(IF(E137&gt;D137,((E140-D140)/(E137-D137)),"n/m"))</f>
        <v>-0.28360354987502001</v>
      </c>
      <c r="F143" s="136">
        <f t="shared" ref="F143:U143" si="93">(IF(F137&gt;E137,((F140-E140)/(F137-E137)),"n/m"))</f>
        <v>0.72077402656461875</v>
      </c>
      <c r="G143" s="136">
        <f t="shared" si="93"/>
        <v>0.33525608571939225</v>
      </c>
      <c r="H143" s="136">
        <f t="shared" si="93"/>
        <v>0.696695932069338</v>
      </c>
      <c r="I143" s="136" t="str">
        <f t="shared" si="93"/>
        <v>n/m</v>
      </c>
      <c r="J143" s="136">
        <f t="shared" ca="1" si="93"/>
        <v>0.52935604399350034</v>
      </c>
      <c r="K143" s="136">
        <f t="shared" ca="1" si="93"/>
        <v>0.46309573562293849</v>
      </c>
      <c r="L143" s="136">
        <f t="shared" ca="1" si="93"/>
        <v>0.45168583891256148</v>
      </c>
      <c r="M143" s="136">
        <f t="shared" ca="1" si="93"/>
        <v>0.45087459230664984</v>
      </c>
      <c r="N143" s="136">
        <f t="shared" ca="1" si="93"/>
        <v>0.45019311096447978</v>
      </c>
      <c r="O143" s="136">
        <f t="shared" ca="1" si="93"/>
        <v>0.52041843113199426</v>
      </c>
      <c r="P143" s="136">
        <f t="shared" ca="1" si="93"/>
        <v>0.53790106689585671</v>
      </c>
      <c r="Q143" s="136">
        <f t="shared" ca="1" si="93"/>
        <v>0.56277478033819095</v>
      </c>
      <c r="R143" s="136">
        <f t="shared" ca="1" si="93"/>
        <v>0.59566041165394445</v>
      </c>
      <c r="S143" s="136">
        <f t="shared" ca="1" si="93"/>
        <v>0.64477965313756769</v>
      </c>
      <c r="T143" s="136">
        <f t="shared" ca="1" si="93"/>
        <v>0.73308318470547318</v>
      </c>
      <c r="U143" s="136">
        <f t="shared" ca="1" si="93"/>
        <v>0.97122643649576224</v>
      </c>
      <c r="W143" s="175"/>
      <c r="X143" s="175"/>
    </row>
    <row r="144" spans="2:24" s="18" customFormat="1" ht="11.25" customHeight="1">
      <c r="B144" s="128"/>
      <c r="C144" s="277"/>
      <c r="E144" s="479"/>
      <c r="F144" s="479"/>
      <c r="G144" s="479"/>
      <c r="H144" s="479"/>
      <c r="I144" s="479"/>
      <c r="J144" s="479"/>
      <c r="K144" s="174"/>
      <c r="L144" s="174"/>
      <c r="M144" s="174"/>
      <c r="N144" s="174"/>
      <c r="O144" s="106"/>
      <c r="P144" s="106"/>
      <c r="Q144" s="106"/>
      <c r="R144" s="106"/>
      <c r="S144" s="106"/>
      <c r="T144" s="106"/>
      <c r="U144" s="106"/>
      <c r="W144" s="175"/>
      <c r="X144" s="175"/>
    </row>
    <row r="145" spans="2:24 16384:16384" s="18" customFormat="1" ht="11.25" customHeight="1">
      <c r="B145" s="263" t="s">
        <v>537</v>
      </c>
      <c r="C145" s="277"/>
      <c r="E145" s="561"/>
      <c r="F145" s="561"/>
      <c r="G145" s="561"/>
      <c r="H145" s="561"/>
      <c r="I145" s="561"/>
      <c r="J145" s="561"/>
      <c r="K145" s="174"/>
      <c r="L145" s="174"/>
      <c r="M145" s="174"/>
      <c r="N145" s="174"/>
      <c r="O145" s="106"/>
      <c r="P145" s="106"/>
      <c r="Q145" s="106"/>
      <c r="R145" s="106"/>
      <c r="S145" s="106"/>
      <c r="T145" s="106"/>
      <c r="U145" s="106"/>
      <c r="W145" s="175"/>
      <c r="X145" s="175"/>
    </row>
    <row r="146" spans="2:24 16384:16384" s="18" customFormat="1" ht="11.25" customHeight="1">
      <c r="B146" s="2" t="s">
        <v>547</v>
      </c>
      <c r="C146" s="277"/>
      <c r="D146" s="57">
        <f>('Historical Financials'!AX521/1000)*1000</f>
        <v>82.744</v>
      </c>
      <c r="E146" s="57">
        <f>('Historical Financials'!AY521/1000)*1000</f>
        <v>69.214999999999975</v>
      </c>
      <c r="F146" s="57">
        <f>('Historical Financials'!AZ521/1000)*1000</f>
        <v>62.17300000000003</v>
      </c>
      <c r="G146" s="57">
        <f>('Historical Financials'!BA521/1000)*1000</f>
        <v>86.961999999999989</v>
      </c>
      <c r="H146" s="57">
        <f>('Historical Financials'!BB521/1000)*1000</f>
        <v>-77.384999999999991</v>
      </c>
      <c r="I146" s="57">
        <f>('Historical Financials'!BC521/1000)*1000</f>
        <v>-57.858999999999924</v>
      </c>
      <c r="J146" s="57">
        <f ca="1">('Historical Financials'!BD521/1000)*1000</f>
        <v>-91.945927778524151</v>
      </c>
      <c r="K146" s="20">
        <f ca="1">K147*K137</f>
        <v>-136.89913925680423</v>
      </c>
      <c r="L146" s="20">
        <f t="shared" ref="L146:U146" ca="1" si="94">L147*L137</f>
        <v>-127.93187588599504</v>
      </c>
      <c r="M146" s="20">
        <f t="shared" ca="1" si="94"/>
        <v>-149.53033917525289</v>
      </c>
      <c r="N146" s="20">
        <f t="shared" ca="1" si="94"/>
        <v>-172.38927653101561</v>
      </c>
      <c r="O146" s="20">
        <f t="shared" ca="1" si="94"/>
        <v>-202.38537526799578</v>
      </c>
      <c r="P146" s="20">
        <f t="shared" ca="1" si="94"/>
        <v>-233.54402033680904</v>
      </c>
      <c r="Q146" s="20">
        <f t="shared" ca="1" si="94"/>
        <v>-262.80032072197923</v>
      </c>
      <c r="R146" s="20">
        <f t="shared" ca="1" si="94"/>
        <v>-288.38632070047555</v>
      </c>
      <c r="S146" s="20">
        <f t="shared" ca="1" si="94"/>
        <v>-308.71930283538222</v>
      </c>
      <c r="T146" s="20">
        <f t="shared" ca="1" si="94"/>
        <v>-322.74337238296539</v>
      </c>
      <c r="U146" s="20">
        <f t="shared" ca="1" si="94"/>
        <v>-329.94298871899991</v>
      </c>
      <c r="W146" s="175"/>
      <c r="X146" s="175"/>
    </row>
    <row r="147" spans="2:24 16384:16384" s="18" customFormat="1" ht="11.25" customHeight="1">
      <c r="B147" s="9" t="s">
        <v>602</v>
      </c>
      <c r="C147" s="277"/>
      <c r="D147" s="436">
        <f>D146/D137</f>
        <v>8.0219215934781346E-2</v>
      </c>
      <c r="E147" s="436">
        <f t="shared" ref="E147:J147" si="95">E146/E137</f>
        <v>6.468779564187116E-2</v>
      </c>
      <c r="F147" s="436">
        <f t="shared" si="95"/>
        <v>4.6423577865347711E-2</v>
      </c>
      <c r="G147" s="436">
        <f t="shared" si="95"/>
        <v>5.4782144538800918E-2</v>
      </c>
      <c r="H147" s="436">
        <f t="shared" si="95"/>
        <v>-3.4182295003942258E-2</v>
      </c>
      <c r="I147" s="436">
        <f t="shared" si="95"/>
        <v>-2.6765062893896352E-2</v>
      </c>
      <c r="J147" s="436">
        <f t="shared" ca="1" si="95"/>
        <v>-3.1848368663996103E-2</v>
      </c>
      <c r="K147" s="683">
        <f ca="1">+'Simple Model (A)'!K148</f>
        <v>-3.8527487915812536E-2</v>
      </c>
      <c r="L147" s="683">
        <f>+'Simple Model (A)'!L148</f>
        <v>-0.03</v>
      </c>
      <c r="M147" s="683">
        <f>+'Simple Model (A)'!M148</f>
        <v>-0.03</v>
      </c>
      <c r="N147" s="683">
        <f>+'Simple Model (A)'!N148</f>
        <v>-0.03</v>
      </c>
      <c r="O147" s="196">
        <f t="shared" ref="O147:U147" si="96">N147</f>
        <v>-0.03</v>
      </c>
      <c r="P147" s="196">
        <f t="shared" si="96"/>
        <v>-0.03</v>
      </c>
      <c r="Q147" s="196">
        <f t="shared" si="96"/>
        <v>-0.03</v>
      </c>
      <c r="R147" s="196">
        <f t="shared" si="96"/>
        <v>-0.03</v>
      </c>
      <c r="S147" s="196">
        <f t="shared" si="96"/>
        <v>-0.03</v>
      </c>
      <c r="T147" s="196">
        <f t="shared" si="96"/>
        <v>-0.03</v>
      </c>
      <c r="U147" s="196">
        <f t="shared" si="96"/>
        <v>-0.03</v>
      </c>
      <c r="W147" s="492"/>
      <c r="X147" s="175"/>
    </row>
    <row r="148" spans="2:24 16384:16384" s="18" customFormat="1" ht="11.25" customHeight="1">
      <c r="B148" s="2"/>
      <c r="C148" s="277"/>
      <c r="E148" s="286"/>
      <c r="F148" s="276"/>
      <c r="G148" s="54"/>
      <c r="H148" s="54"/>
      <c r="J148" s="174"/>
      <c r="K148" s="174"/>
      <c r="L148" s="174"/>
      <c r="M148" s="174"/>
      <c r="N148" s="174"/>
      <c r="O148" s="106"/>
      <c r="P148" s="106"/>
      <c r="Q148" s="106"/>
      <c r="R148" s="106"/>
      <c r="S148" s="106"/>
      <c r="T148" s="106"/>
      <c r="U148" s="106"/>
      <c r="W148" s="175"/>
      <c r="X148" s="175"/>
    </row>
    <row r="149" spans="2:24 16384:16384" s="18" customFormat="1" ht="11.25" customHeight="1">
      <c r="B149" s="25" t="s">
        <v>611</v>
      </c>
      <c r="C149" s="277"/>
      <c r="E149" s="286"/>
      <c r="F149" s="276"/>
      <c r="G149" s="54"/>
      <c r="H149" s="54"/>
      <c r="J149" s="174"/>
      <c r="K149" s="174"/>
      <c r="L149" s="174"/>
      <c r="M149" s="174"/>
      <c r="N149" s="174"/>
      <c r="O149" s="106"/>
      <c r="P149" s="106"/>
      <c r="Q149" s="106"/>
      <c r="R149" s="106"/>
      <c r="S149" s="106"/>
      <c r="T149" s="106"/>
      <c r="U149" s="106"/>
      <c r="W149" s="175"/>
      <c r="X149" s="175"/>
    </row>
    <row r="150" spans="2:24 16384:16384" s="18" customFormat="1" ht="11.25" customHeight="1">
      <c r="B150" s="30" t="s">
        <v>603</v>
      </c>
      <c r="C150" s="277"/>
      <c r="D150" s="57">
        <f>('Historical Financials'!AX526/1000)*1000</f>
        <v>1072.05</v>
      </c>
      <c r="E150" s="57">
        <f>('Historical Financials'!AY526/1000)*1000</f>
        <v>1352.377</v>
      </c>
      <c r="F150" s="57">
        <f>('Historical Financials'!AZ526/1000)*1000</f>
        <v>1555.5889999999999</v>
      </c>
      <c r="G150" s="57">
        <f>('Historical Financials'!BA526/1000)*1000</f>
        <v>1975.1189999999999</v>
      </c>
      <c r="H150" s="57">
        <f>('Historical Financials'!BB526/1000)*1000</f>
        <v>2693.837</v>
      </c>
      <c r="I150" s="57">
        <f>('Historical Financials'!BC526/1000)*1000</f>
        <v>3064.4749999999999</v>
      </c>
      <c r="J150" s="57">
        <f ca="1">('Historical Financials'!BD526/1000)*1000</f>
        <v>3432.7617022213999</v>
      </c>
      <c r="K150" s="57">
        <f ca="1">('D&amp;A Build (B)'!S176/1000)*1000</f>
        <v>3913.8926471443483</v>
      </c>
      <c r="L150" s="57">
        <f ca="1">('D&amp;A Build (B)'!T176/1000)*1000</f>
        <v>4569.9954535488787</v>
      </c>
      <c r="M150" s="57">
        <f ca="1">('D&amp;A Build (B)'!U176/1000)*1000</f>
        <v>5296.3793761298584</v>
      </c>
      <c r="N150" s="57">
        <f ca="1">('D&amp;A Build (B)'!V176/1000)*1000</f>
        <v>6064.302941161659</v>
      </c>
      <c r="O150" s="57">
        <f ca="1">('D&amp;A Build (B)'!W176/1000)*1000</f>
        <v>6893.8027159225294</v>
      </c>
      <c r="P150" s="57">
        <f ca="1">('D&amp;A Build (B)'!X176/1000)*1000</f>
        <v>7652.269694356266</v>
      </c>
      <c r="Q150" s="57">
        <f ca="1">('D&amp;A Build (B)'!Y176/1000)*1000</f>
        <v>8295.3001552264905</v>
      </c>
      <c r="R150" s="57">
        <f ca="1">('D&amp;A Build (B)'!Z176/1000)*1000</f>
        <v>8781.4391627329496</v>
      </c>
      <c r="S150" s="57">
        <f ca="1">('D&amp;A Build (B)'!AA176/1000)*1000</f>
        <v>9081.9626950523998</v>
      </c>
      <c r="T150" s="57">
        <f ca="1">('D&amp;A Build (B)'!AB176/1000)*1000</f>
        <v>9190.1175421679291</v>
      </c>
      <c r="U150" s="57">
        <f ca="1">('D&amp;A Build (B)'!AC176/1000)*1000</f>
        <v>9108.3617831594966</v>
      </c>
      <c r="W150" s="175"/>
      <c r="X150" s="175"/>
    </row>
    <row r="151" spans="2:24 16384:16384" s="18" customFormat="1" ht="13.5" customHeight="1">
      <c r="B151" s="30" t="s">
        <v>693</v>
      </c>
      <c r="C151" s="277"/>
      <c r="D151" s="210">
        <f>('Historical Financials'!AX527/1000)*1000</f>
        <v>37.093000000000004</v>
      </c>
      <c r="E151" s="210">
        <f>('Historical Financials'!AY527/1000)*1000</f>
        <v>59.642000000000003</v>
      </c>
      <c r="F151" s="210">
        <f>('Historical Financials'!AZ527/1000)*1000</f>
        <v>85.209000000000003</v>
      </c>
      <c r="G151" s="210">
        <f>('Historical Financials'!BA527/1000)*1000</f>
        <v>113.92700000000001</v>
      </c>
      <c r="H151" s="210">
        <f>('Historical Financials'!BB527/1000)*1000</f>
        <v>149.11699999999999</v>
      </c>
      <c r="I151" s="210">
        <f>('Historical Financials'!BC527/1000)*1000</f>
        <v>144.42099999999999</v>
      </c>
      <c r="J151" s="210">
        <f ca="1">('Historical Financials'!BD527/1000)*1000</f>
        <v>218.56189229970042</v>
      </c>
      <c r="K151" s="21">
        <f ca="1">K153*K137</f>
        <v>262.2742707596405</v>
      </c>
      <c r="L151" s="21">
        <f t="shared" ref="L151:U151" ca="1" si="97">L153*L137</f>
        <v>314.76263830763816</v>
      </c>
      <c r="M151" s="21">
        <f t="shared" ca="1" si="97"/>
        <v>367.90333714625888</v>
      </c>
      <c r="N151" s="21">
        <f t="shared" ca="1" si="97"/>
        <v>424.14529702669375</v>
      </c>
      <c r="O151" s="21">
        <f t="shared" ca="1" si="97"/>
        <v>497.94747581911679</v>
      </c>
      <c r="P151" s="21">
        <f t="shared" ca="1" si="97"/>
        <v>574.60997498149015</v>
      </c>
      <c r="Q151" s="21">
        <f t="shared" ca="1" si="97"/>
        <v>646.59195939765891</v>
      </c>
      <c r="R151" s="21">
        <f t="shared" ca="1" si="97"/>
        <v>709.54356392308205</v>
      </c>
      <c r="S151" s="21">
        <f t="shared" ca="1" si="97"/>
        <v>759.5706823180991</v>
      </c>
      <c r="T151" s="21">
        <f t="shared" ca="1" si="97"/>
        <v>794.07539898887467</v>
      </c>
      <c r="U151" s="21">
        <f t="shared" ca="1" si="97"/>
        <v>811.78928160834369</v>
      </c>
      <c r="W151" s="175"/>
      <c r="X151" s="175"/>
    </row>
    <row r="152" spans="2:24 16384:16384" s="18" customFormat="1" ht="11.25" customHeight="1">
      <c r="B152" s="12" t="s">
        <v>631</v>
      </c>
      <c r="C152" s="277"/>
      <c r="D152" s="56">
        <f>SUM(D150:D151)</f>
        <v>1109.143</v>
      </c>
      <c r="E152" s="56">
        <f t="shared" ref="E152:U152" si="98">SUM(E150:E151)</f>
        <v>1412.019</v>
      </c>
      <c r="F152" s="56">
        <f t="shared" si="98"/>
        <v>1640.798</v>
      </c>
      <c r="G152" s="56">
        <f t="shared" si="98"/>
        <v>2089.0459999999998</v>
      </c>
      <c r="H152" s="56">
        <f t="shared" si="98"/>
        <v>2842.9540000000002</v>
      </c>
      <c r="I152" s="56">
        <f t="shared" si="98"/>
        <v>3208.8959999999997</v>
      </c>
      <c r="J152" s="56">
        <f t="shared" ca="1" si="98"/>
        <v>3651.3235945211004</v>
      </c>
      <c r="K152" s="56">
        <f t="shared" ca="1" si="98"/>
        <v>4176.1669179039891</v>
      </c>
      <c r="L152" s="56">
        <f t="shared" ca="1" si="98"/>
        <v>4884.7580918565172</v>
      </c>
      <c r="M152" s="56">
        <f t="shared" ca="1" si="98"/>
        <v>5664.2827132761176</v>
      </c>
      <c r="N152" s="56">
        <f t="shared" ca="1" si="98"/>
        <v>6488.4482381883527</v>
      </c>
      <c r="O152" s="56">
        <f t="shared" ca="1" si="98"/>
        <v>7391.7501917416466</v>
      </c>
      <c r="P152" s="56">
        <f t="shared" ca="1" si="98"/>
        <v>8226.8796693377553</v>
      </c>
      <c r="Q152" s="56">
        <f t="shared" ca="1" si="98"/>
        <v>8941.8921146241501</v>
      </c>
      <c r="R152" s="56">
        <f t="shared" ca="1" si="98"/>
        <v>9490.9827266560314</v>
      </c>
      <c r="S152" s="56">
        <f t="shared" ca="1" si="98"/>
        <v>9841.5333773704988</v>
      </c>
      <c r="T152" s="56">
        <f t="shared" ca="1" si="98"/>
        <v>9984.1929411568035</v>
      </c>
      <c r="U152" s="56">
        <f t="shared" ca="1" si="98"/>
        <v>9920.1510647678406</v>
      </c>
      <c r="W152" s="175"/>
      <c r="X152" s="175"/>
    </row>
    <row r="153" spans="2:24 16384:16384" s="18" customFormat="1" ht="11.25" customHeight="1">
      <c r="B153" s="41" t="s">
        <v>687</v>
      </c>
      <c r="C153" s="277"/>
      <c r="D153" s="436">
        <f>D151/D137</f>
        <v>3.5961173942144986E-2</v>
      </c>
      <c r="E153" s="436">
        <f t="shared" ref="E153:J153" si="99">E151/E137</f>
        <v>5.5740944992739745E-2</v>
      </c>
      <c r="F153" s="436">
        <f t="shared" si="99"/>
        <v>6.3624188093359027E-2</v>
      </c>
      <c r="G153" s="436">
        <f t="shared" si="99"/>
        <v>7.1768880440559929E-2</v>
      </c>
      <c r="H153" s="436">
        <f t="shared" si="99"/>
        <v>6.5867561983625478E-2</v>
      </c>
      <c r="I153" s="436">
        <f t="shared" si="99"/>
        <v>6.6807880333213679E-2</v>
      </c>
      <c r="J153" s="436">
        <f t="shared" ca="1" si="99"/>
        <v>7.5705796765991373E-2</v>
      </c>
      <c r="K153" s="683">
        <f ca="1">+'Simple Model (A)'!K154</f>
        <v>7.3811777431013775E-2</v>
      </c>
      <c r="L153" s="683">
        <f ca="1">+'Simple Model (A)'!L154</f>
        <v>7.3811777431013775E-2</v>
      </c>
      <c r="M153" s="683">
        <f ca="1">+'Simple Model (A)'!M154</f>
        <v>7.3811777431013775E-2</v>
      </c>
      <c r="N153" s="683">
        <f ca="1">+'Simple Model (A)'!N154</f>
        <v>7.3811777431013775E-2</v>
      </c>
      <c r="O153" s="196">
        <f t="shared" ref="O153:U153" ca="1" si="100">N153</f>
        <v>7.3811777431013775E-2</v>
      </c>
      <c r="P153" s="196">
        <f t="shared" ca="1" si="100"/>
        <v>7.3811777431013775E-2</v>
      </c>
      <c r="Q153" s="196">
        <f t="shared" ca="1" si="100"/>
        <v>7.3811777431013775E-2</v>
      </c>
      <c r="R153" s="196">
        <f t="shared" ca="1" si="100"/>
        <v>7.3811777431013775E-2</v>
      </c>
      <c r="S153" s="196">
        <f t="shared" ca="1" si="100"/>
        <v>7.3811777431013775E-2</v>
      </c>
      <c r="T153" s="196">
        <f t="shared" ca="1" si="100"/>
        <v>7.3811777431013775E-2</v>
      </c>
      <c r="U153" s="196">
        <f t="shared" ca="1" si="100"/>
        <v>7.3811777431013775E-2</v>
      </c>
      <c r="W153" s="492"/>
      <c r="X153" s="175"/>
    </row>
    <row r="154" spans="2:24 16384:16384" s="18" customFormat="1" ht="11.25" customHeight="1">
      <c r="B154" s="13"/>
      <c r="C154" s="277"/>
      <c r="E154" s="286"/>
      <c r="F154" s="276"/>
      <c r="G154" s="54"/>
      <c r="H154" s="54"/>
      <c r="J154" s="174"/>
      <c r="K154" s="174"/>
      <c r="L154" s="174"/>
      <c r="M154" s="174"/>
      <c r="N154" s="174"/>
      <c r="O154" s="106"/>
      <c r="P154" s="106"/>
      <c r="Q154" s="106"/>
      <c r="R154" s="106"/>
      <c r="S154" s="106"/>
      <c r="T154" s="106"/>
      <c r="U154" s="106"/>
      <c r="W154" s="175"/>
      <c r="X154" s="175"/>
    </row>
    <row r="155" spans="2:24 16384:16384" s="18" customFormat="1" ht="11.25" customHeight="1">
      <c r="B155" s="13" t="s">
        <v>537</v>
      </c>
      <c r="C155" s="277"/>
      <c r="D155" s="20">
        <f>D146+D152</f>
        <v>1191.8869999999999</v>
      </c>
      <c r="E155" s="20">
        <f t="shared" ref="E155:U155" si="101">E146+E152</f>
        <v>1481.2339999999999</v>
      </c>
      <c r="F155" s="20">
        <f t="shared" si="101"/>
        <v>1702.971</v>
      </c>
      <c r="G155" s="20">
        <f t="shared" si="101"/>
        <v>2176.0079999999998</v>
      </c>
      <c r="H155" s="20">
        <f t="shared" si="101"/>
        <v>2765.5690000000004</v>
      </c>
      <c r="I155" s="20">
        <f t="shared" si="101"/>
        <v>3151.0369999999998</v>
      </c>
      <c r="J155" s="20">
        <f t="shared" ca="1" si="101"/>
        <v>3559.3776667425764</v>
      </c>
      <c r="K155" s="20">
        <f t="shared" ca="1" si="101"/>
        <v>4039.267778647185</v>
      </c>
      <c r="L155" s="20">
        <f t="shared" ca="1" si="101"/>
        <v>4756.8262159705218</v>
      </c>
      <c r="M155" s="20">
        <f t="shared" ca="1" si="101"/>
        <v>5514.7523741008645</v>
      </c>
      <c r="N155" s="20">
        <f t="shared" ca="1" si="101"/>
        <v>6316.058961657337</v>
      </c>
      <c r="O155" s="20">
        <f t="shared" ca="1" si="101"/>
        <v>7189.3648164736505</v>
      </c>
      <c r="P155" s="20">
        <f t="shared" ca="1" si="101"/>
        <v>7993.3356490009464</v>
      </c>
      <c r="Q155" s="20">
        <f t="shared" ca="1" si="101"/>
        <v>8679.091793902171</v>
      </c>
      <c r="R155" s="20">
        <f t="shared" ca="1" si="101"/>
        <v>9202.5964059555554</v>
      </c>
      <c r="S155" s="20">
        <f t="shared" ca="1" si="101"/>
        <v>9532.8140745351157</v>
      </c>
      <c r="T155" s="20">
        <f t="shared" ca="1" si="101"/>
        <v>9661.4495687738381</v>
      </c>
      <c r="U155" s="20">
        <f t="shared" ca="1" si="101"/>
        <v>9590.2080760488407</v>
      </c>
      <c r="W155" s="175"/>
      <c r="X155" s="175"/>
    </row>
    <row r="156" spans="2:24 16384:16384" s="18" customFormat="1" ht="11.25" customHeight="1">
      <c r="B156" s="9" t="s">
        <v>249</v>
      </c>
      <c r="C156" s="277"/>
      <c r="D156" s="548">
        <f>'Historical Financials'!AW532/'Historical Financials'!AV532-1</f>
        <v>6.7618843376938909E-2</v>
      </c>
      <c r="E156" s="134">
        <f>(E155/D155)-1</f>
        <v>0.24276378549308775</v>
      </c>
      <c r="F156" s="134">
        <f t="shared" ref="F156:U156" si="102">(F155/E155)-1</f>
        <v>0.14969748196436217</v>
      </c>
      <c r="G156" s="134">
        <f t="shared" si="102"/>
        <v>0.27777161208264833</v>
      </c>
      <c r="H156" s="134">
        <f t="shared" si="102"/>
        <v>0.27093696346704643</v>
      </c>
      <c r="I156" s="134">
        <f t="shared" si="102"/>
        <v>0.13938108215705314</v>
      </c>
      <c r="J156" s="134">
        <f t="shared" ca="1" si="102"/>
        <v>0.12958929607699843</v>
      </c>
      <c r="K156" s="134">
        <f t="shared" ca="1" si="102"/>
        <v>0.13482416220917304</v>
      </c>
      <c r="L156" s="134">
        <f t="shared" ca="1" si="102"/>
        <v>0.17764567160329703</v>
      </c>
      <c r="M156" s="134">
        <f t="shared" ca="1" si="102"/>
        <v>0.15933442251593899</v>
      </c>
      <c r="N156" s="134">
        <f t="shared" ca="1" si="102"/>
        <v>0.14530236957142062</v>
      </c>
      <c r="O156" s="134">
        <f t="shared" ca="1" si="102"/>
        <v>0.13826752728526737</v>
      </c>
      <c r="P156" s="134">
        <f t="shared" ca="1" si="102"/>
        <v>0.11182779745508031</v>
      </c>
      <c r="Q156" s="134">
        <f t="shared" ca="1" si="102"/>
        <v>8.5790985767867145E-2</v>
      </c>
      <c r="R156" s="134">
        <f t="shared" ca="1" si="102"/>
        <v>6.0317902435505166E-2</v>
      </c>
      <c r="S156" s="134">
        <f t="shared" ca="1" si="102"/>
        <v>3.5883097988069546E-2</v>
      </c>
      <c r="T156" s="134">
        <f t="shared" ca="1" si="102"/>
        <v>1.3493968646922871E-2</v>
      </c>
      <c r="U156" s="134">
        <f t="shared" ca="1" si="102"/>
        <v>-7.373789224678351E-3</v>
      </c>
      <c r="W156" s="175"/>
      <c r="X156" s="175"/>
    </row>
    <row r="157" spans="2:24 16384:16384" s="18" customFormat="1" ht="11.25" customHeight="1">
      <c r="B157" s="9" t="s">
        <v>312</v>
      </c>
      <c r="C157" s="277"/>
      <c r="D157" s="487">
        <f>AVERAGE(D155,('Historical Financials'!AW532))</f>
        <v>1156.0029999999999</v>
      </c>
      <c r="E157" s="177">
        <f t="shared" ref="E157:U157" si="103">AVERAGE(D155:E155)</f>
        <v>1336.5605</v>
      </c>
      <c r="F157" s="177">
        <f t="shared" si="103"/>
        <v>1592.1025</v>
      </c>
      <c r="G157" s="177">
        <f t="shared" si="103"/>
        <v>1939.4894999999999</v>
      </c>
      <c r="H157" s="177">
        <f t="shared" si="103"/>
        <v>2470.7885000000001</v>
      </c>
      <c r="I157" s="177">
        <f t="shared" si="103"/>
        <v>2958.3029999999999</v>
      </c>
      <c r="J157" s="177">
        <f t="shared" ca="1" si="103"/>
        <v>3355.2073333712879</v>
      </c>
      <c r="K157" s="177">
        <f t="shared" ca="1" si="103"/>
        <v>3799.3227226948807</v>
      </c>
      <c r="L157" s="177">
        <f t="shared" ca="1" si="103"/>
        <v>4398.046997308853</v>
      </c>
      <c r="M157" s="177">
        <f t="shared" ca="1" si="103"/>
        <v>5135.7892950356927</v>
      </c>
      <c r="N157" s="177">
        <f t="shared" ca="1" si="103"/>
        <v>5915.4056678791003</v>
      </c>
      <c r="O157" s="177">
        <f t="shared" ca="1" si="103"/>
        <v>6752.7118890654938</v>
      </c>
      <c r="P157" s="177">
        <f t="shared" ca="1" si="103"/>
        <v>7591.3502327372989</v>
      </c>
      <c r="Q157" s="177">
        <f t="shared" ca="1" si="103"/>
        <v>8336.2137214515587</v>
      </c>
      <c r="R157" s="177">
        <f t="shared" ca="1" si="103"/>
        <v>8940.8440999288632</v>
      </c>
      <c r="S157" s="177">
        <f t="shared" ca="1" si="103"/>
        <v>9367.7052402453355</v>
      </c>
      <c r="T157" s="177">
        <f t="shared" ca="1" si="103"/>
        <v>9597.1318216544769</v>
      </c>
      <c r="U157" s="177">
        <f t="shared" ca="1" si="103"/>
        <v>9625.8288224113385</v>
      </c>
      <c r="W157" s="175"/>
      <c r="X157" s="175"/>
      <c r="XFD157" s="56"/>
    </row>
    <row r="158" spans="2:24 16384:16384" s="18" customFormat="1" ht="11.25" customHeight="1">
      <c r="B158" s="30"/>
      <c r="C158" s="277"/>
      <c r="E158" s="286"/>
      <c r="F158" s="276"/>
      <c r="G158" s="54"/>
      <c r="H158" s="54"/>
      <c r="J158" s="174"/>
      <c r="K158" s="174"/>
      <c r="L158" s="174"/>
      <c r="M158" s="174"/>
      <c r="N158" s="174"/>
      <c r="O158" s="106"/>
      <c r="P158" s="106"/>
      <c r="Q158" s="106"/>
      <c r="R158" s="106"/>
      <c r="S158" s="106"/>
      <c r="T158" s="106"/>
      <c r="U158" s="106"/>
      <c r="W158" s="175"/>
      <c r="X158" s="175"/>
    </row>
    <row r="159" spans="2:24 16384:16384" s="18" customFormat="1" ht="11.25" customHeight="1">
      <c r="B159" s="415" t="s">
        <v>546</v>
      </c>
      <c r="C159" s="481"/>
      <c r="D159" s="439">
        <f t="shared" ref="D159:J159" si="104">D140/D157</f>
        <v>0.33185342685096841</v>
      </c>
      <c r="E159" s="439">
        <f t="shared" si="104"/>
        <v>0.27885116161969481</v>
      </c>
      <c r="F159" s="439">
        <f t="shared" si="104"/>
        <v>0.35599706111886642</v>
      </c>
      <c r="G159" s="439">
        <f t="shared" si="104"/>
        <v>0.33512995919802591</v>
      </c>
      <c r="H159" s="439">
        <f t="shared" si="104"/>
        <v>0.45381435602440279</v>
      </c>
      <c r="I159" s="439">
        <f t="shared" si="104"/>
        <v>0.31148465860326002</v>
      </c>
      <c r="J159" s="439">
        <f t="shared" ca="1" si="104"/>
        <v>0.38906200338139924</v>
      </c>
      <c r="K159" s="684">
        <f ca="1">+'Simple Model (A)'!K160</f>
        <v>0.4247972662007975</v>
      </c>
      <c r="L159" s="684">
        <f>+'Simple Model (A)'!L160</f>
        <v>0.44</v>
      </c>
      <c r="M159" s="684">
        <f>+'Simple Model (A)'!M160</f>
        <v>0.44</v>
      </c>
      <c r="N159" s="684">
        <f>+'Simple Model (A)'!N160</f>
        <v>0.44</v>
      </c>
      <c r="O159" s="563">
        <f>+N159+2.25%</f>
        <v>0.46250000000000002</v>
      </c>
      <c r="P159" s="563">
        <f t="shared" ref="P159:U159" si="105">+O159+2.25%</f>
        <v>0.48500000000000004</v>
      </c>
      <c r="Q159" s="563">
        <f t="shared" si="105"/>
        <v>0.50750000000000006</v>
      </c>
      <c r="R159" s="563">
        <f t="shared" si="105"/>
        <v>0.53</v>
      </c>
      <c r="S159" s="563">
        <f t="shared" si="105"/>
        <v>0.55249999999999999</v>
      </c>
      <c r="T159" s="563">
        <f t="shared" si="105"/>
        <v>0.57499999999999996</v>
      </c>
      <c r="U159" s="563">
        <f t="shared" si="105"/>
        <v>0.59749999999999992</v>
      </c>
      <c r="W159" s="175"/>
      <c r="X159" s="118" t="str">
        <f ca="1">TEXT(MIN(K159:U159),"#%")&amp;"-"&amp;TEXT(MAX(K159:U159),"#%")</f>
        <v>42%-60%</v>
      </c>
    </row>
    <row r="160" spans="2:24 16384:16384" s="18" customFormat="1" ht="11.25" customHeight="1">
      <c r="B160" s="483" t="s">
        <v>684</v>
      </c>
      <c r="C160" s="277"/>
      <c r="E160" s="68">
        <f>(IF(E157&gt;D157,(E140-D140)/(E157-D157),"n/m"))</f>
        <v>-6.0491029173531184E-2</v>
      </c>
      <c r="F160" s="68">
        <f t="shared" ref="F160:U160" si="106">(IF(F157&gt;E157,(F140-E140)/(F157-E157),"n/m"))</f>
        <v>0.7594930109336232</v>
      </c>
      <c r="G160" s="68">
        <f t="shared" si="106"/>
        <v>0.23949435643820774</v>
      </c>
      <c r="H160" s="68">
        <f t="shared" si="106"/>
        <v>0.88706783750769402</v>
      </c>
      <c r="I160" s="68">
        <f t="shared" si="106"/>
        <v>-0.40986122874294073</v>
      </c>
      <c r="J160" s="68">
        <f t="shared" ca="1" si="106"/>
        <v>0.96728015947927726</v>
      </c>
      <c r="K160" s="68">
        <f t="shared" ca="1" si="106"/>
        <v>0.69477038299417648</v>
      </c>
      <c r="L160" s="68">
        <f t="shared" ca="1" si="106"/>
        <v>0.53647193945432148</v>
      </c>
      <c r="M160" s="68">
        <f t="shared" ca="1" si="106"/>
        <v>0.43999999999999989</v>
      </c>
      <c r="N160" s="68">
        <f t="shared" ca="1" si="106"/>
        <v>0.44000000000000006</v>
      </c>
      <c r="O160" s="68">
        <f t="shared" ca="1" si="106"/>
        <v>0.62145812566481695</v>
      </c>
      <c r="P160" s="68">
        <f t="shared" ca="1" si="106"/>
        <v>0.66616989122957759</v>
      </c>
      <c r="Q160" s="68">
        <f t="shared" ca="1" si="106"/>
        <v>0.73681098493151187</v>
      </c>
      <c r="R160" s="68">
        <f t="shared" ca="1" si="106"/>
        <v>0.84021400083307318</v>
      </c>
      <c r="S160" s="68">
        <f t="shared" ca="1" si="106"/>
        <v>1.0237750195514481</v>
      </c>
      <c r="T160" s="68">
        <f t="shared" ca="1" si="106"/>
        <v>1.4936963716712655</v>
      </c>
      <c r="U160" s="68">
        <f t="shared" ca="1" si="106"/>
        <v>8.1221701847611545</v>
      </c>
      <c r="W160" s="175"/>
      <c r="X160" s="175"/>
    </row>
    <row r="161" spans="2:24" s="18" customFormat="1" ht="11.25" customHeight="1">
      <c r="B161" s="483"/>
      <c r="C161" s="277"/>
      <c r="E161" s="68"/>
      <c r="F161" s="68"/>
      <c r="G161" s="68"/>
      <c r="H161" s="68"/>
      <c r="I161" s="68"/>
      <c r="J161" s="68"/>
      <c r="K161" s="68"/>
      <c r="L161" s="68"/>
      <c r="M161" s="68"/>
      <c r="N161" s="68"/>
      <c r="O161" s="68"/>
      <c r="P161" s="68"/>
      <c r="Q161" s="68"/>
      <c r="R161" s="68"/>
      <c r="S161" s="68"/>
      <c r="T161" s="68"/>
      <c r="U161" s="68"/>
      <c r="W161" s="175"/>
      <c r="X161" s="175"/>
    </row>
    <row r="162" spans="2:24" s="18" customFormat="1" ht="11.25" customHeight="1">
      <c r="B162" s="447" t="s">
        <v>688</v>
      </c>
      <c r="C162" s="488"/>
      <c r="E162" s="68"/>
      <c r="F162" s="68"/>
      <c r="G162" s="68"/>
      <c r="H162" s="68"/>
      <c r="I162" s="68"/>
      <c r="J162" s="68"/>
      <c r="K162" s="68"/>
      <c r="L162" s="68"/>
      <c r="M162" s="68"/>
      <c r="N162" s="68"/>
      <c r="O162" s="68"/>
      <c r="P162" s="68"/>
      <c r="Q162" s="68"/>
      <c r="R162" s="68"/>
      <c r="S162" s="68"/>
      <c r="T162" s="68"/>
      <c r="U162" s="68"/>
      <c r="W162" s="175"/>
      <c r="X162" s="175"/>
    </row>
    <row r="163" spans="2:24" s="18" customFormat="1" ht="11.25" customHeight="1">
      <c r="B163" s="483"/>
      <c r="C163" s="277"/>
      <c r="E163" s="68"/>
      <c r="F163" s="68"/>
      <c r="G163" s="68"/>
      <c r="H163" s="68"/>
      <c r="I163" s="68"/>
      <c r="J163" s="68"/>
      <c r="K163" s="68"/>
      <c r="L163" s="68"/>
      <c r="M163" s="68"/>
      <c r="N163" s="68"/>
      <c r="O163" s="68"/>
      <c r="P163" s="68"/>
      <c r="Q163" s="68"/>
      <c r="R163" s="68"/>
      <c r="S163" s="68"/>
      <c r="T163" s="68"/>
      <c r="U163" s="68"/>
      <c r="W163" s="175"/>
      <c r="X163" s="175"/>
    </row>
    <row r="164" spans="2:24" s="18" customFormat="1" ht="11.25" customHeight="1">
      <c r="B164" s="449" t="s">
        <v>639</v>
      </c>
      <c r="C164" s="277"/>
      <c r="E164" s="68"/>
      <c r="F164" s="68"/>
      <c r="G164" s="68"/>
      <c r="H164" s="68"/>
      <c r="I164" s="68"/>
      <c r="J164" s="68"/>
      <c r="K164" s="68"/>
      <c r="L164" s="68"/>
      <c r="M164" s="68"/>
      <c r="N164" s="68"/>
      <c r="O164" s="68"/>
      <c r="P164" s="68"/>
      <c r="Q164" s="68"/>
      <c r="R164" s="68"/>
      <c r="S164" s="68"/>
      <c r="T164" s="68"/>
      <c r="U164" s="68"/>
      <c r="W164" s="175"/>
      <c r="X164" s="175"/>
    </row>
    <row r="165" spans="2:24" s="18" customFormat="1" ht="11.25" customHeight="1">
      <c r="B165" s="444" t="s">
        <v>640</v>
      </c>
      <c r="C165" s="277"/>
      <c r="D165" s="473">
        <f>('D&amp;A Build (B)'!L15/1000)*1000</f>
        <v>300.02440000000001</v>
      </c>
      <c r="E165" s="473">
        <f>('D&amp;A Build (B)'!M15/1000)*1000</f>
        <v>564.28300000000002</v>
      </c>
      <c r="F165" s="473">
        <f>('D&amp;A Build (B)'!N15/1000)*1000</f>
        <v>525.72069999999997</v>
      </c>
      <c r="G165" s="473">
        <f>('D&amp;A Build (B)'!O15/1000)*1000</f>
        <v>835.4063000000001</v>
      </c>
      <c r="H165" s="473">
        <f>('D&amp;A Build (B)'!P15/1000)*1000</f>
        <v>1139.8921</v>
      </c>
      <c r="I165" s="473">
        <f>('D&amp;A Build (B)'!Q15/1000)*1000</f>
        <v>897.51880000000006</v>
      </c>
      <c r="J165" s="473">
        <f ca="1">('D&amp;A Build (B)'!R15/1000)*1000</f>
        <v>990.18415175882456</v>
      </c>
      <c r="K165" s="473">
        <f ca="1">('D&amp;A Build (B)'!S15/1000)*1000</f>
        <v>1243.6496987444702</v>
      </c>
      <c r="L165" s="473">
        <f ca="1">('D&amp;A Build (B)'!T15/1000)*1000</f>
        <v>1492.5385520032753</v>
      </c>
      <c r="M165" s="473">
        <f ca="1">('D&amp;A Build (B)'!U15/1000)*1000</f>
        <v>1744.5206237112839</v>
      </c>
      <c r="N165" s="473">
        <f ca="1">('D&amp;A Build (B)'!V15/1000)*1000</f>
        <v>2011.2082261951825</v>
      </c>
      <c r="O165" s="473">
        <f ca="1">('D&amp;A Build (B)'!W15/1000)*1000</f>
        <v>2178.0521338365261</v>
      </c>
      <c r="P165" s="473">
        <f ca="1">('D&amp;A Build (B)'!X15/1000)*1000</f>
        <v>2302.0767718914035</v>
      </c>
      <c r="Q165" s="473">
        <f ca="1">('D&amp;A Build (B)'!Y15/1000)*1000</f>
        <v>2352.6885855110522</v>
      </c>
      <c r="R165" s="473">
        <f ca="1">('D&amp;A Build (B)'!Z15/1000)*1000</f>
        <v>2320.8232475419222</v>
      </c>
      <c r="S165" s="473">
        <f ca="1">('D&amp;A Build (B)'!AA15/1000)*1000</f>
        <v>2205.1378773955876</v>
      </c>
      <c r="T165" s="473">
        <f ca="1">('D&amp;A Build (B)'!AB15/1000)*1000</f>
        <v>2013.3038943889749</v>
      </c>
      <c r="U165" s="473">
        <f ca="1">('D&amp;A Build (B)'!AC15/1000)*1000</f>
        <v>1759.6959398346662</v>
      </c>
      <c r="W165" s="175"/>
      <c r="X165" s="175"/>
    </row>
    <row r="166" spans="2:24" s="18" customFormat="1" ht="13.5" customHeight="1">
      <c r="B166" s="444" t="s">
        <v>641</v>
      </c>
      <c r="C166" s="277"/>
      <c r="D166" s="472">
        <f>('D&amp;A Build (B)'!L16/1000)*1000</f>
        <v>-7.1741999999999999</v>
      </c>
      <c r="E166" s="472">
        <f>('D&amp;A Build (B)'!M16/1000)*1000</f>
        <v>-18.5839</v>
      </c>
      <c r="F166" s="472">
        <f>('D&amp;A Build (B)'!N16/1000)*1000</f>
        <v>-7.1728999999999994</v>
      </c>
      <c r="G166" s="472">
        <f>('D&amp;A Build (B)'!O16/1000)*1000</f>
        <v>-26.566700000000001</v>
      </c>
      <c r="H166" s="472">
        <f>('D&amp;A Build (B)'!P16/1000)*1000</f>
        <v>-27.792400000000001</v>
      </c>
      <c r="I166" s="472">
        <f>('D&amp;A Build (B)'!Q16/1000)*1000</f>
        <v>-32.436700000000002</v>
      </c>
      <c r="J166" s="472">
        <f>('D&amp;A Build (B)'!R16/1000)*1000</f>
        <v>0</v>
      </c>
      <c r="K166" s="472">
        <f>('D&amp;A Build (B)'!S16/1000)*1000</f>
        <v>0</v>
      </c>
      <c r="L166" s="472">
        <f>('D&amp;A Build (B)'!T16/1000)*1000</f>
        <v>0</v>
      </c>
      <c r="M166" s="472">
        <f>('D&amp;A Build (B)'!U16/1000)*1000</f>
        <v>0</v>
      </c>
      <c r="N166" s="472">
        <f>('D&amp;A Build (B)'!V16/1000)*1000</f>
        <v>0</v>
      </c>
      <c r="O166" s="472">
        <f>('D&amp;A Build (B)'!W16/1000)*1000</f>
        <v>0</v>
      </c>
      <c r="P166" s="472">
        <f>('D&amp;A Build (B)'!X16/1000)*1000</f>
        <v>0</v>
      </c>
      <c r="Q166" s="472">
        <f>('D&amp;A Build (B)'!Y16/1000)*1000</f>
        <v>0</v>
      </c>
      <c r="R166" s="472">
        <f>('D&amp;A Build (B)'!Z16/1000)*1000</f>
        <v>0</v>
      </c>
      <c r="S166" s="472">
        <f>('D&amp;A Build (B)'!AA16/1000)*1000</f>
        <v>0</v>
      </c>
      <c r="T166" s="472">
        <f>('D&amp;A Build (B)'!AB16/1000)*1000</f>
        <v>0</v>
      </c>
      <c r="U166" s="472">
        <f>('D&amp;A Build (B)'!AC16/1000)*1000</f>
        <v>0</v>
      </c>
      <c r="W166" s="175"/>
      <c r="X166" s="175"/>
    </row>
    <row r="167" spans="2:24" s="18" customFormat="1" ht="11.25" customHeight="1">
      <c r="B167" s="455" t="s">
        <v>642</v>
      </c>
      <c r="C167" s="277"/>
      <c r="D167" s="456">
        <f>SUM(D165:D166)</f>
        <v>292.85020000000003</v>
      </c>
      <c r="E167" s="456">
        <f t="shared" ref="E167:U167" si="107">SUM(E165:E166)</f>
        <v>545.69910000000004</v>
      </c>
      <c r="F167" s="456">
        <f t="shared" si="107"/>
        <v>518.54779999999994</v>
      </c>
      <c r="G167" s="456">
        <f t="shared" si="107"/>
        <v>808.83960000000013</v>
      </c>
      <c r="H167" s="456">
        <f t="shared" si="107"/>
        <v>1112.0997</v>
      </c>
      <c r="I167" s="456">
        <f t="shared" si="107"/>
        <v>865.08210000000008</v>
      </c>
      <c r="J167" s="456">
        <f t="shared" ca="1" si="107"/>
        <v>990.18415175882456</v>
      </c>
      <c r="K167" s="456">
        <f t="shared" ca="1" si="107"/>
        <v>1243.6496987444702</v>
      </c>
      <c r="L167" s="456">
        <f t="shared" ca="1" si="107"/>
        <v>1492.5385520032753</v>
      </c>
      <c r="M167" s="456">
        <f t="shared" ca="1" si="107"/>
        <v>1744.5206237112839</v>
      </c>
      <c r="N167" s="456">
        <f t="shared" ca="1" si="107"/>
        <v>2011.2082261951825</v>
      </c>
      <c r="O167" s="456">
        <f t="shared" ca="1" si="107"/>
        <v>2178.0521338365261</v>
      </c>
      <c r="P167" s="456">
        <f t="shared" ca="1" si="107"/>
        <v>2302.0767718914035</v>
      </c>
      <c r="Q167" s="456">
        <f t="shared" ca="1" si="107"/>
        <v>2352.6885855110522</v>
      </c>
      <c r="R167" s="456">
        <f t="shared" ca="1" si="107"/>
        <v>2320.8232475419222</v>
      </c>
      <c r="S167" s="456">
        <f t="shared" ca="1" si="107"/>
        <v>2205.1378773955876</v>
      </c>
      <c r="T167" s="456">
        <f t="shared" ca="1" si="107"/>
        <v>2013.3038943889749</v>
      </c>
      <c r="U167" s="456">
        <f t="shared" ca="1" si="107"/>
        <v>1759.6959398346662</v>
      </c>
      <c r="W167" s="175"/>
      <c r="X167" s="175"/>
    </row>
    <row r="168" spans="2:24" s="18" customFormat="1" ht="13.5" customHeight="1">
      <c r="B168" s="444" t="s">
        <v>643</v>
      </c>
      <c r="C168" s="277"/>
      <c r="D168" s="472">
        <f>('D&amp;A Build (B)'!L18/1000)*1000</f>
        <v>-6.271899999999448</v>
      </c>
      <c r="E168" s="472">
        <f>('D&amp;A Build (B)'!M18/1000)*1000</f>
        <v>-362.24640000000022</v>
      </c>
      <c r="F168" s="472">
        <f>('D&amp;A Build (B)'!N18/1000)*1000</f>
        <v>300.45859999999936</v>
      </c>
      <c r="G168" s="472">
        <f>('D&amp;A Build (B)'!O18/1000)*1000</f>
        <v>-369.65419999999892</v>
      </c>
      <c r="H168" s="472">
        <f>('D&amp;A Build (B)'!P18/1000)*1000</f>
        <v>-731.58340000000067</v>
      </c>
      <c r="I168" s="472">
        <f>('D&amp;A Build (B)'!Q18/1000)*1000</f>
        <v>419.5340999999994</v>
      </c>
      <c r="J168" s="472">
        <f ca="1">('D&amp;A Build (B)'!R18/1000)*1000</f>
        <v>-99.018415175882467</v>
      </c>
      <c r="K168" s="472">
        <f ca="1">('D&amp;A Build (B)'!S18/1000)*1000</f>
        <v>-124.36496987444703</v>
      </c>
      <c r="L168" s="472">
        <f ca="1">('D&amp;A Build (B)'!T18/1000)*1000</f>
        <v>-149.25385520032754</v>
      </c>
      <c r="M168" s="472">
        <f ca="1">('D&amp;A Build (B)'!U18/1000)*1000</f>
        <v>-174.45206237112839</v>
      </c>
      <c r="N168" s="472">
        <f ca="1">('D&amp;A Build (B)'!V18/1000)*1000</f>
        <v>-201.12082261951824</v>
      </c>
      <c r="O168" s="472">
        <f ca="1">('D&amp;A Build (B)'!W18/1000)*1000</f>
        <v>-217.80521338365261</v>
      </c>
      <c r="P168" s="472">
        <f ca="1">('D&amp;A Build (B)'!X18/1000)*1000</f>
        <v>-230.20767718914036</v>
      </c>
      <c r="Q168" s="472">
        <f ca="1">('D&amp;A Build (B)'!Y18/1000)*1000</f>
        <v>-235.26885855110524</v>
      </c>
      <c r="R168" s="472">
        <f ca="1">('D&amp;A Build (B)'!Z18/1000)*1000</f>
        <v>-232.08232475419223</v>
      </c>
      <c r="S168" s="472">
        <f ca="1">('D&amp;A Build (B)'!AA18/1000)*1000</f>
        <v>-220.51378773955878</v>
      </c>
      <c r="T168" s="472">
        <f ca="1">('D&amp;A Build (B)'!AB18/1000)*1000</f>
        <v>-201.3303894388975</v>
      </c>
      <c r="U168" s="472">
        <f ca="1">('D&amp;A Build (B)'!AC18/1000)*1000</f>
        <v>-175.96959398346664</v>
      </c>
      <c r="W168" s="175"/>
      <c r="X168" s="175"/>
    </row>
    <row r="169" spans="2:24" s="18" customFormat="1" ht="11.25" customHeight="1">
      <c r="B169" s="455" t="s">
        <v>639</v>
      </c>
      <c r="C169" s="277"/>
      <c r="D169" s="456">
        <f>SUM(D167:D168)</f>
        <v>286.57830000000058</v>
      </c>
      <c r="E169" s="456">
        <f t="shared" ref="E169:U169" si="108">SUM(E167:E168)</f>
        <v>183.45269999999982</v>
      </c>
      <c r="F169" s="456">
        <f t="shared" si="108"/>
        <v>819.0063999999993</v>
      </c>
      <c r="G169" s="456">
        <f t="shared" si="108"/>
        <v>439.18540000000121</v>
      </c>
      <c r="H169" s="456">
        <f t="shared" si="108"/>
        <v>380.51629999999932</v>
      </c>
      <c r="I169" s="456">
        <f t="shared" si="108"/>
        <v>1284.6161999999995</v>
      </c>
      <c r="J169" s="456">
        <f t="shared" ca="1" si="108"/>
        <v>891.16573658294215</v>
      </c>
      <c r="K169" s="456">
        <f t="shared" ca="1" si="108"/>
        <v>1119.2847288700232</v>
      </c>
      <c r="L169" s="456">
        <f t="shared" ca="1" si="108"/>
        <v>1343.2846968029478</v>
      </c>
      <c r="M169" s="456">
        <f t="shared" ca="1" si="108"/>
        <v>1570.0685613401554</v>
      </c>
      <c r="N169" s="456">
        <f t="shared" ca="1" si="108"/>
        <v>1810.0874035756642</v>
      </c>
      <c r="O169" s="456">
        <f t="shared" ca="1" si="108"/>
        <v>1960.2469204528734</v>
      </c>
      <c r="P169" s="456">
        <f t="shared" ca="1" si="108"/>
        <v>2071.8690947022633</v>
      </c>
      <c r="Q169" s="456">
        <f t="shared" ca="1" si="108"/>
        <v>2117.4197269599472</v>
      </c>
      <c r="R169" s="456">
        <f t="shared" ca="1" si="108"/>
        <v>2088.7409227877301</v>
      </c>
      <c r="S169" s="456">
        <f t="shared" ca="1" si="108"/>
        <v>1984.6240896560289</v>
      </c>
      <c r="T169" s="456">
        <f t="shared" ca="1" si="108"/>
        <v>1811.9735049500773</v>
      </c>
      <c r="U169" s="456">
        <f t="shared" ca="1" si="108"/>
        <v>1583.7263458511995</v>
      </c>
      <c r="W169" s="175"/>
      <c r="X169" s="175"/>
    </row>
    <row r="170" spans="2:24" s="18" customFormat="1" ht="11.25" customHeight="1">
      <c r="B170" s="444"/>
      <c r="C170" s="277"/>
      <c r="E170" s="68"/>
      <c r="F170" s="68"/>
      <c r="G170" s="68"/>
      <c r="H170" s="68"/>
      <c r="I170" s="68"/>
      <c r="J170" s="68"/>
      <c r="K170" s="68"/>
      <c r="L170" s="68"/>
      <c r="M170" s="68"/>
      <c r="N170" s="68"/>
      <c r="O170" s="68"/>
      <c r="P170" s="68"/>
      <c r="Q170" s="68"/>
      <c r="R170" s="68"/>
      <c r="S170" s="68"/>
      <c r="T170" s="68"/>
      <c r="U170" s="68"/>
      <c r="W170" s="175"/>
      <c r="X170" s="175"/>
    </row>
    <row r="171" spans="2:24" s="18" customFormat="1" ht="11.25" customHeight="1">
      <c r="B171" s="440" t="s">
        <v>692</v>
      </c>
      <c r="C171" s="493"/>
      <c r="D171" s="494">
        <f>'D&amp;A Build (B)'!J11</f>
        <v>5.45</v>
      </c>
      <c r="E171" s="484"/>
      <c r="F171" s="68"/>
      <c r="G171" s="68"/>
      <c r="H171" s="68"/>
      <c r="I171" s="68"/>
      <c r="J171" s="68"/>
      <c r="K171" s="68"/>
      <c r="L171" s="68"/>
      <c r="M171" s="68"/>
      <c r="N171" s="68"/>
      <c r="O171" s="68"/>
      <c r="P171" s="68"/>
      <c r="Q171" s="68"/>
      <c r="R171" s="68"/>
      <c r="S171" s="68"/>
      <c r="T171" s="68"/>
      <c r="U171" s="68"/>
      <c r="W171" s="175"/>
      <c r="X171" s="175"/>
    </row>
    <row r="172" spans="2:24" s="18" customFormat="1" ht="11.25" customHeight="1">
      <c r="B172" s="444"/>
      <c r="C172" s="277"/>
      <c r="E172" s="68"/>
      <c r="F172" s="68"/>
      <c r="G172" s="68"/>
      <c r="H172" s="68"/>
      <c r="I172" s="68"/>
      <c r="J172" s="68"/>
      <c r="K172" s="68"/>
      <c r="L172" s="68"/>
      <c r="M172" s="68"/>
      <c r="N172" s="68"/>
      <c r="O172" s="68"/>
      <c r="P172" s="68"/>
      <c r="Q172" s="68"/>
      <c r="R172" s="68"/>
      <c r="S172" s="68"/>
      <c r="T172" s="68"/>
      <c r="U172" s="68"/>
      <c r="W172" s="175"/>
      <c r="X172" s="175"/>
    </row>
    <row r="173" spans="2:24" s="18" customFormat="1" ht="11.25" customHeight="1">
      <c r="B173" s="449" t="s">
        <v>644</v>
      </c>
      <c r="C173" s="277"/>
      <c r="E173" s="68"/>
      <c r="F173" s="68"/>
      <c r="G173" s="68"/>
      <c r="H173" s="68"/>
      <c r="I173" s="68"/>
      <c r="J173" s="68"/>
      <c r="K173" s="68"/>
      <c r="L173" s="68"/>
      <c r="M173" s="68"/>
      <c r="N173" s="68"/>
      <c r="O173" s="68"/>
      <c r="P173" s="68"/>
      <c r="Q173" s="68"/>
      <c r="R173" s="68"/>
      <c r="S173" s="68"/>
      <c r="T173" s="68"/>
      <c r="U173" s="68"/>
      <c r="W173" s="175"/>
      <c r="X173" s="175"/>
    </row>
    <row r="174" spans="2:24" s="18" customFormat="1" ht="11.25" customHeight="1">
      <c r="B174" s="444" t="s">
        <v>1</v>
      </c>
      <c r="C174" s="277"/>
      <c r="D174" s="473">
        <f>('D&amp;A Build (B)'!L29/1000)*1000</f>
        <v>26.291587155963356</v>
      </c>
      <c r="E174" s="473">
        <f>('D&amp;A Build (B)'!M29/1000)*1000</f>
        <v>52.583174311926712</v>
      </c>
      <c r="F174" s="473">
        <f>('D&amp;A Build (B)'!N29/1000)*1000</f>
        <v>52.583174311926712</v>
      </c>
      <c r="G174" s="473">
        <f>('D&amp;A Build (B)'!O29/1000)*1000</f>
        <v>52.583174311926712</v>
      </c>
      <c r="H174" s="473">
        <f>('D&amp;A Build (B)'!P29/1000)*1000</f>
        <v>52.583174311926712</v>
      </c>
      <c r="I174" s="473">
        <f>('D&amp;A Build (B)'!Q29/1000)*1000</f>
        <v>49.954015596330379</v>
      </c>
      <c r="J174" s="473">
        <f>('D&amp;A Build (B)'!R29/1000)*1000</f>
        <v>0</v>
      </c>
      <c r="K174" s="473">
        <f>('D&amp;A Build (B)'!S29/1000)*1000</f>
        <v>0</v>
      </c>
      <c r="L174" s="473">
        <f>('D&amp;A Build (B)'!T29/1000)*1000</f>
        <v>0</v>
      </c>
      <c r="M174" s="473">
        <f>('D&amp;A Build (B)'!U29/1000)*1000</f>
        <v>0</v>
      </c>
      <c r="N174" s="473">
        <f>('D&amp;A Build (B)'!V29/1000)*1000</f>
        <v>0</v>
      </c>
      <c r="O174" s="473">
        <f>('D&amp;A Build (B)'!W29/1000)*1000</f>
        <v>0</v>
      </c>
      <c r="P174" s="473">
        <f>('D&amp;A Build (B)'!X29/1000)*1000</f>
        <v>0</v>
      </c>
      <c r="Q174" s="473">
        <f>('D&amp;A Build (B)'!Y29/1000)*1000</f>
        <v>0</v>
      </c>
      <c r="R174" s="473">
        <f>('D&amp;A Build (B)'!Z29/1000)*1000</f>
        <v>0</v>
      </c>
      <c r="S174" s="473">
        <f>('D&amp;A Build (B)'!AA29/1000)*1000</f>
        <v>0</v>
      </c>
      <c r="T174" s="473">
        <f>('D&amp;A Build (B)'!AB29/1000)*1000</f>
        <v>0</v>
      </c>
      <c r="U174" s="473">
        <f>('D&amp;A Build (B)'!AC29/1000)*1000</f>
        <v>0</v>
      </c>
      <c r="W174" s="175"/>
      <c r="X174" s="175"/>
    </row>
    <row r="175" spans="2:24" s="18" customFormat="1" ht="11.25" customHeight="1">
      <c r="B175" s="444" t="s">
        <v>2</v>
      </c>
      <c r="C175" s="277"/>
      <c r="D175" s="473">
        <f>('D&amp;A Build (B)'!L30/1000)*1000</f>
        <v>0</v>
      </c>
      <c r="E175" s="473">
        <f>('D&amp;A Build (B)'!M30/1000)*1000</f>
        <v>16.830522935779801</v>
      </c>
      <c r="F175" s="473">
        <f>('D&amp;A Build (B)'!N30/1000)*1000</f>
        <v>33.661045871559601</v>
      </c>
      <c r="G175" s="473">
        <f>('D&amp;A Build (B)'!O30/1000)*1000</f>
        <v>33.661045871559601</v>
      </c>
      <c r="H175" s="473">
        <f>('D&amp;A Build (B)'!P30/1000)*1000</f>
        <v>33.661045871559601</v>
      </c>
      <c r="I175" s="473">
        <f>('D&amp;A Build (B)'!Q30/1000)*1000</f>
        <v>33.661045871559601</v>
      </c>
      <c r="J175" s="473">
        <f>('D&amp;A Build (B)'!R30/1000)*1000</f>
        <v>31.977993577981639</v>
      </c>
      <c r="K175" s="473">
        <f>('D&amp;A Build (B)'!S30/1000)*1000</f>
        <v>0</v>
      </c>
      <c r="L175" s="473">
        <f>('D&amp;A Build (B)'!T30/1000)*1000</f>
        <v>0</v>
      </c>
      <c r="M175" s="473">
        <f>('D&amp;A Build (B)'!U30/1000)*1000</f>
        <v>0</v>
      </c>
      <c r="N175" s="473">
        <f>('D&amp;A Build (B)'!V30/1000)*1000</f>
        <v>0</v>
      </c>
      <c r="O175" s="473">
        <f>('D&amp;A Build (B)'!W30/1000)*1000</f>
        <v>0</v>
      </c>
      <c r="P175" s="473">
        <f>('D&amp;A Build (B)'!X30/1000)*1000</f>
        <v>0</v>
      </c>
      <c r="Q175" s="473">
        <f>('D&amp;A Build (B)'!Y30/1000)*1000</f>
        <v>0</v>
      </c>
      <c r="R175" s="473">
        <f>('D&amp;A Build (B)'!Z30/1000)*1000</f>
        <v>0</v>
      </c>
      <c r="S175" s="473">
        <f>('D&amp;A Build (B)'!AA30/1000)*1000</f>
        <v>0</v>
      </c>
      <c r="T175" s="473">
        <f>('D&amp;A Build (B)'!AB30/1000)*1000</f>
        <v>0</v>
      </c>
      <c r="U175" s="473">
        <f>('D&amp;A Build (B)'!AC30/1000)*1000</f>
        <v>0</v>
      </c>
      <c r="W175" s="175"/>
      <c r="X175" s="175"/>
    </row>
    <row r="176" spans="2:24" s="18" customFormat="1" ht="11.25" customHeight="1">
      <c r="B176" s="444" t="s">
        <v>3</v>
      </c>
      <c r="C176" s="277"/>
      <c r="D176" s="473">
        <f>('D&amp;A Build (B)'!L31/1000)*1000</f>
        <v>0</v>
      </c>
      <c r="E176" s="473">
        <f>('D&amp;A Build (B)'!M31/1000)*1000</f>
        <v>0</v>
      </c>
      <c r="F176" s="473">
        <f>('D&amp;A Build (B)'!N31/1000)*1000</f>
        <v>75.138201834862315</v>
      </c>
      <c r="G176" s="473">
        <f>('D&amp;A Build (B)'!O31/1000)*1000</f>
        <v>150.27640366972463</v>
      </c>
      <c r="H176" s="473">
        <f>('D&amp;A Build (B)'!P31/1000)*1000</f>
        <v>150.27640366972463</v>
      </c>
      <c r="I176" s="473">
        <f>('D&amp;A Build (B)'!Q31/1000)*1000</f>
        <v>150.27640366972463</v>
      </c>
      <c r="J176" s="473">
        <f>('D&amp;A Build (B)'!R31/1000)*1000</f>
        <v>150.27640366972463</v>
      </c>
      <c r="K176" s="473">
        <f>('D&amp;A Build (B)'!S31/1000)*1000</f>
        <v>142.76258348623833</v>
      </c>
      <c r="L176" s="473">
        <f>('D&amp;A Build (B)'!T31/1000)*1000</f>
        <v>0</v>
      </c>
      <c r="M176" s="473">
        <f>('D&amp;A Build (B)'!U31/1000)*1000</f>
        <v>0</v>
      </c>
      <c r="N176" s="473">
        <f>('D&amp;A Build (B)'!V31/1000)*1000</f>
        <v>0</v>
      </c>
      <c r="O176" s="473">
        <f>('D&amp;A Build (B)'!W31/1000)*1000</f>
        <v>0</v>
      </c>
      <c r="P176" s="473">
        <f>('D&amp;A Build (B)'!X31/1000)*1000</f>
        <v>0</v>
      </c>
      <c r="Q176" s="473">
        <f>('D&amp;A Build (B)'!Y31/1000)*1000</f>
        <v>0</v>
      </c>
      <c r="R176" s="473">
        <f>('D&amp;A Build (B)'!Z31/1000)*1000</f>
        <v>0</v>
      </c>
      <c r="S176" s="473">
        <f>('D&amp;A Build (B)'!AA31/1000)*1000</f>
        <v>0</v>
      </c>
      <c r="T176" s="473">
        <f>('D&amp;A Build (B)'!AB31/1000)*1000</f>
        <v>0</v>
      </c>
      <c r="U176" s="473">
        <f>('D&amp;A Build (B)'!AC31/1000)*1000</f>
        <v>0</v>
      </c>
      <c r="W176" s="175"/>
      <c r="X176" s="175"/>
    </row>
    <row r="177" spans="2:24" s="18" customFormat="1" ht="11.25" customHeight="1">
      <c r="B177" s="444" t="s">
        <v>4</v>
      </c>
      <c r="C177" s="277"/>
      <c r="D177" s="473">
        <f>('D&amp;A Build (B)'!L32/1000)*1000</f>
        <v>0</v>
      </c>
      <c r="E177" s="473">
        <f>('D&amp;A Build (B)'!M32/1000)*1000</f>
        <v>0</v>
      </c>
      <c r="F177" s="473">
        <f>('D&amp;A Build (B)'!N32/1000)*1000</f>
        <v>0</v>
      </c>
      <c r="G177" s="473">
        <f>('D&amp;A Build (B)'!O32/1000)*1000</f>
        <v>40.292238532110204</v>
      </c>
      <c r="H177" s="473">
        <f>('D&amp;A Build (B)'!P32/1000)*1000</f>
        <v>80.584477064220408</v>
      </c>
      <c r="I177" s="473">
        <f>('D&amp;A Build (B)'!Q32/1000)*1000</f>
        <v>80.584477064220408</v>
      </c>
      <c r="J177" s="473">
        <f>('D&amp;A Build (B)'!R32/1000)*1000</f>
        <v>80.584477064220408</v>
      </c>
      <c r="K177" s="473">
        <f>('D&amp;A Build (B)'!S32/1000)*1000</f>
        <v>80.584477064220408</v>
      </c>
      <c r="L177" s="473">
        <f>('D&amp;A Build (B)'!T32/1000)*1000</f>
        <v>76.555253211009358</v>
      </c>
      <c r="M177" s="473">
        <f>('D&amp;A Build (B)'!U32/1000)*1000</f>
        <v>0</v>
      </c>
      <c r="N177" s="473">
        <f>('D&amp;A Build (B)'!V32/1000)*1000</f>
        <v>0</v>
      </c>
      <c r="O177" s="473">
        <f>('D&amp;A Build (B)'!W32/1000)*1000</f>
        <v>0</v>
      </c>
      <c r="P177" s="473">
        <f>('D&amp;A Build (B)'!X32/1000)*1000</f>
        <v>0</v>
      </c>
      <c r="Q177" s="473">
        <f>('D&amp;A Build (B)'!Y32/1000)*1000</f>
        <v>0</v>
      </c>
      <c r="R177" s="473">
        <f>('D&amp;A Build (B)'!Z32/1000)*1000</f>
        <v>0</v>
      </c>
      <c r="S177" s="473">
        <f>('D&amp;A Build (B)'!AA32/1000)*1000</f>
        <v>0</v>
      </c>
      <c r="T177" s="473">
        <f>('D&amp;A Build (B)'!AB32/1000)*1000</f>
        <v>0</v>
      </c>
      <c r="U177" s="473">
        <f>('D&amp;A Build (B)'!AC32/1000)*1000</f>
        <v>0</v>
      </c>
      <c r="W177" s="175"/>
      <c r="X177" s="175"/>
    </row>
    <row r="178" spans="2:24" s="18" customFormat="1" ht="11.25" customHeight="1">
      <c r="B178" s="444" t="s">
        <v>5</v>
      </c>
      <c r="C178" s="277"/>
      <c r="D178" s="473">
        <f>('D&amp;A Build (B)'!L33/1000)*1000</f>
        <v>0</v>
      </c>
      <c r="E178" s="473">
        <f>('D&amp;A Build (B)'!M33/1000)*1000</f>
        <v>0</v>
      </c>
      <c r="F178" s="473">
        <f>('D&amp;A Build (B)'!N33/1000)*1000</f>
        <v>0</v>
      </c>
      <c r="G178" s="473">
        <f>('D&amp;A Build (B)'!O33/1000)*1000</f>
        <v>0</v>
      </c>
      <c r="H178" s="473">
        <f>('D&amp;A Build (B)'!P33/1000)*1000</f>
        <v>34.909752293577917</v>
      </c>
      <c r="I178" s="473">
        <f>('D&amp;A Build (B)'!Q33/1000)*1000</f>
        <v>69.819504587155834</v>
      </c>
      <c r="J178" s="473">
        <f>('D&amp;A Build (B)'!R33/1000)*1000</f>
        <v>69.819504587155834</v>
      </c>
      <c r="K178" s="473">
        <f>('D&amp;A Build (B)'!S33/1000)*1000</f>
        <v>69.819504587155834</v>
      </c>
      <c r="L178" s="473">
        <f>('D&amp;A Build (B)'!T33/1000)*1000</f>
        <v>69.819504587155834</v>
      </c>
      <c r="M178" s="473">
        <f>('D&amp;A Build (B)'!U33/1000)*1000</f>
        <v>66.328529357798061</v>
      </c>
      <c r="N178" s="473">
        <f>('D&amp;A Build (B)'!V33/1000)*1000</f>
        <v>0</v>
      </c>
      <c r="O178" s="473">
        <f>('D&amp;A Build (B)'!W33/1000)*1000</f>
        <v>0</v>
      </c>
      <c r="P178" s="473">
        <f>('D&amp;A Build (B)'!X33/1000)*1000</f>
        <v>0</v>
      </c>
      <c r="Q178" s="473">
        <f>('D&amp;A Build (B)'!Y33/1000)*1000</f>
        <v>0</v>
      </c>
      <c r="R178" s="473">
        <f>('D&amp;A Build (B)'!Z33/1000)*1000</f>
        <v>0</v>
      </c>
      <c r="S178" s="473">
        <f>('D&amp;A Build (B)'!AA33/1000)*1000</f>
        <v>0</v>
      </c>
      <c r="T178" s="473">
        <f>('D&amp;A Build (B)'!AB33/1000)*1000</f>
        <v>0</v>
      </c>
      <c r="U178" s="473">
        <f>('D&amp;A Build (B)'!AC33/1000)*1000</f>
        <v>0</v>
      </c>
      <c r="W178" s="175"/>
      <c r="X178" s="175"/>
    </row>
    <row r="179" spans="2:24" s="18" customFormat="1" ht="11.25" customHeight="1">
      <c r="B179" s="444" t="s">
        <v>68</v>
      </c>
      <c r="C179" s="277"/>
      <c r="D179" s="473">
        <f>('D&amp;A Build (B)'!L34/1000)*1000</f>
        <v>0</v>
      </c>
      <c r="E179" s="473">
        <f>('D&amp;A Build (B)'!M34/1000)*1000</f>
        <v>0</v>
      </c>
      <c r="F179" s="473">
        <f>('D&amp;A Build (B)'!N34/1000)*1000</f>
        <v>0</v>
      </c>
      <c r="G179" s="473">
        <f>('D&amp;A Build (B)'!O34/1000)*1000</f>
        <v>0</v>
      </c>
      <c r="H179" s="473">
        <f>('D&amp;A Build (B)'!P34/1000)*1000</f>
        <v>0</v>
      </c>
      <c r="I179" s="473">
        <f>('D&amp;A Build (B)'!Q34/1000)*1000</f>
        <v>117.85469724770637</v>
      </c>
      <c r="J179" s="473">
        <f>('D&amp;A Build (B)'!R34/1000)*1000</f>
        <v>235.70939449541274</v>
      </c>
      <c r="K179" s="473">
        <f>('D&amp;A Build (B)'!S34/1000)*1000</f>
        <v>235.70939449541274</v>
      </c>
      <c r="L179" s="473">
        <f>('D&amp;A Build (B)'!T34/1000)*1000</f>
        <v>235.70939449541274</v>
      </c>
      <c r="M179" s="473">
        <f>('D&amp;A Build (B)'!U34/1000)*1000</f>
        <v>235.70939449541274</v>
      </c>
      <c r="N179" s="473">
        <f>('D&amp;A Build (B)'!V34/1000)*1000</f>
        <v>223.92392477064209</v>
      </c>
      <c r="O179" s="473">
        <f>('D&amp;A Build (B)'!W34/1000)*1000</f>
        <v>0</v>
      </c>
      <c r="P179" s="473">
        <f>('D&amp;A Build (B)'!X34/1000)*1000</f>
        <v>0</v>
      </c>
      <c r="Q179" s="473">
        <f>('D&amp;A Build (B)'!Y34/1000)*1000</f>
        <v>0</v>
      </c>
      <c r="R179" s="473">
        <f>('D&amp;A Build (B)'!Z34/1000)*1000</f>
        <v>0</v>
      </c>
      <c r="S179" s="473">
        <f>('D&amp;A Build (B)'!AA34/1000)*1000</f>
        <v>0</v>
      </c>
      <c r="T179" s="473">
        <f>('D&amp;A Build (B)'!AB34/1000)*1000</f>
        <v>0</v>
      </c>
      <c r="U179" s="473">
        <f>('D&amp;A Build (B)'!AC34/1000)*1000</f>
        <v>0</v>
      </c>
      <c r="W179" s="175"/>
      <c r="X179" s="175"/>
    </row>
    <row r="180" spans="2:24" s="18" customFormat="1" ht="11.25" customHeight="1">
      <c r="B180" s="444" t="s">
        <v>6</v>
      </c>
      <c r="C180" s="277"/>
      <c r="D180" s="473">
        <f>('D&amp;A Build (B)'!L35/1000)*1000</f>
        <v>0</v>
      </c>
      <c r="E180" s="473">
        <f>('D&amp;A Build (B)'!M35/1000)*1000</f>
        <v>0</v>
      </c>
      <c r="F180" s="473">
        <f>('D&amp;A Build (B)'!N35/1000)*1000</f>
        <v>0</v>
      </c>
      <c r="G180" s="473">
        <f>('D&amp;A Build (B)'!O35/1000)*1000</f>
        <v>0</v>
      </c>
      <c r="H180" s="473">
        <f>('D&amp;A Build (B)'!P35/1000)*1000</f>
        <v>0</v>
      </c>
      <c r="I180" s="473">
        <f>('D&amp;A Build (B)'!Q35/1000)*1000</f>
        <v>0</v>
      </c>
      <c r="J180" s="473">
        <f ca="1">('D&amp;A Build (B)'!R35/1000)*1000</f>
        <v>81.75832445715065</v>
      </c>
      <c r="K180" s="473">
        <f ca="1">('D&amp;A Build (B)'!S35/1000)*1000</f>
        <v>163.5166489143013</v>
      </c>
      <c r="L180" s="473">
        <f ca="1">('D&amp;A Build (B)'!T35/1000)*1000</f>
        <v>163.5166489143013</v>
      </c>
      <c r="M180" s="473">
        <f ca="1">('D&amp;A Build (B)'!U35/1000)*1000</f>
        <v>163.5166489143013</v>
      </c>
      <c r="N180" s="473">
        <f ca="1">('D&amp;A Build (B)'!V35/1000)*1000</f>
        <v>163.5166489143013</v>
      </c>
      <c r="O180" s="473">
        <f ca="1">('D&amp;A Build (B)'!W35/1000)*1000</f>
        <v>155.34081646858624</v>
      </c>
      <c r="P180" s="473">
        <f ca="1">('D&amp;A Build (B)'!X35/1000)*1000</f>
        <v>0</v>
      </c>
      <c r="Q180" s="473">
        <f ca="1">('D&amp;A Build (B)'!Y35/1000)*1000</f>
        <v>0</v>
      </c>
      <c r="R180" s="473">
        <f ca="1">('D&amp;A Build (B)'!Z35/1000)*1000</f>
        <v>0</v>
      </c>
      <c r="S180" s="473">
        <f ca="1">('D&amp;A Build (B)'!AA35/1000)*1000</f>
        <v>0</v>
      </c>
      <c r="T180" s="473">
        <f ca="1">('D&amp;A Build (B)'!AB35/1000)*1000</f>
        <v>0</v>
      </c>
      <c r="U180" s="473">
        <f ca="1">('D&amp;A Build (B)'!AC35/1000)*1000</f>
        <v>0</v>
      </c>
      <c r="W180" s="175"/>
      <c r="X180" s="175"/>
    </row>
    <row r="181" spans="2:24" s="18" customFormat="1" ht="11.25" customHeight="1">
      <c r="B181" s="444" t="s">
        <v>22</v>
      </c>
      <c r="C181" s="277"/>
      <c r="D181" s="473">
        <f>('D&amp;A Build (B)'!L36/1000)*1000</f>
        <v>0</v>
      </c>
      <c r="E181" s="473">
        <f>('D&amp;A Build (B)'!M36/1000)*1000</f>
        <v>0</v>
      </c>
      <c r="F181" s="473">
        <f>('D&amp;A Build (B)'!N36/1000)*1000</f>
        <v>0</v>
      </c>
      <c r="G181" s="473">
        <f>('D&amp;A Build (B)'!O36/1000)*1000</f>
        <v>0</v>
      </c>
      <c r="H181" s="473">
        <f>('D&amp;A Build (B)'!P36/1000)*1000</f>
        <v>0</v>
      </c>
      <c r="I181" s="473">
        <f>('D&amp;A Build (B)'!Q36/1000)*1000</f>
        <v>0</v>
      </c>
      <c r="J181" s="473">
        <f>('D&amp;A Build (B)'!R36/1000)*1000</f>
        <v>0</v>
      </c>
      <c r="K181" s="473">
        <f ca="1">('D&amp;A Build (B)'!S36/1000)*1000</f>
        <v>102.68667237339662</v>
      </c>
      <c r="L181" s="473">
        <f ca="1">('D&amp;A Build (B)'!T36/1000)*1000</f>
        <v>205.37334474679324</v>
      </c>
      <c r="M181" s="473">
        <f ca="1">('D&amp;A Build (B)'!U36/1000)*1000</f>
        <v>205.37334474679324</v>
      </c>
      <c r="N181" s="473">
        <f ca="1">('D&amp;A Build (B)'!V36/1000)*1000</f>
        <v>205.37334474679324</v>
      </c>
      <c r="O181" s="473">
        <f ca="1">('D&amp;A Build (B)'!W36/1000)*1000</f>
        <v>205.37334474679324</v>
      </c>
      <c r="P181" s="473">
        <f ca="1">('D&amp;A Build (B)'!X36/1000)*1000</f>
        <v>195.10467750945361</v>
      </c>
      <c r="Q181" s="473">
        <f ca="1">('D&amp;A Build (B)'!Y36/1000)*1000</f>
        <v>0</v>
      </c>
      <c r="R181" s="473">
        <f ca="1">('D&amp;A Build (B)'!Z36/1000)*1000</f>
        <v>0</v>
      </c>
      <c r="S181" s="473">
        <f ca="1">('D&amp;A Build (B)'!AA36/1000)*1000</f>
        <v>0</v>
      </c>
      <c r="T181" s="473">
        <f ca="1">('D&amp;A Build (B)'!AB36/1000)*1000</f>
        <v>0</v>
      </c>
      <c r="U181" s="473">
        <f ca="1">('D&amp;A Build (B)'!AC36/1000)*1000</f>
        <v>0</v>
      </c>
      <c r="W181" s="175"/>
      <c r="X181" s="175"/>
    </row>
    <row r="182" spans="2:24" s="18" customFormat="1" ht="11.25" customHeight="1">
      <c r="B182" s="444" t="s">
        <v>23</v>
      </c>
      <c r="C182" s="277"/>
      <c r="D182" s="473">
        <f>('D&amp;A Build (B)'!L37/1000)*1000</f>
        <v>0</v>
      </c>
      <c r="E182" s="473">
        <f>('D&amp;A Build (B)'!M37/1000)*1000</f>
        <v>0</v>
      </c>
      <c r="F182" s="473">
        <f>('D&amp;A Build (B)'!N37/1000)*1000</f>
        <v>0</v>
      </c>
      <c r="G182" s="473">
        <f>('D&amp;A Build (B)'!O37/1000)*1000</f>
        <v>0</v>
      </c>
      <c r="H182" s="473">
        <f>('D&amp;A Build (B)'!P37/1000)*1000</f>
        <v>0</v>
      </c>
      <c r="I182" s="473">
        <f>('D&amp;A Build (B)'!Q37/1000)*1000</f>
        <v>0</v>
      </c>
      <c r="J182" s="473">
        <f>('D&amp;A Build (B)'!R37/1000)*1000</f>
        <v>0</v>
      </c>
      <c r="K182" s="473">
        <f>('D&amp;A Build (B)'!S37/1000)*1000</f>
        <v>0</v>
      </c>
      <c r="L182" s="473">
        <f ca="1">('D&amp;A Build (B)'!T37/1000)*1000</f>
        <v>123.23712814705942</v>
      </c>
      <c r="M182" s="473">
        <f ca="1">('D&amp;A Build (B)'!U37/1000)*1000</f>
        <v>246.47425629411885</v>
      </c>
      <c r="N182" s="473">
        <f ca="1">('D&amp;A Build (B)'!V37/1000)*1000</f>
        <v>246.47425629411885</v>
      </c>
      <c r="O182" s="473">
        <f ca="1">('D&amp;A Build (B)'!W37/1000)*1000</f>
        <v>246.47425629411885</v>
      </c>
      <c r="P182" s="473">
        <f ca="1">('D&amp;A Build (B)'!X37/1000)*1000</f>
        <v>246.47425629411885</v>
      </c>
      <c r="Q182" s="473">
        <f ca="1">('D&amp;A Build (B)'!Y37/1000)*1000</f>
        <v>234.15054347941305</v>
      </c>
      <c r="R182" s="473">
        <f ca="1">('D&amp;A Build (B)'!Z37/1000)*1000</f>
        <v>0</v>
      </c>
      <c r="S182" s="473">
        <f ca="1">('D&amp;A Build (B)'!AA37/1000)*1000</f>
        <v>0</v>
      </c>
      <c r="T182" s="473">
        <f ca="1">('D&amp;A Build (B)'!AB37/1000)*1000</f>
        <v>0</v>
      </c>
      <c r="U182" s="473">
        <f ca="1">('D&amp;A Build (B)'!AC37/1000)*1000</f>
        <v>0</v>
      </c>
      <c r="W182" s="175"/>
      <c r="X182" s="175"/>
    </row>
    <row r="183" spans="2:24" s="18" customFormat="1" ht="11.25" customHeight="1">
      <c r="B183" s="444" t="s">
        <v>24</v>
      </c>
      <c r="C183" s="277"/>
      <c r="D183" s="473">
        <f>('D&amp;A Build (B)'!L38/1000)*1000</f>
        <v>0</v>
      </c>
      <c r="E183" s="473">
        <f>('D&amp;A Build (B)'!M38/1000)*1000</f>
        <v>0</v>
      </c>
      <c r="F183" s="473">
        <f>('D&amp;A Build (B)'!N38/1000)*1000</f>
        <v>0</v>
      </c>
      <c r="G183" s="473">
        <f>('D&amp;A Build (B)'!O38/1000)*1000</f>
        <v>0</v>
      </c>
      <c r="H183" s="473">
        <f>('D&amp;A Build (B)'!P38/1000)*1000</f>
        <v>0</v>
      </c>
      <c r="I183" s="473">
        <f>('D&amp;A Build (B)'!Q38/1000)*1000</f>
        <v>0</v>
      </c>
      <c r="J183" s="473">
        <f>('D&amp;A Build (B)'!R38/1000)*1000</f>
        <v>0</v>
      </c>
      <c r="K183" s="473">
        <f>('D&amp;A Build (B)'!S38/1000)*1000</f>
        <v>0</v>
      </c>
      <c r="L183" s="473">
        <f>('D&amp;A Build (B)'!T38/1000)*1000</f>
        <v>0</v>
      </c>
      <c r="M183" s="473">
        <f ca="1">('D&amp;A Build (B)'!U38/1000)*1000</f>
        <v>144.04298727891333</v>
      </c>
      <c r="N183" s="473">
        <f ca="1">('D&amp;A Build (B)'!V38/1000)*1000</f>
        <v>288.08597455782666</v>
      </c>
      <c r="O183" s="473">
        <f ca="1">('D&amp;A Build (B)'!W38/1000)*1000</f>
        <v>288.08597455782666</v>
      </c>
      <c r="P183" s="473">
        <f ca="1">('D&amp;A Build (B)'!X38/1000)*1000</f>
        <v>288.08597455782666</v>
      </c>
      <c r="Q183" s="473">
        <f ca="1">('D&amp;A Build (B)'!Y38/1000)*1000</f>
        <v>288.08597455782666</v>
      </c>
      <c r="R183" s="473">
        <f ca="1">('D&amp;A Build (B)'!Z38/1000)*1000</f>
        <v>273.68167582993556</v>
      </c>
      <c r="S183" s="473">
        <f ca="1">('D&amp;A Build (B)'!AA38/1000)*1000</f>
        <v>0</v>
      </c>
      <c r="T183" s="473">
        <f ca="1">('D&amp;A Build (B)'!AB38/1000)*1000</f>
        <v>0</v>
      </c>
      <c r="U183" s="473">
        <f ca="1">('D&amp;A Build (B)'!AC38/1000)*1000</f>
        <v>0</v>
      </c>
      <c r="W183" s="175"/>
      <c r="X183" s="175"/>
    </row>
    <row r="184" spans="2:24" s="18" customFormat="1" ht="11.25" customHeight="1">
      <c r="B184" s="444" t="s">
        <v>25</v>
      </c>
      <c r="C184" s="277"/>
      <c r="D184" s="473">
        <f>('D&amp;A Build (B)'!L39/1000)*1000</f>
        <v>0</v>
      </c>
      <c r="E184" s="473">
        <f>('D&amp;A Build (B)'!M39/1000)*1000</f>
        <v>0</v>
      </c>
      <c r="F184" s="473">
        <f>('D&amp;A Build (B)'!N39/1000)*1000</f>
        <v>0</v>
      </c>
      <c r="G184" s="473">
        <f>('D&amp;A Build (B)'!O39/1000)*1000</f>
        <v>0</v>
      </c>
      <c r="H184" s="473">
        <f>('D&amp;A Build (B)'!P39/1000)*1000</f>
        <v>0</v>
      </c>
      <c r="I184" s="473">
        <f>('D&amp;A Build (B)'!Q39/1000)*1000</f>
        <v>0</v>
      </c>
      <c r="J184" s="473">
        <f>('D&amp;A Build (B)'!R39/1000)*1000</f>
        <v>0</v>
      </c>
      <c r="K184" s="473">
        <f>('D&amp;A Build (B)'!S39/1000)*1000</f>
        <v>0</v>
      </c>
      <c r="L184" s="473">
        <f>('D&amp;A Build (B)'!T39/1000)*1000</f>
        <v>0</v>
      </c>
      <c r="M184" s="473">
        <f>('D&amp;A Build (B)'!U39/1000)*1000</f>
        <v>0</v>
      </c>
      <c r="N184" s="473">
        <f ca="1">('D&amp;A Build (B)'!V39/1000)*1000</f>
        <v>166.06306454822604</v>
      </c>
      <c r="O184" s="473">
        <f ca="1">('D&amp;A Build (B)'!W39/1000)*1000</f>
        <v>332.12612909645208</v>
      </c>
      <c r="P184" s="473">
        <f ca="1">('D&amp;A Build (B)'!X39/1000)*1000</f>
        <v>332.12612909645208</v>
      </c>
      <c r="Q184" s="473">
        <f ca="1">('D&amp;A Build (B)'!Y39/1000)*1000</f>
        <v>332.12612909645208</v>
      </c>
      <c r="R184" s="473">
        <f ca="1">('D&amp;A Build (B)'!Z39/1000)*1000</f>
        <v>332.12612909645208</v>
      </c>
      <c r="S184" s="473">
        <f ca="1">('D&amp;A Build (B)'!AA39/1000)*1000</f>
        <v>315.51982264162962</v>
      </c>
      <c r="T184" s="473">
        <f ca="1">('D&amp;A Build (B)'!AB39/1000)*1000</f>
        <v>0</v>
      </c>
      <c r="U184" s="473">
        <f ca="1">('D&amp;A Build (B)'!AC39/1000)*1000</f>
        <v>0</v>
      </c>
      <c r="W184" s="175"/>
      <c r="X184" s="175"/>
    </row>
    <row r="185" spans="2:24" s="18" customFormat="1" ht="11.25" customHeight="1">
      <c r="B185" s="444" t="s">
        <v>26</v>
      </c>
      <c r="C185" s="277"/>
      <c r="D185" s="473">
        <f>('D&amp;A Build (B)'!L40/1000)*1000</f>
        <v>0</v>
      </c>
      <c r="E185" s="473">
        <f>('D&amp;A Build (B)'!M40/1000)*1000</f>
        <v>0</v>
      </c>
      <c r="F185" s="473">
        <f>('D&amp;A Build (B)'!N40/1000)*1000</f>
        <v>0</v>
      </c>
      <c r="G185" s="473">
        <f>('D&amp;A Build (B)'!O40/1000)*1000</f>
        <v>0</v>
      </c>
      <c r="H185" s="473">
        <f>('D&amp;A Build (B)'!P40/1000)*1000</f>
        <v>0</v>
      </c>
      <c r="I185" s="473">
        <f>('D&amp;A Build (B)'!Q40/1000)*1000</f>
        <v>0</v>
      </c>
      <c r="J185" s="473">
        <f>('D&amp;A Build (B)'!R40/1000)*1000</f>
        <v>0</v>
      </c>
      <c r="K185" s="473">
        <f>('D&amp;A Build (B)'!S40/1000)*1000</f>
        <v>0</v>
      </c>
      <c r="L185" s="473">
        <f>('D&amp;A Build (B)'!T40/1000)*1000</f>
        <v>0</v>
      </c>
      <c r="M185" s="473">
        <f>('D&amp;A Build (B)'!U40/1000)*1000</f>
        <v>0</v>
      </c>
      <c r="N185" s="473">
        <f>('D&amp;A Build (B)'!V40/1000)*1000</f>
        <v>0</v>
      </c>
      <c r="O185" s="473">
        <f ca="1">('D&amp;A Build (B)'!W40/1000)*1000</f>
        <v>179.83916701402507</v>
      </c>
      <c r="P185" s="473">
        <f ca="1">('D&amp;A Build (B)'!X40/1000)*1000</f>
        <v>359.67833402805013</v>
      </c>
      <c r="Q185" s="473">
        <f ca="1">('D&amp;A Build (B)'!Y40/1000)*1000</f>
        <v>359.67833402805013</v>
      </c>
      <c r="R185" s="473">
        <f ca="1">('D&amp;A Build (B)'!Z40/1000)*1000</f>
        <v>359.67833402805013</v>
      </c>
      <c r="S185" s="473">
        <f ca="1">('D&amp;A Build (B)'!AA40/1000)*1000</f>
        <v>359.67833402805013</v>
      </c>
      <c r="T185" s="473">
        <f ca="1">('D&amp;A Build (B)'!AB40/1000)*1000</f>
        <v>341.69441732664768</v>
      </c>
      <c r="U185" s="473">
        <f ca="1">('D&amp;A Build (B)'!AC40/1000)*1000</f>
        <v>0</v>
      </c>
      <c r="W185" s="175"/>
      <c r="X185" s="175"/>
    </row>
    <row r="186" spans="2:24" s="18" customFormat="1" ht="11.25" customHeight="1">
      <c r="B186" s="444" t="s">
        <v>27</v>
      </c>
      <c r="C186" s="277"/>
      <c r="D186" s="473">
        <f>('D&amp;A Build (B)'!L41/1000)*1000</f>
        <v>0</v>
      </c>
      <c r="E186" s="473">
        <f>('D&amp;A Build (B)'!M41/1000)*1000</f>
        <v>0</v>
      </c>
      <c r="F186" s="473">
        <f>('D&amp;A Build (B)'!N41/1000)*1000</f>
        <v>0</v>
      </c>
      <c r="G186" s="473">
        <f>('D&amp;A Build (B)'!O41/1000)*1000</f>
        <v>0</v>
      </c>
      <c r="H186" s="473">
        <f>('D&amp;A Build (B)'!P41/1000)*1000</f>
        <v>0</v>
      </c>
      <c r="I186" s="473">
        <f>('D&amp;A Build (B)'!Q41/1000)*1000</f>
        <v>0</v>
      </c>
      <c r="J186" s="473">
        <f>('D&amp;A Build (B)'!R41/1000)*1000</f>
        <v>0</v>
      </c>
      <c r="K186" s="473">
        <f>('D&amp;A Build (B)'!S41/1000)*1000</f>
        <v>0</v>
      </c>
      <c r="L186" s="473">
        <f>('D&amp;A Build (B)'!T41/1000)*1000</f>
        <v>0</v>
      </c>
      <c r="M186" s="473">
        <f>('D&amp;A Build (B)'!U41/1000)*1000</f>
        <v>0</v>
      </c>
      <c r="N186" s="473">
        <f>('D&amp;A Build (B)'!V41/1000)*1000</f>
        <v>0</v>
      </c>
      <c r="O186" s="473">
        <f>('D&amp;A Build (B)'!W41/1000)*1000</f>
        <v>0</v>
      </c>
      <c r="P186" s="473">
        <f ca="1">('D&amp;A Build (B)'!X41/1000)*1000</f>
        <v>190.07973345892324</v>
      </c>
      <c r="Q186" s="473">
        <f ca="1">('D&amp;A Build (B)'!Y41/1000)*1000</f>
        <v>380.15946691784649</v>
      </c>
      <c r="R186" s="473">
        <f ca="1">('D&amp;A Build (B)'!Z41/1000)*1000</f>
        <v>380.15946691784649</v>
      </c>
      <c r="S186" s="473">
        <f ca="1">('D&amp;A Build (B)'!AA41/1000)*1000</f>
        <v>380.15946691784649</v>
      </c>
      <c r="T186" s="473">
        <f ca="1">('D&amp;A Build (B)'!AB41/1000)*1000</f>
        <v>380.15946691784649</v>
      </c>
      <c r="U186" s="473">
        <f ca="1">('D&amp;A Build (B)'!AC41/1000)*1000</f>
        <v>361.15149357195423</v>
      </c>
      <c r="W186" s="175"/>
      <c r="X186" s="175"/>
    </row>
    <row r="187" spans="2:24" s="18" customFormat="1" ht="11.25" customHeight="1">
      <c r="B187" s="444" t="s">
        <v>38</v>
      </c>
      <c r="C187" s="277"/>
      <c r="D187" s="473">
        <f>('D&amp;A Build (B)'!L42/1000)*1000</f>
        <v>0</v>
      </c>
      <c r="E187" s="473">
        <f>('D&amp;A Build (B)'!M42/1000)*1000</f>
        <v>0</v>
      </c>
      <c r="F187" s="473">
        <f>('D&amp;A Build (B)'!N42/1000)*1000</f>
        <v>0</v>
      </c>
      <c r="G187" s="473">
        <f>('D&amp;A Build (B)'!O42/1000)*1000</f>
        <v>0</v>
      </c>
      <c r="H187" s="473">
        <f>('D&amp;A Build (B)'!P42/1000)*1000</f>
        <v>0</v>
      </c>
      <c r="I187" s="473">
        <f>('D&amp;A Build (B)'!Q42/1000)*1000</f>
        <v>0</v>
      </c>
      <c r="J187" s="473">
        <f>('D&amp;A Build (B)'!R42/1000)*1000</f>
        <v>0</v>
      </c>
      <c r="K187" s="473">
        <f>('D&amp;A Build (B)'!S42/1000)*1000</f>
        <v>0</v>
      </c>
      <c r="L187" s="473">
        <f>('D&amp;A Build (B)'!T42/1000)*1000</f>
        <v>0</v>
      </c>
      <c r="M187" s="473">
        <f>('D&amp;A Build (B)'!U42/1000)*1000</f>
        <v>0</v>
      </c>
      <c r="N187" s="473">
        <f>('D&amp;A Build (B)'!V42/1000)*1000</f>
        <v>0</v>
      </c>
      <c r="O187" s="473">
        <f>('D&amp;A Build (B)'!W42/1000)*1000</f>
        <v>0</v>
      </c>
      <c r="P187" s="473">
        <f>('D&amp;A Build (B)'!X42/1000)*1000</f>
        <v>0</v>
      </c>
      <c r="Q187" s="473">
        <f ca="1">('D&amp;A Build (B)'!Y42/1000)*1000</f>
        <v>194.25869054678415</v>
      </c>
      <c r="R187" s="473">
        <f ca="1">('D&amp;A Build (B)'!Z42/1000)*1000</f>
        <v>388.5173810935683</v>
      </c>
      <c r="S187" s="473">
        <f ca="1">('D&amp;A Build (B)'!AA42/1000)*1000</f>
        <v>388.5173810935683</v>
      </c>
      <c r="T187" s="473">
        <f ca="1">('D&amp;A Build (B)'!AB42/1000)*1000</f>
        <v>388.5173810935683</v>
      </c>
      <c r="U187" s="473">
        <f ca="1">('D&amp;A Build (B)'!AC42/1000)*1000</f>
        <v>388.5173810935683</v>
      </c>
      <c r="W187" s="175"/>
      <c r="X187" s="175"/>
    </row>
    <row r="188" spans="2:24" s="18" customFormat="1" ht="11.25" customHeight="1">
      <c r="B188" s="444" t="s">
        <v>39</v>
      </c>
      <c r="C188" s="277"/>
      <c r="D188" s="473">
        <f>('D&amp;A Build (B)'!L43/1000)*1000</f>
        <v>0</v>
      </c>
      <c r="E188" s="473">
        <f>('D&amp;A Build (B)'!M43/1000)*1000</f>
        <v>0</v>
      </c>
      <c r="F188" s="473">
        <f>('D&amp;A Build (B)'!N43/1000)*1000</f>
        <v>0</v>
      </c>
      <c r="G188" s="473">
        <f>('D&amp;A Build (B)'!O43/1000)*1000</f>
        <v>0</v>
      </c>
      <c r="H188" s="473">
        <f>('D&amp;A Build (B)'!P43/1000)*1000</f>
        <v>0</v>
      </c>
      <c r="I188" s="473">
        <f>('D&amp;A Build (B)'!Q43/1000)*1000</f>
        <v>0</v>
      </c>
      <c r="J188" s="473">
        <f>('D&amp;A Build (B)'!R43/1000)*1000</f>
        <v>0</v>
      </c>
      <c r="K188" s="473">
        <f>('D&amp;A Build (B)'!S43/1000)*1000</f>
        <v>0</v>
      </c>
      <c r="L188" s="473">
        <f>('D&amp;A Build (B)'!T43/1000)*1000</f>
        <v>0</v>
      </c>
      <c r="M188" s="473">
        <f>('D&amp;A Build (B)'!U43/1000)*1000</f>
        <v>0</v>
      </c>
      <c r="N188" s="473">
        <f>('D&amp;A Build (B)'!V43/1000)*1000</f>
        <v>0</v>
      </c>
      <c r="O188" s="473">
        <f>('D&amp;A Build (B)'!W43/1000)*1000</f>
        <v>0</v>
      </c>
      <c r="P188" s="473">
        <f>('D&amp;A Build (B)'!X43/1000)*1000</f>
        <v>0</v>
      </c>
      <c r="Q188" s="473">
        <f>('D&amp;A Build (B)'!Y43/1000)*1000</f>
        <v>0</v>
      </c>
      <c r="R188" s="473">
        <f ca="1">('D&amp;A Build (B)'!Z43/1000)*1000</f>
        <v>191.62760759520458</v>
      </c>
      <c r="S188" s="473">
        <f ca="1">('D&amp;A Build (B)'!AA43/1000)*1000</f>
        <v>383.25521519040916</v>
      </c>
      <c r="T188" s="473">
        <f ca="1">('D&amp;A Build (B)'!AB43/1000)*1000</f>
        <v>383.25521519040916</v>
      </c>
      <c r="U188" s="473">
        <f ca="1">('D&amp;A Build (B)'!AC43/1000)*1000</f>
        <v>383.25521519040916</v>
      </c>
      <c r="W188" s="175"/>
      <c r="X188" s="175"/>
    </row>
    <row r="189" spans="2:24" s="18" customFormat="1" ht="11.25" customHeight="1">
      <c r="B189" s="444" t="s">
        <v>40</v>
      </c>
      <c r="C189" s="277"/>
      <c r="D189" s="473">
        <f>('D&amp;A Build (B)'!L44/1000)*1000</f>
        <v>0</v>
      </c>
      <c r="E189" s="473">
        <f>('D&amp;A Build (B)'!M44/1000)*1000</f>
        <v>0</v>
      </c>
      <c r="F189" s="473">
        <f>('D&amp;A Build (B)'!N44/1000)*1000</f>
        <v>0</v>
      </c>
      <c r="G189" s="473">
        <f>('D&amp;A Build (B)'!O44/1000)*1000</f>
        <v>0</v>
      </c>
      <c r="H189" s="473">
        <f>('D&amp;A Build (B)'!P44/1000)*1000</f>
        <v>0</v>
      </c>
      <c r="I189" s="473">
        <f>('D&amp;A Build (B)'!Q44/1000)*1000</f>
        <v>0</v>
      </c>
      <c r="J189" s="473">
        <f>('D&amp;A Build (B)'!R44/1000)*1000</f>
        <v>0</v>
      </c>
      <c r="K189" s="473">
        <f>('D&amp;A Build (B)'!S44/1000)*1000</f>
        <v>0</v>
      </c>
      <c r="L189" s="473">
        <f>('D&amp;A Build (B)'!T44/1000)*1000</f>
        <v>0</v>
      </c>
      <c r="M189" s="473">
        <f>('D&amp;A Build (B)'!U44/1000)*1000</f>
        <v>0</v>
      </c>
      <c r="N189" s="473">
        <f>('D&amp;A Build (B)'!V44/1000)*1000</f>
        <v>0</v>
      </c>
      <c r="O189" s="473">
        <f>('D&amp;A Build (B)'!W44/1000)*1000</f>
        <v>0</v>
      </c>
      <c r="P189" s="473">
        <f>('D&amp;A Build (B)'!X44/1000)*1000</f>
        <v>0</v>
      </c>
      <c r="Q189" s="473">
        <f>('D&amp;A Build (B)'!Y44/1000)*1000</f>
        <v>0</v>
      </c>
      <c r="R189" s="473">
        <f>('D&amp;A Build (B)'!Z44/1000)*1000</f>
        <v>0</v>
      </c>
      <c r="S189" s="473">
        <f ca="1">('D&amp;A Build (B)'!AA44/1000)*1000</f>
        <v>182.07560455559897</v>
      </c>
      <c r="T189" s="473">
        <f ca="1">('D&amp;A Build (B)'!AB44/1000)*1000</f>
        <v>364.15120911119794</v>
      </c>
      <c r="U189" s="473">
        <f ca="1">('D&amp;A Build (B)'!AC44/1000)*1000</f>
        <v>364.15120911119794</v>
      </c>
      <c r="W189" s="175"/>
      <c r="X189" s="175"/>
    </row>
    <row r="190" spans="2:24" s="18" customFormat="1" ht="11.25" customHeight="1">
      <c r="B190" s="444" t="s">
        <v>41</v>
      </c>
      <c r="C190" s="277"/>
      <c r="D190" s="473">
        <f>('D&amp;A Build (B)'!L45/1000)*1000</f>
        <v>0</v>
      </c>
      <c r="E190" s="473">
        <f>('D&amp;A Build (B)'!M45/1000)*1000</f>
        <v>0</v>
      </c>
      <c r="F190" s="473">
        <f>('D&amp;A Build (B)'!N45/1000)*1000</f>
        <v>0</v>
      </c>
      <c r="G190" s="473">
        <f>('D&amp;A Build (B)'!O45/1000)*1000</f>
        <v>0</v>
      </c>
      <c r="H190" s="473">
        <f>('D&amp;A Build (B)'!P45/1000)*1000</f>
        <v>0</v>
      </c>
      <c r="I190" s="473">
        <f>('D&amp;A Build (B)'!Q45/1000)*1000</f>
        <v>0</v>
      </c>
      <c r="J190" s="473">
        <f>('D&amp;A Build (B)'!R45/1000)*1000</f>
        <v>0</v>
      </c>
      <c r="K190" s="473">
        <f>('D&amp;A Build (B)'!S45/1000)*1000</f>
        <v>0</v>
      </c>
      <c r="L190" s="473">
        <f>('D&amp;A Build (B)'!T45/1000)*1000</f>
        <v>0</v>
      </c>
      <c r="M190" s="473">
        <f>('D&amp;A Build (B)'!U45/1000)*1000</f>
        <v>0</v>
      </c>
      <c r="N190" s="473">
        <f>('D&amp;A Build (B)'!V45/1000)*1000</f>
        <v>0</v>
      </c>
      <c r="O190" s="473">
        <f>('D&amp;A Build (B)'!W45/1000)*1000</f>
        <v>0</v>
      </c>
      <c r="P190" s="473">
        <f>('D&amp;A Build (B)'!X45/1000)*1000</f>
        <v>0</v>
      </c>
      <c r="Q190" s="473">
        <f>('D&amp;A Build (B)'!Y45/1000)*1000</f>
        <v>0</v>
      </c>
      <c r="R190" s="473">
        <f>('D&amp;A Build (B)'!Z45/1000)*1000</f>
        <v>0</v>
      </c>
      <c r="S190" s="473">
        <f>('D&amp;A Build (B)'!AA45/1000)*1000</f>
        <v>0</v>
      </c>
      <c r="T190" s="473">
        <f ca="1">('D&amp;A Build (B)'!AB45/1000)*1000</f>
        <v>166.23610137156672</v>
      </c>
      <c r="U190" s="473">
        <f ca="1">('D&amp;A Build (B)'!AC45/1000)*1000</f>
        <v>332.47220274313344</v>
      </c>
      <c r="W190" s="175"/>
      <c r="X190" s="175"/>
    </row>
    <row r="191" spans="2:24" s="18" customFormat="1" ht="13.5" customHeight="1">
      <c r="B191" s="444" t="s">
        <v>112</v>
      </c>
      <c r="C191" s="277"/>
      <c r="D191" s="472">
        <f>('D&amp;A Build (B)'!L46/1000)*1000</f>
        <v>0</v>
      </c>
      <c r="E191" s="472">
        <f>('D&amp;A Build (B)'!M46/1000)*1000</f>
        <v>0</v>
      </c>
      <c r="F191" s="472">
        <f>('D&amp;A Build (B)'!N46/1000)*1000</f>
        <v>0</v>
      </c>
      <c r="G191" s="472">
        <f>('D&amp;A Build (B)'!O46/1000)*1000</f>
        <v>0</v>
      </c>
      <c r="H191" s="472">
        <f>('D&amp;A Build (B)'!P46/1000)*1000</f>
        <v>0</v>
      </c>
      <c r="I191" s="472">
        <f>('D&amp;A Build (B)'!Q46/1000)*1000</f>
        <v>0</v>
      </c>
      <c r="J191" s="472">
        <f>('D&amp;A Build (B)'!R46/1000)*1000</f>
        <v>0</v>
      </c>
      <c r="K191" s="472">
        <f>('D&amp;A Build (B)'!S46/1000)*1000</f>
        <v>0</v>
      </c>
      <c r="L191" s="472">
        <f>('D&amp;A Build (B)'!T46/1000)*1000</f>
        <v>0</v>
      </c>
      <c r="M191" s="472">
        <f>('D&amp;A Build (B)'!U46/1000)*1000</f>
        <v>0</v>
      </c>
      <c r="N191" s="472">
        <f>('D&amp;A Build (B)'!V46/1000)*1000</f>
        <v>0</v>
      </c>
      <c r="O191" s="472">
        <f>('D&amp;A Build (B)'!W46/1000)*1000</f>
        <v>0</v>
      </c>
      <c r="P191" s="472">
        <f>('D&amp;A Build (B)'!X46/1000)*1000</f>
        <v>0</v>
      </c>
      <c r="Q191" s="472">
        <f>('D&amp;A Build (B)'!Y46/1000)*1000</f>
        <v>0</v>
      </c>
      <c r="R191" s="472">
        <f>('D&amp;A Build (B)'!Z46/1000)*1000</f>
        <v>0</v>
      </c>
      <c r="S191" s="472">
        <f>('D&amp;A Build (B)'!AA46/1000)*1000</f>
        <v>0</v>
      </c>
      <c r="T191" s="472">
        <f>('D&amp;A Build (B)'!AB46/1000)*1000</f>
        <v>0</v>
      </c>
      <c r="U191" s="472">
        <f ca="1">('D&amp;A Build (B)'!AC46/1000)*1000</f>
        <v>145.29599503222013</v>
      </c>
      <c r="W191" s="175"/>
      <c r="X191" s="175"/>
    </row>
    <row r="192" spans="2:24" s="18" customFormat="1" ht="11.25" customHeight="1">
      <c r="B192" s="455" t="s">
        <v>645</v>
      </c>
      <c r="C192" s="277"/>
      <c r="D192" s="456">
        <f>SUM(D174:D191)</f>
        <v>26.291587155963356</v>
      </c>
      <c r="E192" s="456">
        <f t="shared" ref="E192:U192" si="109">SUM(E174:E191)</f>
        <v>69.413697247706509</v>
      </c>
      <c r="F192" s="456">
        <f t="shared" si="109"/>
        <v>161.38242201834862</v>
      </c>
      <c r="G192" s="456">
        <f t="shared" si="109"/>
        <v>276.81286238532113</v>
      </c>
      <c r="H192" s="456">
        <f t="shared" si="109"/>
        <v>352.01485321100927</v>
      </c>
      <c r="I192" s="456">
        <f t="shared" si="109"/>
        <v>502.15014403669721</v>
      </c>
      <c r="J192" s="456">
        <f t="shared" ca="1" si="109"/>
        <v>650.12609785164591</v>
      </c>
      <c r="K192" s="456">
        <f t="shared" ca="1" si="109"/>
        <v>795.07928092072518</v>
      </c>
      <c r="L192" s="456">
        <f t="shared" ca="1" si="109"/>
        <v>874.21127410173199</v>
      </c>
      <c r="M192" s="456">
        <f t="shared" ca="1" si="109"/>
        <v>1061.4451610873375</v>
      </c>
      <c r="N192" s="456">
        <f t="shared" ca="1" si="109"/>
        <v>1293.4372138319081</v>
      </c>
      <c r="O192" s="456">
        <f t="shared" ca="1" si="109"/>
        <v>1407.2396881778022</v>
      </c>
      <c r="P192" s="456">
        <f t="shared" ca="1" si="109"/>
        <v>1611.5491049448246</v>
      </c>
      <c r="Q192" s="456">
        <f t="shared" ca="1" si="109"/>
        <v>1788.4591386263726</v>
      </c>
      <c r="R192" s="456">
        <f t="shared" ca="1" si="109"/>
        <v>1925.7905945610571</v>
      </c>
      <c r="S192" s="456">
        <f t="shared" ca="1" si="109"/>
        <v>2009.2058244271027</v>
      </c>
      <c r="T192" s="456">
        <f t="shared" ca="1" si="109"/>
        <v>2024.0137910112362</v>
      </c>
      <c r="U192" s="456">
        <f t="shared" ca="1" si="109"/>
        <v>1974.8434967424832</v>
      </c>
      <c r="W192" s="175"/>
      <c r="X192" s="175"/>
    </row>
    <row r="193" spans="2:24" s="18" customFormat="1" ht="11.25" customHeight="1">
      <c r="B193" s="455"/>
      <c r="C193" s="277"/>
      <c r="E193" s="68"/>
      <c r="F193" s="68"/>
      <c r="G193" s="68"/>
      <c r="H193" s="68"/>
      <c r="I193" s="68"/>
      <c r="J193" s="68"/>
      <c r="K193" s="68"/>
      <c r="L193" s="68"/>
      <c r="M193" s="68"/>
      <c r="N193" s="68"/>
      <c r="O193" s="68"/>
      <c r="P193" s="68"/>
      <c r="Q193" s="68"/>
      <c r="R193" s="68"/>
      <c r="S193" s="68"/>
      <c r="T193" s="68"/>
      <c r="U193" s="68"/>
      <c r="W193" s="175"/>
      <c r="X193" s="175"/>
    </row>
    <row r="194" spans="2:24" s="18" customFormat="1" ht="11.25" customHeight="1">
      <c r="B194" s="458" t="s">
        <v>35</v>
      </c>
      <c r="C194" s="277"/>
      <c r="E194" s="68"/>
      <c r="F194" s="68"/>
      <c r="G194" s="68"/>
      <c r="H194" s="68"/>
      <c r="I194" s="68"/>
      <c r="J194" s="68"/>
      <c r="K194" s="68"/>
      <c r="L194" s="68"/>
      <c r="M194" s="68"/>
      <c r="N194" s="68"/>
      <c r="O194" s="68"/>
      <c r="P194" s="68"/>
      <c r="Q194" s="68"/>
      <c r="R194" s="68"/>
      <c r="S194" s="68"/>
      <c r="T194" s="68"/>
      <c r="U194" s="68"/>
      <c r="W194" s="175"/>
      <c r="X194" s="175"/>
    </row>
    <row r="195" spans="2:24" s="18" customFormat="1" ht="11.25" customHeight="1">
      <c r="B195" s="459" t="s">
        <v>646</v>
      </c>
      <c r="C195" s="277"/>
      <c r="D195" s="489">
        <f>('D&amp;A Build (B)'!L50/1000)*1000</f>
        <v>288.12490000000003</v>
      </c>
      <c r="E195" s="489">
        <f>('D&amp;A Build (B)'!M50/1000)*1000</f>
        <v>278.76490000000001</v>
      </c>
      <c r="F195" s="489">
        <f>('D&amp;A Build (B)'!N50/1000)*1000</f>
        <v>321.8211</v>
      </c>
      <c r="G195" s="489">
        <f>('D&amp;A Build (B)'!O50/1000)*1000</f>
        <v>411.48390000000001</v>
      </c>
      <c r="H195" s="489">
        <f>('D&amp;A Build (B)'!P50/1000)*1000</f>
        <v>425.41629999999998</v>
      </c>
      <c r="I195" s="489">
        <f>('D&amp;A Build (B)'!Q50/1000)*1000</f>
        <v>519.46619999999996</v>
      </c>
      <c r="J195" s="489"/>
      <c r="K195" s="489"/>
      <c r="L195" s="489"/>
      <c r="M195" s="489"/>
      <c r="N195" s="489"/>
      <c r="O195" s="489"/>
      <c r="P195" s="489"/>
      <c r="Q195" s="489"/>
      <c r="R195" s="489"/>
      <c r="S195" s="489"/>
      <c r="T195" s="489"/>
      <c r="U195" s="489"/>
      <c r="W195" s="175"/>
      <c r="X195" s="175"/>
    </row>
    <row r="196" spans="2:24" s="18" customFormat="1" ht="11.25" customHeight="1">
      <c r="B196" s="461" t="s">
        <v>647</v>
      </c>
      <c r="C196" s="277"/>
      <c r="D196" s="490">
        <f>'D&amp;A Build (B)'!L51/1000</f>
        <v>1.5176854184994592E-5</v>
      </c>
      <c r="E196" s="490">
        <f>'D&amp;A Build (B)'!M51/1000</f>
        <v>-5.2300352957865501E-5</v>
      </c>
      <c r="F196" s="490">
        <f>'D&amp;A Build (B)'!N51/1000</f>
        <v>1.439655973688958E-5</v>
      </c>
      <c r="G196" s="490">
        <f>'D&amp;A Build (B)'!O51/1000</f>
        <v>2.4542734958089562E-5</v>
      </c>
      <c r="H196" s="490">
        <f>'D&amp;A Build (B)'!P51/1000</f>
        <v>-4.1694282400633996E-5</v>
      </c>
      <c r="I196" s="490">
        <f>'D&amp;A Build (B)'!Q51/1000</f>
        <v>3.4483821560025829E-5</v>
      </c>
      <c r="J196" s="490"/>
      <c r="K196" s="490"/>
      <c r="L196" s="490"/>
      <c r="M196" s="490"/>
      <c r="N196" s="490"/>
      <c r="O196" s="490"/>
      <c r="P196" s="490"/>
      <c r="Q196" s="490"/>
      <c r="R196" s="490"/>
      <c r="S196" s="490"/>
      <c r="T196" s="490"/>
      <c r="U196" s="490"/>
      <c r="W196" s="175"/>
      <c r="X196" s="175"/>
    </row>
    <row r="197" spans="2:24" s="18" customFormat="1" ht="11.25" customHeight="1">
      <c r="B197" s="461" t="s">
        <v>648</v>
      </c>
      <c r="C197" s="277"/>
      <c r="D197" s="489">
        <f>'D&amp;A Build (B)'!L52/1000*1000</f>
        <v>4.3074559633028002</v>
      </c>
      <c r="E197" s="489">
        <f>'D&amp;A Build (B)'!M52/1000*1000</f>
        <v>-15.38409633027527</v>
      </c>
      <c r="F197" s="489">
        <f>'D&amp;A Build (B)'!N52/1000*1000</f>
        <v>4.5673623853211893</v>
      </c>
      <c r="G197" s="489">
        <f>'D&amp;A Build (B)'!O52/1000*1000</f>
        <v>9.8570220183486867</v>
      </c>
      <c r="H197" s="489">
        <f>'D&amp;A Build (B)'!P52/1000*1000</f>
        <v>-18.509153211009277</v>
      </c>
      <c r="I197" s="489">
        <f>'D&amp;A Build (B)'!Q52/1000*1000</f>
        <v>17.316055963302745</v>
      </c>
      <c r="J197" s="489"/>
      <c r="K197" s="489"/>
      <c r="L197" s="489"/>
      <c r="M197" s="489"/>
      <c r="N197" s="489"/>
      <c r="O197" s="489"/>
      <c r="P197" s="489"/>
      <c r="Q197" s="489"/>
      <c r="R197" s="489"/>
      <c r="S197" s="489"/>
      <c r="T197" s="489"/>
      <c r="U197" s="489"/>
      <c r="W197" s="175"/>
      <c r="X197" s="175"/>
    </row>
    <row r="198" spans="2:24" s="18" customFormat="1" ht="11.25" customHeight="1">
      <c r="B198" s="444"/>
      <c r="C198" s="277"/>
      <c r="E198" s="68"/>
      <c r="F198" s="68"/>
      <c r="G198" s="68"/>
      <c r="H198" s="68"/>
      <c r="I198" s="68"/>
      <c r="J198" s="68"/>
      <c r="K198" s="68"/>
      <c r="L198" s="68"/>
      <c r="M198" s="68"/>
      <c r="N198" s="68"/>
      <c r="O198" s="68"/>
      <c r="P198" s="68"/>
      <c r="Q198" s="68"/>
      <c r="R198" s="68"/>
      <c r="S198" s="68"/>
      <c r="T198" s="68"/>
      <c r="U198" s="68"/>
      <c r="W198" s="175"/>
      <c r="X198" s="175"/>
    </row>
    <row r="199" spans="2:24" s="18" customFormat="1" ht="11.25" customHeight="1">
      <c r="B199" s="449" t="s">
        <v>72</v>
      </c>
      <c r="C199" s="277"/>
      <c r="E199" s="68"/>
      <c r="F199" s="68"/>
      <c r="G199" s="68"/>
      <c r="H199" s="68"/>
      <c r="I199" s="68"/>
      <c r="J199" s="68"/>
      <c r="K199" s="68"/>
      <c r="L199" s="68"/>
      <c r="M199" s="68"/>
      <c r="N199" s="68"/>
      <c r="O199" s="68"/>
      <c r="P199" s="68"/>
      <c r="Q199" s="68"/>
      <c r="R199" s="68"/>
      <c r="S199" s="68"/>
      <c r="T199" s="68"/>
      <c r="U199" s="68"/>
      <c r="W199" s="175"/>
      <c r="X199" s="175"/>
    </row>
    <row r="200" spans="2:24" s="18" customFormat="1" ht="11.25" customHeight="1">
      <c r="B200" s="444" t="s">
        <v>645</v>
      </c>
      <c r="C200" s="277"/>
      <c r="D200" s="473">
        <f>('D&amp;A Build (B)'!L55/1000)*1000</f>
        <v>283.81744403669722</v>
      </c>
      <c r="E200" s="473">
        <f>('D&amp;A Build (B)'!M55/1000)*1000</f>
        <v>294.14899633027528</v>
      </c>
      <c r="F200" s="473">
        <f>('D&amp;A Build (B)'!N55/1000)*1000</f>
        <v>317.25373761467881</v>
      </c>
      <c r="G200" s="473">
        <f>('D&amp;A Build (B)'!O55/1000)*1000</f>
        <v>401.62687798165132</v>
      </c>
      <c r="H200" s="473">
        <f>('D&amp;A Build (B)'!P55/1000)*1000</f>
        <v>443.92545321100926</v>
      </c>
      <c r="I200" s="473">
        <f>('D&amp;A Build (B)'!Q55/1000)*1000</f>
        <v>502.15014403669721</v>
      </c>
      <c r="J200" s="473">
        <f ca="1">('D&amp;A Build (B)'!R55/1000)*1000</f>
        <v>650.12609785164591</v>
      </c>
      <c r="K200" s="473">
        <f ca="1">('D&amp;A Build (B)'!S55/1000)*1000</f>
        <v>795.07928092072518</v>
      </c>
      <c r="L200" s="473">
        <f ca="1">('D&amp;A Build (B)'!T55/1000)*1000</f>
        <v>874.21127410173199</v>
      </c>
      <c r="M200" s="473">
        <f ca="1">('D&amp;A Build (B)'!U55/1000)*1000</f>
        <v>1061.4451610873375</v>
      </c>
      <c r="N200" s="473">
        <f ca="1">('D&amp;A Build (B)'!V55/1000)*1000</f>
        <v>1293.4372138319081</v>
      </c>
      <c r="O200" s="473">
        <f ca="1">('D&amp;A Build (B)'!W55/1000)*1000</f>
        <v>1407.2396881778022</v>
      </c>
      <c r="P200" s="473">
        <f ca="1">('D&amp;A Build (B)'!X55/1000)*1000</f>
        <v>1611.5491049448246</v>
      </c>
      <c r="Q200" s="473">
        <f ca="1">('D&amp;A Build (B)'!Y55/1000)*1000</f>
        <v>1788.4591386263726</v>
      </c>
      <c r="R200" s="473">
        <f ca="1">('D&amp;A Build (B)'!Z55/1000)*1000</f>
        <v>1925.7905945610571</v>
      </c>
      <c r="S200" s="473">
        <f ca="1">('D&amp;A Build (B)'!AA55/1000)*1000</f>
        <v>2009.2058244271027</v>
      </c>
      <c r="T200" s="473">
        <f ca="1">('D&amp;A Build (B)'!AB55/1000)*1000</f>
        <v>2024.0137910112362</v>
      </c>
      <c r="U200" s="473">
        <f ca="1">('D&amp;A Build (B)'!AC55/1000)*1000</f>
        <v>1974.8434967424832</v>
      </c>
      <c r="W200" s="175"/>
      <c r="X200" s="175"/>
    </row>
    <row r="201" spans="2:24" s="18" customFormat="1" ht="13.5" customHeight="1">
      <c r="B201" s="444" t="s">
        <v>649</v>
      </c>
      <c r="C201" s="277"/>
      <c r="D201" s="472">
        <f>('D&amp;A Build (B)'!L56/1000)*1000</f>
        <v>4.4213999999999993</v>
      </c>
      <c r="E201" s="472">
        <f>('D&amp;A Build (B)'!M56/1000)*1000</f>
        <v>5.4723999999999995</v>
      </c>
      <c r="F201" s="472">
        <f>('D&amp;A Build (B)'!N56/1000)*1000</f>
        <v>7.1861999999999995</v>
      </c>
      <c r="G201" s="472">
        <f>('D&amp;A Build (B)'!O56/1000)*1000</f>
        <v>8.2072000000000003</v>
      </c>
      <c r="H201" s="472">
        <f>('D&amp;A Build (B)'!P56/1000)*1000</f>
        <v>8.7561</v>
      </c>
      <c r="I201" s="472">
        <f>('D&amp;A Build (B)'!Q56/1000)*1000</f>
        <v>9.2582000000000004</v>
      </c>
      <c r="J201" s="472">
        <f ca="1">('D&amp;A Build (B)'!R56/1000)*1000</f>
        <v>11.986449691609048</v>
      </c>
      <c r="K201" s="472">
        <f ca="1">('D&amp;A Build (B)'!S56/1000)*1000</f>
        <v>14.658968211074166</v>
      </c>
      <c r="L201" s="472">
        <f ca="1">('D&amp;A Build (B)'!T56/1000)*1000</f>
        <v>16.117933876958464</v>
      </c>
      <c r="M201" s="472">
        <f ca="1">('D&amp;A Build (B)'!U56/1000)*1000</f>
        <v>19.569986600781743</v>
      </c>
      <c r="N201" s="472">
        <f ca="1">('D&amp;A Build (B)'!V56/1000)*1000</f>
        <v>23.84725077809286</v>
      </c>
      <c r="O201" s="472">
        <f ca="1">('D&amp;A Build (B)'!W56/1000)*1000</f>
        <v>25.945440095573488</v>
      </c>
      <c r="P201" s="472">
        <f ca="1">('D&amp;A Build (B)'!X56/1000)*1000</f>
        <v>29.712316327265285</v>
      </c>
      <c r="Q201" s="472">
        <f ca="1">('D&amp;A Build (B)'!Y56/1000)*1000</f>
        <v>32.974026979509588</v>
      </c>
      <c r="R201" s="472">
        <f ca="1">('D&amp;A Build (B)'!Z56/1000)*1000</f>
        <v>35.506022838583917</v>
      </c>
      <c r="S201" s="472">
        <f ca="1">('D&amp;A Build (B)'!AA56/1000)*1000</f>
        <v>37.043959032204498</v>
      </c>
      <c r="T201" s="472">
        <f ca="1">('D&amp;A Build (B)'!AB56/1000)*1000</f>
        <v>37.316975216422108</v>
      </c>
      <c r="U201" s="472">
        <f ca="1">('D&amp;A Build (B)'!AC56/1000)*1000</f>
        <v>36.410416841790436</v>
      </c>
      <c r="W201" s="175"/>
      <c r="X201" s="175"/>
    </row>
    <row r="202" spans="2:24" s="18" customFormat="1" ht="11.25" customHeight="1">
      <c r="B202" s="455" t="s">
        <v>650</v>
      </c>
      <c r="C202" s="277"/>
      <c r="D202" s="456">
        <f>SUM(D200:D201)</f>
        <v>288.23884403669723</v>
      </c>
      <c r="E202" s="456">
        <f t="shared" ref="E202:U202" si="110">SUM(E200:E201)</f>
        <v>299.62139633027527</v>
      </c>
      <c r="F202" s="456">
        <f t="shared" si="110"/>
        <v>324.4399376146788</v>
      </c>
      <c r="G202" s="456">
        <f t="shared" si="110"/>
        <v>409.83407798165132</v>
      </c>
      <c r="H202" s="456">
        <f t="shared" si="110"/>
        <v>452.68155321100926</v>
      </c>
      <c r="I202" s="456">
        <f t="shared" si="110"/>
        <v>511.4083440366972</v>
      </c>
      <c r="J202" s="456">
        <f t="shared" ca="1" si="110"/>
        <v>662.112547543255</v>
      </c>
      <c r="K202" s="456">
        <f t="shared" ca="1" si="110"/>
        <v>809.73824913179931</v>
      </c>
      <c r="L202" s="456">
        <f t="shared" ca="1" si="110"/>
        <v>890.32920797869042</v>
      </c>
      <c r="M202" s="456">
        <f t="shared" ca="1" si="110"/>
        <v>1081.0151476881192</v>
      </c>
      <c r="N202" s="456">
        <f t="shared" ca="1" si="110"/>
        <v>1317.2844646100009</v>
      </c>
      <c r="O202" s="456">
        <f t="shared" ca="1" si="110"/>
        <v>1433.1851282733758</v>
      </c>
      <c r="P202" s="456">
        <f t="shared" ca="1" si="110"/>
        <v>1641.26142127209</v>
      </c>
      <c r="Q202" s="456">
        <f t="shared" ca="1" si="110"/>
        <v>1821.4331656058821</v>
      </c>
      <c r="R202" s="456">
        <f t="shared" ca="1" si="110"/>
        <v>1961.296617399641</v>
      </c>
      <c r="S202" s="456">
        <f t="shared" ca="1" si="110"/>
        <v>2046.2497834593073</v>
      </c>
      <c r="T202" s="456">
        <f t="shared" ca="1" si="110"/>
        <v>2061.3307662276584</v>
      </c>
      <c r="U202" s="456">
        <f t="shared" ca="1" si="110"/>
        <v>2011.2539135842737</v>
      </c>
      <c r="W202" s="175"/>
      <c r="X202" s="175"/>
    </row>
    <row r="203" spans="2:24" s="18" customFormat="1" ht="11.25" customHeight="1">
      <c r="B203" s="224"/>
      <c r="C203" s="277"/>
      <c r="E203" s="286"/>
      <c r="F203" s="276"/>
      <c r="G203" s="54"/>
      <c r="H203" s="54"/>
      <c r="J203" s="174"/>
      <c r="K203" s="174"/>
      <c r="L203" s="174"/>
      <c r="M203" s="174"/>
      <c r="N203" s="174"/>
      <c r="O203" s="106"/>
      <c r="P203" s="106"/>
      <c r="Q203" s="106"/>
      <c r="R203" s="106"/>
      <c r="S203" s="106"/>
      <c r="T203" s="106"/>
      <c r="U203" s="106"/>
      <c r="W203" s="175"/>
      <c r="X203" s="175"/>
    </row>
    <row r="204" spans="2:24" ht="11.25" customHeight="1">
      <c r="B204" s="41"/>
      <c r="D204" s="47"/>
      <c r="E204" s="211"/>
      <c r="F204" s="211"/>
      <c r="G204" s="211"/>
      <c r="H204" s="211"/>
      <c r="I204" s="211"/>
      <c r="J204" s="211"/>
      <c r="K204" s="211"/>
      <c r="L204" s="211"/>
      <c r="M204" s="211"/>
      <c r="N204" s="211"/>
      <c r="O204" s="211"/>
      <c r="P204" s="211"/>
      <c r="Q204" s="211"/>
      <c r="R204" s="211"/>
      <c r="S204" s="211"/>
      <c r="T204" s="211"/>
      <c r="U204" s="211"/>
    </row>
    <row r="205" spans="2:24" ht="11.25" customHeight="1">
      <c r="B205" s="65" t="s">
        <v>63</v>
      </c>
    </row>
    <row r="206" spans="2:24" ht="11.25" customHeight="1">
      <c r="B206" s="6" t="s">
        <v>63</v>
      </c>
      <c r="D206" s="99">
        <v>43465</v>
      </c>
      <c r="E206" s="100">
        <f>EOMONTH(D206,12)</f>
        <v>43830</v>
      </c>
      <c r="F206" s="100">
        <f t="shared" ref="F206:U206" si="111">EOMONTH(E206,12)</f>
        <v>44196</v>
      </c>
      <c r="G206" s="100">
        <f t="shared" si="111"/>
        <v>44561</v>
      </c>
      <c r="H206" s="100">
        <f t="shared" si="111"/>
        <v>44926</v>
      </c>
      <c r="I206" s="100">
        <f t="shared" si="111"/>
        <v>45291</v>
      </c>
      <c r="J206" s="100">
        <f t="shared" si="111"/>
        <v>45657</v>
      </c>
      <c r="K206" s="100">
        <f t="shared" si="111"/>
        <v>46022</v>
      </c>
      <c r="L206" s="100">
        <f t="shared" si="111"/>
        <v>46387</v>
      </c>
      <c r="M206" s="100">
        <f t="shared" si="111"/>
        <v>46752</v>
      </c>
      <c r="N206" s="100">
        <f t="shared" si="111"/>
        <v>47118</v>
      </c>
      <c r="O206" s="100">
        <f t="shared" si="111"/>
        <v>47483</v>
      </c>
      <c r="P206" s="100">
        <f t="shared" si="111"/>
        <v>47848</v>
      </c>
      <c r="Q206" s="100">
        <f t="shared" si="111"/>
        <v>48213</v>
      </c>
      <c r="R206" s="100">
        <f t="shared" si="111"/>
        <v>48579</v>
      </c>
      <c r="S206" s="100">
        <f t="shared" si="111"/>
        <v>48944</v>
      </c>
      <c r="T206" s="100">
        <f t="shared" si="111"/>
        <v>49309</v>
      </c>
      <c r="U206" s="100">
        <f t="shared" si="111"/>
        <v>49674</v>
      </c>
    </row>
    <row r="207" spans="2:24" ht="11.25" customHeight="1">
      <c r="B207" s="6" t="s">
        <v>110</v>
      </c>
      <c r="D207" s="99"/>
      <c r="E207" s="100"/>
      <c r="F207" s="100"/>
      <c r="G207" s="100"/>
      <c r="H207" s="100"/>
      <c r="I207" s="100"/>
      <c r="J207" s="100">
        <f ca="1">TODAY()</f>
        <v>45796</v>
      </c>
      <c r="K207" s="100">
        <f>K206</f>
        <v>46022</v>
      </c>
      <c r="L207" s="100">
        <f t="shared" ref="L207:U207" si="112">L206</f>
        <v>46387</v>
      </c>
      <c r="M207" s="100">
        <f t="shared" si="112"/>
        <v>46752</v>
      </c>
      <c r="N207" s="100">
        <f t="shared" si="112"/>
        <v>47118</v>
      </c>
      <c r="O207" s="100">
        <f t="shared" si="112"/>
        <v>47483</v>
      </c>
      <c r="P207" s="100">
        <f t="shared" si="112"/>
        <v>47848</v>
      </c>
      <c r="Q207" s="100">
        <f t="shared" si="112"/>
        <v>48213</v>
      </c>
      <c r="R207" s="100">
        <f t="shared" si="112"/>
        <v>48579</v>
      </c>
      <c r="S207" s="100">
        <f t="shared" si="112"/>
        <v>48944</v>
      </c>
      <c r="T207" s="100">
        <f t="shared" si="112"/>
        <v>49309</v>
      </c>
      <c r="U207" s="100">
        <f t="shared" si="112"/>
        <v>49674</v>
      </c>
    </row>
    <row r="209" spans="2:21" ht="11.25" customHeight="1">
      <c r="B209" s="65" t="s">
        <v>202</v>
      </c>
    </row>
    <row r="210" spans="2:21" ht="11.25" customHeight="1">
      <c r="B210" s="2" t="s">
        <v>43</v>
      </c>
      <c r="K210" s="121">
        <f t="shared" ref="K210:U210" ca="1" si="113">YEARFRAC($J207,K207)</f>
        <v>0.6166666666666667</v>
      </c>
      <c r="L210" s="121">
        <f t="shared" ca="1" si="113"/>
        <v>1.6166666666666667</v>
      </c>
      <c r="M210" s="121">
        <f t="shared" ca="1" si="113"/>
        <v>2.6166666666666667</v>
      </c>
      <c r="N210" s="121">
        <f t="shared" ca="1" si="113"/>
        <v>3.6166666666666667</v>
      </c>
      <c r="O210" s="121">
        <f t="shared" ca="1" si="113"/>
        <v>4.6166666666666663</v>
      </c>
      <c r="P210" s="121">
        <f t="shared" ca="1" si="113"/>
        <v>5.6166666666666663</v>
      </c>
      <c r="Q210" s="121">
        <f t="shared" ca="1" si="113"/>
        <v>6.6166666666666663</v>
      </c>
      <c r="R210" s="121">
        <f t="shared" ca="1" si="113"/>
        <v>7.6166666666666663</v>
      </c>
      <c r="S210" s="121">
        <f t="shared" ca="1" si="113"/>
        <v>8.6166666666666671</v>
      </c>
      <c r="T210" s="121">
        <f t="shared" ca="1" si="113"/>
        <v>9.6166666666666671</v>
      </c>
      <c r="U210" s="121">
        <f t="shared" ca="1" si="113"/>
        <v>10.616666666666667</v>
      </c>
    </row>
    <row r="211" spans="2:21" ht="11.25" customHeight="1">
      <c r="B211" s="2" t="s">
        <v>59</v>
      </c>
      <c r="K211" s="27">
        <f t="shared" ref="K211:U211" ca="1" si="114">K48*(1-K42)-K58+K78+K77+K76+K50</f>
        <v>938.65897479437717</v>
      </c>
      <c r="L211" s="27">
        <f t="shared" ca="1" si="114"/>
        <v>1033.6929695981173</v>
      </c>
      <c r="M211" s="27">
        <f t="shared" ca="1" si="114"/>
        <v>1278.8781836094424</v>
      </c>
      <c r="N211" s="27">
        <f t="shared" ca="1" si="114"/>
        <v>1541.2968955573651</v>
      </c>
      <c r="O211" s="27">
        <f t="shared" ca="1" si="114"/>
        <v>1939.7889545627027</v>
      </c>
      <c r="P211" s="27">
        <f t="shared" ca="1" si="114"/>
        <v>2499.877427895452</v>
      </c>
      <c r="Q211" s="27">
        <f t="shared" ca="1" si="114"/>
        <v>3094.0350745711667</v>
      </c>
      <c r="R211" s="27">
        <f t="shared" ca="1" si="114"/>
        <v>3693.9096368541686</v>
      </c>
      <c r="S211" s="27">
        <f t="shared" ca="1" si="114"/>
        <v>4260.7534616488419</v>
      </c>
      <c r="T211" s="27">
        <f t="shared" ca="1" si="114"/>
        <v>4752.6491192198928</v>
      </c>
      <c r="U211" s="27">
        <f t="shared" ca="1" si="114"/>
        <v>5147.4754032678002</v>
      </c>
    </row>
    <row r="212" spans="2:21" ht="13.5" customHeight="1">
      <c r="B212" s="2" t="s">
        <v>320</v>
      </c>
      <c r="K212" s="24" t="s">
        <v>51</v>
      </c>
      <c r="L212" s="24" t="s">
        <v>51</v>
      </c>
      <c r="M212" s="24" t="s">
        <v>51</v>
      </c>
      <c r="N212" s="24" t="s">
        <v>51</v>
      </c>
      <c r="O212" s="24" t="s">
        <v>51</v>
      </c>
      <c r="P212" s="24" t="s">
        <v>51</v>
      </c>
      <c r="Q212" s="24" t="s">
        <v>51</v>
      </c>
      <c r="R212" s="24" t="s">
        <v>51</v>
      </c>
      <c r="S212" s="24" t="s">
        <v>51</v>
      </c>
      <c r="T212" s="24">
        <f ca="1">T109*U211</f>
        <v>77212.131049017</v>
      </c>
      <c r="U212" s="24"/>
    </row>
    <row r="213" spans="2:21" ht="11.25" customHeight="1">
      <c r="B213" s="12" t="s">
        <v>441</v>
      </c>
      <c r="K213" s="27">
        <f t="shared" ref="K213:T213" ca="1" si="115">SUM(K211:K212)</f>
        <v>938.65897479437717</v>
      </c>
      <c r="L213" s="27">
        <f t="shared" ca="1" si="115"/>
        <v>1033.6929695981173</v>
      </c>
      <c r="M213" s="27">
        <f t="shared" ca="1" si="115"/>
        <v>1278.8781836094424</v>
      </c>
      <c r="N213" s="27">
        <f t="shared" ca="1" si="115"/>
        <v>1541.2968955573651</v>
      </c>
      <c r="O213" s="27">
        <f t="shared" ca="1" si="115"/>
        <v>1939.7889545627027</v>
      </c>
      <c r="P213" s="27">
        <f t="shared" ca="1" si="115"/>
        <v>2499.877427895452</v>
      </c>
      <c r="Q213" s="27">
        <f t="shared" ca="1" si="115"/>
        <v>3094.0350745711667</v>
      </c>
      <c r="R213" s="27">
        <f t="shared" ca="1" si="115"/>
        <v>3693.9096368541686</v>
      </c>
      <c r="S213" s="27">
        <f t="shared" ca="1" si="115"/>
        <v>4260.7534616488419</v>
      </c>
      <c r="T213" s="27">
        <f t="shared" ca="1" si="115"/>
        <v>81964.780168236888</v>
      </c>
    </row>
    <row r="214" spans="2:21" ht="11.25" customHeight="1">
      <c r="B214" s="2" t="s">
        <v>60</v>
      </c>
      <c r="D214" s="190">
        <f ca="1">F115</f>
        <v>0.14307280182838442</v>
      </c>
      <c r="E214" s="154" t="s">
        <v>76</v>
      </c>
      <c r="J214" s="27"/>
      <c r="K214" s="27">
        <f t="shared" ref="K214:T214" ca="1" si="116">K213/(1+$D$214)^K210</f>
        <v>864.36187706947749</v>
      </c>
      <c r="L214" s="27">
        <f t="shared" ca="1" si="116"/>
        <v>832.73235343154727</v>
      </c>
      <c r="M214" s="27">
        <f t="shared" ca="1" si="116"/>
        <v>901.29956861782784</v>
      </c>
      <c r="N214" s="27">
        <f t="shared" ca="1" si="116"/>
        <v>950.28176743459801</v>
      </c>
      <c r="O214" s="27">
        <f t="shared" ca="1" si="116"/>
        <v>1046.2770130008919</v>
      </c>
      <c r="P214" s="27">
        <f t="shared" ca="1" si="116"/>
        <v>1179.60614333186</v>
      </c>
      <c r="Q214" s="27">
        <f t="shared" ca="1" si="116"/>
        <v>1277.2315909347246</v>
      </c>
      <c r="R214" s="27">
        <f t="shared" ca="1" si="116"/>
        <v>1334.0029656096588</v>
      </c>
      <c r="S214" s="27">
        <f t="shared" ca="1" si="116"/>
        <v>1346.1177225086424</v>
      </c>
      <c r="T214" s="27">
        <f t="shared" ca="1" si="116"/>
        <v>22654.267465587411</v>
      </c>
    </row>
    <row r="215" spans="2:21" ht="11.25" customHeight="1">
      <c r="B215" s="2" t="s">
        <v>61</v>
      </c>
      <c r="J215" s="27">
        <f ca="1">SUM(J214:T214)</f>
        <v>32386.178467526639</v>
      </c>
    </row>
    <row r="216" spans="2:21" ht="11.25" customHeight="1">
      <c r="B216" s="2" t="s">
        <v>436</v>
      </c>
      <c r="J216" s="332">
        <f>-(D121+D122+D123)</f>
        <v>1167.1879999999999</v>
      </c>
    </row>
    <row r="217" spans="2:21" ht="11.25" customHeight="1">
      <c r="B217" s="12" t="s">
        <v>437</v>
      </c>
      <c r="J217" s="27">
        <f ca="1">J215+J216</f>
        <v>33553.366467526641</v>
      </c>
    </row>
    <row r="218" spans="2:21" ht="11.25" customHeight="1">
      <c r="B218" s="2" t="s">
        <v>438</v>
      </c>
      <c r="J218" s="332">
        <f>E125</f>
        <v>25.937639553429026</v>
      </c>
    </row>
    <row r="219" spans="2:21" ht="11.25" customHeight="1">
      <c r="B219" s="12" t="s">
        <v>439</v>
      </c>
      <c r="J219" s="27">
        <f ca="1">J217/J218</f>
        <v>1293.6168072815553</v>
      </c>
    </row>
    <row r="220" spans="2:21" ht="11.25" customHeight="1">
      <c r="B220" s="41" t="s">
        <v>440</v>
      </c>
      <c r="J220" s="122">
        <f ca="1">J219/E120-1</f>
        <v>-8.7093072857269416E-4</v>
      </c>
    </row>
  </sheetData>
  <pageMargins left="0.3" right="0.3" top="0.3" bottom="0.5" header="0.3" footer="0.3"/>
  <pageSetup scale="54" fitToHeight="3" orientation="portrait" r:id="rId1"/>
  <headerFooter>
    <oddFooter>Page &amp;P of &amp;N</oddFooter>
  </headerFooter>
  <rowBreaks count="1" manualBreakCount="1">
    <brk id="126" min="1" max="20" man="1"/>
  </rowBreaks>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FBCA6-E221-4A43-B27C-637BD53DC10B}">
  <sheetPr>
    <tabColor theme="7" tint="0.59999389629810485"/>
    <pageSetUpPr fitToPage="1"/>
  </sheetPr>
  <dimension ref="B1:AN188"/>
  <sheetViews>
    <sheetView view="pageBreakPreview" zoomScale="70" zoomScaleNormal="85" zoomScaleSheetLayoutView="70" workbookViewId="0">
      <pane xSplit="3" ySplit="7" topLeftCell="E8" activePane="bottomRight" state="frozen"/>
      <selection activeCell="J120" sqref="J120"/>
      <selection pane="topRight" activeCell="J120" sqref="J120"/>
      <selection pane="bottomLeft" activeCell="J120" sqref="J120"/>
      <selection pane="bottomRight" activeCell="J120" sqref="J120"/>
    </sheetView>
  </sheetViews>
  <sheetFormatPr defaultColWidth="9.140625" defaultRowHeight="11.25" outlineLevelRow="1" outlineLevelCol="1"/>
  <cols>
    <col min="1" max="1" width="2.42578125" style="444" customWidth="1"/>
    <col min="2" max="2" width="17.85546875" style="444" customWidth="1"/>
    <col min="3" max="3" width="2.42578125" style="444" customWidth="1"/>
    <col min="4" max="7" width="10.42578125" style="444" hidden="1" customWidth="1" outlineLevel="1"/>
    <col min="8" max="8" width="9.28515625" style="444" customWidth="1" collapsed="1"/>
    <col min="9" max="29" width="9.28515625" style="444" customWidth="1"/>
    <col min="30" max="16384" width="9.140625" style="444"/>
  </cols>
  <sheetData>
    <row r="1" spans="2:29">
      <c r="D1" s="444">
        <v>1000</v>
      </c>
    </row>
    <row r="2" spans="2:29" s="440" customFormat="1">
      <c r="B2" s="440" t="s">
        <v>114</v>
      </c>
      <c r="AC2" s="441">
        <f ca="1">+TODAY()</f>
        <v>45796</v>
      </c>
    </row>
    <row r="3" spans="2:29" s="442" customFormat="1">
      <c r="B3" s="442" t="s">
        <v>848</v>
      </c>
    </row>
    <row r="4" spans="2:29">
      <c r="B4" s="443" t="s">
        <v>111</v>
      </c>
    </row>
    <row r="5" spans="2:29">
      <c r="B5" s="443"/>
    </row>
    <row r="6" spans="2:29">
      <c r="B6" s="443"/>
      <c r="D6" s="445" t="s">
        <v>0</v>
      </c>
      <c r="E6" s="445"/>
      <c r="F6" s="445"/>
      <c r="G6" s="445" t="s">
        <v>0</v>
      </c>
      <c r="H6" s="445"/>
      <c r="I6" s="445"/>
      <c r="J6" s="445"/>
      <c r="K6" s="445"/>
      <c r="L6" s="445"/>
      <c r="M6" s="445"/>
      <c r="N6" s="445"/>
      <c r="O6" s="445"/>
      <c r="P6" s="445"/>
      <c r="Q6" s="445"/>
      <c r="R6" s="445"/>
      <c r="S6" s="445"/>
      <c r="T6" s="445"/>
      <c r="U6" s="445"/>
      <c r="V6" s="445"/>
      <c r="W6" s="445"/>
      <c r="X6" s="445"/>
      <c r="Y6" s="445"/>
      <c r="Z6" s="445"/>
      <c r="AA6" s="445"/>
      <c r="AB6" s="445"/>
      <c r="AC6" s="445"/>
    </row>
    <row r="7" spans="2:29" ht="13.5">
      <c r="D7" s="446" t="s">
        <v>171</v>
      </c>
      <c r="E7" s="446" t="s">
        <v>172</v>
      </c>
      <c r="F7" s="446" t="s">
        <v>153</v>
      </c>
      <c r="G7" s="446" t="s">
        <v>152</v>
      </c>
      <c r="H7" s="446" t="s">
        <v>151</v>
      </c>
      <c r="I7" s="446" t="s">
        <v>150</v>
      </c>
      <c r="J7" s="446" t="s">
        <v>10</v>
      </c>
      <c r="K7" s="446" t="s">
        <v>11</v>
      </c>
      <c r="L7" s="446" t="s">
        <v>1</v>
      </c>
      <c r="M7" s="446" t="s">
        <v>2</v>
      </c>
      <c r="N7" s="446" t="s">
        <v>3</v>
      </c>
      <c r="O7" s="446" t="s">
        <v>4</v>
      </c>
      <c r="P7" s="446" t="s">
        <v>5</v>
      </c>
      <c r="Q7" s="446" t="s">
        <v>68</v>
      </c>
      <c r="R7" s="446" t="s">
        <v>6</v>
      </c>
      <c r="S7" s="446" t="s">
        <v>22</v>
      </c>
      <c r="T7" s="446" t="s">
        <v>23</v>
      </c>
      <c r="U7" s="446" t="s">
        <v>24</v>
      </c>
      <c r="V7" s="446" t="s">
        <v>25</v>
      </c>
      <c r="W7" s="446" t="s">
        <v>26</v>
      </c>
      <c r="X7" s="446" t="s">
        <v>27</v>
      </c>
      <c r="Y7" s="446" t="s">
        <v>38</v>
      </c>
      <c r="Z7" s="446" t="s">
        <v>39</v>
      </c>
      <c r="AA7" s="446" t="s">
        <v>40</v>
      </c>
      <c r="AB7" s="446" t="s">
        <v>41</v>
      </c>
      <c r="AC7" s="446" t="s">
        <v>112</v>
      </c>
    </row>
    <row r="8" spans="2:29">
      <c r="B8" s="447" t="s">
        <v>636</v>
      </c>
      <c r="C8" s="448"/>
    </row>
    <row r="10" spans="2:29">
      <c r="B10" s="449" t="s">
        <v>637</v>
      </c>
    </row>
    <row r="11" spans="2:29">
      <c r="B11" s="444" t="s">
        <v>638</v>
      </c>
      <c r="J11" s="475">
        <v>5.45</v>
      </c>
    </row>
    <row r="12" spans="2:29">
      <c r="B12" s="450" t="s">
        <v>679</v>
      </c>
      <c r="J12" s="476">
        <f>J11</f>
        <v>5.45</v>
      </c>
    </row>
    <row r="14" spans="2:29">
      <c r="B14" s="449" t="s">
        <v>639</v>
      </c>
      <c r="L14" s="451"/>
      <c r="M14" s="451"/>
      <c r="N14" s="451"/>
      <c r="O14" s="451"/>
      <c r="P14" s="451"/>
      <c r="Q14" s="451"/>
    </row>
    <row r="15" spans="2:29">
      <c r="B15" s="444" t="s">
        <v>640</v>
      </c>
      <c r="D15" s="451"/>
      <c r="E15" s="451">
        <f>+E153</f>
        <v>219.05254781499644</v>
      </c>
      <c r="F15" s="451">
        <f>+F153</f>
        <v>257.6891</v>
      </c>
      <c r="G15" s="451">
        <f>+G153</f>
        <v>333.80220000000003</v>
      </c>
      <c r="H15" s="451">
        <f t="shared" ref="G15:P16" si="0">+H153</f>
        <v>224.01870000000002</v>
      </c>
      <c r="I15" s="451">
        <f t="shared" si="0"/>
        <v>219.30339999999998</v>
      </c>
      <c r="J15" s="451">
        <f t="shared" si="0"/>
        <v>365.82759999999996</v>
      </c>
      <c r="K15" s="451">
        <f t="shared" si="0"/>
        <v>322.4939</v>
      </c>
      <c r="L15" s="451">
        <f t="shared" si="0"/>
        <v>300.02440000000001</v>
      </c>
      <c r="M15" s="451">
        <f t="shared" si="0"/>
        <v>564.28300000000002</v>
      </c>
      <c r="N15" s="451">
        <f t="shared" si="0"/>
        <v>525.72069999999997</v>
      </c>
      <c r="O15" s="451">
        <f t="shared" si="0"/>
        <v>835.4063000000001</v>
      </c>
      <c r="P15" s="451">
        <f t="shared" si="0"/>
        <v>1139.8921</v>
      </c>
      <c r="Q15" s="451">
        <f>+Q153</f>
        <v>897.51880000000006</v>
      </c>
      <c r="R15" s="452">
        <f ca="1">'Simple Model (B)'!J58</f>
        <v>990.18415175882456</v>
      </c>
      <c r="S15" s="452">
        <f ca="1">'Simple Model (B)'!K58</f>
        <v>1243.6496987444702</v>
      </c>
      <c r="T15" s="452">
        <f ca="1">'Simple Model (B)'!L58</f>
        <v>1492.5385520032753</v>
      </c>
      <c r="U15" s="452">
        <f ca="1">'Simple Model (B)'!M58</f>
        <v>1744.5206237112839</v>
      </c>
      <c r="V15" s="452">
        <f ca="1">'Simple Model (B)'!N58</f>
        <v>2011.2082261951823</v>
      </c>
      <c r="W15" s="452">
        <f ca="1">'Simple Model (B)'!O58</f>
        <v>2178.0521338365261</v>
      </c>
      <c r="X15" s="452">
        <f ca="1">'Simple Model (B)'!P58</f>
        <v>2302.0767718914035</v>
      </c>
      <c r="Y15" s="452">
        <f ca="1">'Simple Model (B)'!Q58</f>
        <v>2352.6885855110522</v>
      </c>
      <c r="Z15" s="452">
        <f ca="1">'Simple Model (B)'!R58</f>
        <v>2320.8232475419222</v>
      </c>
      <c r="AA15" s="452">
        <f ca="1">'Simple Model (B)'!S58</f>
        <v>2205.1378773955876</v>
      </c>
      <c r="AB15" s="452">
        <f ca="1">'Simple Model (B)'!T58</f>
        <v>2013.3038943889749</v>
      </c>
      <c r="AC15" s="452">
        <f ca="1">'Simple Model (B)'!U58</f>
        <v>1759.6959398346662</v>
      </c>
    </row>
    <row r="16" spans="2:29" ht="13.5">
      <c r="B16" s="444" t="s">
        <v>641</v>
      </c>
      <c r="D16" s="453"/>
      <c r="E16" s="453">
        <f>+E154</f>
        <v>-2.3146426544446541</v>
      </c>
      <c r="F16" s="453">
        <f>+F154</f>
        <v>-2.7229000000000001</v>
      </c>
      <c r="G16" s="453">
        <f t="shared" si="0"/>
        <v>-3.7131999999999996</v>
      </c>
      <c r="H16" s="453">
        <f t="shared" si="0"/>
        <v>-2.8826999999999998</v>
      </c>
      <c r="I16" s="453">
        <f t="shared" si="0"/>
        <v>-6.7846000000000002</v>
      </c>
      <c r="J16" s="453">
        <f t="shared" si="0"/>
        <v>-3.5768</v>
      </c>
      <c r="K16" s="453">
        <f t="shared" si="0"/>
        <v>-9.9677999999999987</v>
      </c>
      <c r="L16" s="453">
        <f t="shared" si="0"/>
        <v>-7.1741999999999999</v>
      </c>
      <c r="M16" s="453">
        <f t="shared" si="0"/>
        <v>-18.5839</v>
      </c>
      <c r="N16" s="453">
        <f t="shared" si="0"/>
        <v>-7.1728999999999994</v>
      </c>
      <c r="O16" s="453">
        <f t="shared" si="0"/>
        <v>-26.566700000000001</v>
      </c>
      <c r="P16" s="453">
        <f t="shared" si="0"/>
        <v>-27.792400000000001</v>
      </c>
      <c r="Q16" s="453">
        <f>+Q154</f>
        <v>-32.436700000000002</v>
      </c>
      <c r="R16" s="454">
        <v>0</v>
      </c>
      <c r="S16" s="454">
        <v>0</v>
      </c>
      <c r="T16" s="454">
        <v>0</v>
      </c>
      <c r="U16" s="454">
        <v>0</v>
      </c>
      <c r="V16" s="454">
        <v>0</v>
      </c>
      <c r="W16" s="454">
        <v>0</v>
      </c>
      <c r="X16" s="454">
        <v>0</v>
      </c>
      <c r="Y16" s="454">
        <v>0</v>
      </c>
      <c r="Z16" s="454">
        <v>0</v>
      </c>
      <c r="AA16" s="454">
        <v>0</v>
      </c>
      <c r="AB16" s="454">
        <v>0</v>
      </c>
      <c r="AC16" s="454">
        <v>0</v>
      </c>
    </row>
    <row r="17" spans="2:36" s="440" customFormat="1">
      <c r="B17" s="455" t="s">
        <v>642</v>
      </c>
      <c r="D17" s="456"/>
      <c r="E17" s="456">
        <f t="shared" ref="E17:Q17" si="1">SUM(E15:E16)</f>
        <v>216.7379051605518</v>
      </c>
      <c r="F17" s="456">
        <f t="shared" si="1"/>
        <v>254.96619999999999</v>
      </c>
      <c r="G17" s="456">
        <f t="shared" si="1"/>
        <v>330.08900000000006</v>
      </c>
      <c r="H17" s="456">
        <f t="shared" si="1"/>
        <v>221.13600000000002</v>
      </c>
      <c r="I17" s="456">
        <f t="shared" si="1"/>
        <v>212.51879999999997</v>
      </c>
      <c r="J17" s="456">
        <f t="shared" si="1"/>
        <v>362.25079999999997</v>
      </c>
      <c r="K17" s="456">
        <f t="shared" si="1"/>
        <v>312.52609999999999</v>
      </c>
      <c r="L17" s="456">
        <f t="shared" si="1"/>
        <v>292.85020000000003</v>
      </c>
      <c r="M17" s="456">
        <f t="shared" si="1"/>
        <v>545.69910000000004</v>
      </c>
      <c r="N17" s="456">
        <f t="shared" si="1"/>
        <v>518.54779999999994</v>
      </c>
      <c r="O17" s="456">
        <f t="shared" si="1"/>
        <v>808.83960000000013</v>
      </c>
      <c r="P17" s="456">
        <f t="shared" si="1"/>
        <v>1112.0997</v>
      </c>
      <c r="Q17" s="456">
        <f t="shared" si="1"/>
        <v>865.08210000000008</v>
      </c>
      <c r="R17" s="456">
        <f ca="1">SUM(R15:R16)</f>
        <v>990.18415175882456</v>
      </c>
      <c r="S17" s="456">
        <f t="shared" ref="S17:AC17" ca="1" si="2">SUM(S15:S16)</f>
        <v>1243.6496987444702</v>
      </c>
      <c r="T17" s="456">
        <f t="shared" ca="1" si="2"/>
        <v>1492.5385520032753</v>
      </c>
      <c r="U17" s="456">
        <f t="shared" ca="1" si="2"/>
        <v>1744.5206237112839</v>
      </c>
      <c r="V17" s="456">
        <f t="shared" ca="1" si="2"/>
        <v>2011.2082261951823</v>
      </c>
      <c r="W17" s="456">
        <f t="shared" ca="1" si="2"/>
        <v>2178.0521338365261</v>
      </c>
      <c r="X17" s="456">
        <f t="shared" ca="1" si="2"/>
        <v>2302.0767718914035</v>
      </c>
      <c r="Y17" s="456">
        <f t="shared" ca="1" si="2"/>
        <v>2352.6885855110522</v>
      </c>
      <c r="Z17" s="456">
        <f t="shared" ca="1" si="2"/>
        <v>2320.8232475419222</v>
      </c>
      <c r="AA17" s="456">
        <f t="shared" ca="1" si="2"/>
        <v>2205.1378773955876</v>
      </c>
      <c r="AB17" s="456">
        <f t="shared" ca="1" si="2"/>
        <v>2013.3038943889749</v>
      </c>
      <c r="AC17" s="456">
        <f t="shared" ca="1" si="2"/>
        <v>1759.6959398346662</v>
      </c>
      <c r="AD17" s="456"/>
    </row>
    <row r="18" spans="2:36" ht="13.5">
      <c r="B18" s="444" t="s">
        <v>643</v>
      </c>
      <c r="D18" s="453"/>
      <c r="E18" s="453">
        <f>+E19-E17</f>
        <v>-43.285205160551527</v>
      </c>
      <c r="F18" s="453">
        <f>+F19-F17</f>
        <v>-5.0238000000000795</v>
      </c>
      <c r="G18" s="453">
        <f t="shared" ref="G18:Q18" si="3">+G19-G17</f>
        <v>-162.29740000000027</v>
      </c>
      <c r="H18" s="453">
        <f t="shared" si="3"/>
        <v>164.99440000000044</v>
      </c>
      <c r="I18" s="453">
        <f t="shared" si="3"/>
        <v>-42.822200000000208</v>
      </c>
      <c r="J18" s="453">
        <f t="shared" si="3"/>
        <v>-201.24050000000005</v>
      </c>
      <c r="K18" s="453">
        <f t="shared" si="3"/>
        <v>214.7504999999997</v>
      </c>
      <c r="L18" s="453">
        <f t="shared" si="3"/>
        <v>-6.271899999999448</v>
      </c>
      <c r="M18" s="453">
        <f t="shared" si="3"/>
        <v>-362.24640000000022</v>
      </c>
      <c r="N18" s="453">
        <f t="shared" si="3"/>
        <v>300.45859999999936</v>
      </c>
      <c r="O18" s="453">
        <f t="shared" si="3"/>
        <v>-369.65419999999892</v>
      </c>
      <c r="P18" s="453">
        <f t="shared" si="3"/>
        <v>-731.58340000000067</v>
      </c>
      <c r="Q18" s="453">
        <f t="shared" si="3"/>
        <v>419.5340999999994</v>
      </c>
      <c r="R18" s="454">
        <f ca="1">-0.1*R17</f>
        <v>-99.018415175882467</v>
      </c>
      <c r="S18" s="454">
        <f t="shared" ref="S18:AC18" ca="1" si="4">-0.1*S17</f>
        <v>-124.36496987444703</v>
      </c>
      <c r="T18" s="454">
        <f t="shared" ca="1" si="4"/>
        <v>-149.25385520032754</v>
      </c>
      <c r="U18" s="454">
        <f t="shared" ca="1" si="4"/>
        <v>-174.45206237112839</v>
      </c>
      <c r="V18" s="454">
        <f t="shared" ca="1" si="4"/>
        <v>-201.12082261951824</v>
      </c>
      <c r="W18" s="454">
        <f t="shared" ca="1" si="4"/>
        <v>-217.80521338365261</v>
      </c>
      <c r="X18" s="454">
        <f t="shared" ca="1" si="4"/>
        <v>-230.20767718914036</v>
      </c>
      <c r="Y18" s="454">
        <f t="shared" ca="1" si="4"/>
        <v>-235.26885855110524</v>
      </c>
      <c r="Z18" s="454">
        <f t="shared" ca="1" si="4"/>
        <v>-232.08232475419223</v>
      </c>
      <c r="AA18" s="454">
        <f t="shared" ca="1" si="4"/>
        <v>-220.51378773955878</v>
      </c>
      <c r="AB18" s="454">
        <f t="shared" ca="1" si="4"/>
        <v>-201.3303894388975</v>
      </c>
      <c r="AC18" s="454">
        <f t="shared" ca="1" si="4"/>
        <v>-175.96959398346664</v>
      </c>
    </row>
    <row r="19" spans="2:36" s="440" customFormat="1">
      <c r="B19" s="455" t="s">
        <v>639</v>
      </c>
      <c r="D19" s="456"/>
      <c r="E19" s="456">
        <f>E150-D150</f>
        <v>173.45270000000028</v>
      </c>
      <c r="F19" s="456">
        <f t="shared" ref="F19:Q19" si="5">F150-E150</f>
        <v>249.94239999999991</v>
      </c>
      <c r="G19" s="456">
        <f t="shared" si="5"/>
        <v>167.79159999999979</v>
      </c>
      <c r="H19" s="456">
        <f t="shared" si="5"/>
        <v>386.13040000000046</v>
      </c>
      <c r="I19" s="456">
        <f t="shared" si="5"/>
        <v>169.69659999999976</v>
      </c>
      <c r="J19" s="456">
        <f t="shared" si="5"/>
        <v>161.01029999999992</v>
      </c>
      <c r="K19" s="456">
        <f t="shared" si="5"/>
        <v>527.27659999999969</v>
      </c>
      <c r="L19" s="456">
        <f t="shared" si="5"/>
        <v>286.57830000000058</v>
      </c>
      <c r="M19" s="456">
        <f t="shared" si="5"/>
        <v>183.45269999999982</v>
      </c>
      <c r="N19" s="456">
        <f t="shared" si="5"/>
        <v>819.0063999999993</v>
      </c>
      <c r="O19" s="456">
        <f t="shared" si="5"/>
        <v>439.18540000000121</v>
      </c>
      <c r="P19" s="456">
        <f>P150-O150</f>
        <v>380.51629999999932</v>
      </c>
      <c r="Q19" s="456">
        <f t="shared" si="5"/>
        <v>1284.6161999999995</v>
      </c>
      <c r="R19" s="456">
        <f ca="1">+SUM(R17:R18)</f>
        <v>891.16573658294215</v>
      </c>
      <c r="S19" s="456">
        <f t="shared" ref="S19:AC19" ca="1" si="6">+SUM(S17:S18)</f>
        <v>1119.2847288700232</v>
      </c>
      <c r="T19" s="456">
        <f t="shared" ca="1" si="6"/>
        <v>1343.2846968029478</v>
      </c>
      <c r="U19" s="456">
        <f t="shared" ca="1" si="6"/>
        <v>1570.0685613401554</v>
      </c>
      <c r="V19" s="456">
        <f t="shared" ca="1" si="6"/>
        <v>1810.087403575664</v>
      </c>
      <c r="W19" s="456">
        <f t="shared" ca="1" si="6"/>
        <v>1960.2469204528734</v>
      </c>
      <c r="X19" s="456">
        <f t="shared" ca="1" si="6"/>
        <v>2071.8690947022633</v>
      </c>
      <c r="Y19" s="456">
        <f t="shared" ca="1" si="6"/>
        <v>2117.4197269599472</v>
      </c>
      <c r="Z19" s="456">
        <f t="shared" ca="1" si="6"/>
        <v>2088.7409227877301</v>
      </c>
      <c r="AA19" s="456">
        <f t="shared" ca="1" si="6"/>
        <v>1984.6240896560289</v>
      </c>
      <c r="AB19" s="456">
        <f t="shared" ca="1" si="6"/>
        <v>1811.9735049500773</v>
      </c>
      <c r="AC19" s="456">
        <f t="shared" ca="1" si="6"/>
        <v>1583.7263458511995</v>
      </c>
      <c r="AD19" s="456"/>
    </row>
    <row r="20" spans="2:36">
      <c r="Q20" s="457"/>
    </row>
    <row r="21" spans="2:36">
      <c r="B21" s="449" t="s">
        <v>644</v>
      </c>
    </row>
    <row r="22" spans="2:36">
      <c r="B22" s="444" t="s">
        <v>172</v>
      </c>
      <c r="E22" s="451">
        <f>+E60/$J$11*0.5</f>
        <v>15.91309174311929</v>
      </c>
      <c r="F22" s="451">
        <f t="shared" ref="F22:AC34" si="7">+IF(E114&gt;0,MIN(F60/$J$11,E114),0)</f>
        <v>31.82618348623858</v>
      </c>
      <c r="G22" s="451">
        <f t="shared" si="7"/>
        <v>31.82618348623858</v>
      </c>
      <c r="H22" s="451">
        <f t="shared" si="7"/>
        <v>31.82618348623858</v>
      </c>
      <c r="I22" s="451">
        <f t="shared" si="7"/>
        <v>31.82618348623858</v>
      </c>
      <c r="J22" s="451">
        <f t="shared" si="7"/>
        <v>30.23487431192666</v>
      </c>
      <c r="K22" s="451">
        <f t="shared" si="7"/>
        <v>0</v>
      </c>
      <c r="L22" s="451">
        <f t="shared" si="7"/>
        <v>0</v>
      </c>
      <c r="M22" s="451">
        <f t="shared" si="7"/>
        <v>0</v>
      </c>
      <c r="N22" s="451">
        <f t="shared" si="7"/>
        <v>0</v>
      </c>
      <c r="O22" s="451">
        <f t="shared" si="7"/>
        <v>0</v>
      </c>
      <c r="P22" s="451">
        <f t="shared" si="7"/>
        <v>0</v>
      </c>
      <c r="Q22" s="451">
        <f t="shared" si="7"/>
        <v>0</v>
      </c>
      <c r="R22" s="451">
        <f t="shared" si="7"/>
        <v>0</v>
      </c>
      <c r="S22" s="451">
        <f t="shared" si="7"/>
        <v>0</v>
      </c>
      <c r="T22" s="451">
        <f t="shared" si="7"/>
        <v>0</v>
      </c>
      <c r="U22" s="451">
        <f t="shared" si="7"/>
        <v>0</v>
      </c>
      <c r="V22" s="451">
        <f t="shared" si="7"/>
        <v>0</v>
      </c>
      <c r="W22" s="451">
        <f t="shared" si="7"/>
        <v>0</v>
      </c>
      <c r="X22" s="451">
        <f t="shared" si="7"/>
        <v>0</v>
      </c>
      <c r="Y22" s="451">
        <f t="shared" si="7"/>
        <v>0</v>
      </c>
      <c r="Z22" s="451">
        <f t="shared" si="7"/>
        <v>0</v>
      </c>
      <c r="AA22" s="451">
        <f t="shared" si="7"/>
        <v>0</v>
      </c>
      <c r="AB22" s="451">
        <f t="shared" si="7"/>
        <v>0</v>
      </c>
      <c r="AC22" s="451">
        <f t="shared" si="7"/>
        <v>0</v>
      </c>
    </row>
    <row r="23" spans="2:36">
      <c r="B23" s="444" t="s">
        <v>153</v>
      </c>
      <c r="F23" s="451">
        <f>+F61/$J$11*0.5</f>
        <v>22.930495412844028</v>
      </c>
      <c r="G23" s="451">
        <f t="shared" si="7"/>
        <v>45.860990825688056</v>
      </c>
      <c r="H23" s="451">
        <f t="shared" si="7"/>
        <v>45.860990825688056</v>
      </c>
      <c r="I23" s="451">
        <f t="shared" si="7"/>
        <v>45.860990825688056</v>
      </c>
      <c r="J23" s="451">
        <f t="shared" si="7"/>
        <v>45.860990825688056</v>
      </c>
      <c r="K23" s="451">
        <f t="shared" si="7"/>
        <v>43.567941284403673</v>
      </c>
      <c r="L23" s="451">
        <f t="shared" si="7"/>
        <v>0</v>
      </c>
      <c r="M23" s="451">
        <f t="shared" si="7"/>
        <v>0</v>
      </c>
      <c r="N23" s="451">
        <f t="shared" si="7"/>
        <v>0</v>
      </c>
      <c r="O23" s="451">
        <f t="shared" si="7"/>
        <v>0</v>
      </c>
      <c r="P23" s="451">
        <f t="shared" si="7"/>
        <v>0</v>
      </c>
      <c r="Q23" s="451">
        <f t="shared" si="7"/>
        <v>0</v>
      </c>
      <c r="R23" s="451">
        <f t="shared" si="7"/>
        <v>0</v>
      </c>
      <c r="S23" s="451">
        <f t="shared" si="7"/>
        <v>0</v>
      </c>
      <c r="T23" s="451">
        <f t="shared" si="7"/>
        <v>0</v>
      </c>
      <c r="U23" s="451">
        <f t="shared" si="7"/>
        <v>0</v>
      </c>
      <c r="V23" s="451">
        <f t="shared" si="7"/>
        <v>0</v>
      </c>
      <c r="W23" s="451">
        <f t="shared" si="7"/>
        <v>0</v>
      </c>
      <c r="X23" s="451">
        <f t="shared" si="7"/>
        <v>0</v>
      </c>
      <c r="Y23" s="451">
        <f t="shared" si="7"/>
        <v>0</v>
      </c>
      <c r="Z23" s="451">
        <f t="shared" si="7"/>
        <v>0</v>
      </c>
      <c r="AA23" s="451">
        <f t="shared" si="7"/>
        <v>0</v>
      </c>
      <c r="AB23" s="451">
        <f t="shared" si="7"/>
        <v>0</v>
      </c>
      <c r="AC23" s="451">
        <f t="shared" si="7"/>
        <v>0</v>
      </c>
    </row>
    <row r="24" spans="2:36">
      <c r="B24" s="444" t="s">
        <v>152</v>
      </c>
      <c r="G24" s="451">
        <f>+G62/$J$11*0.5</f>
        <v>15.393724770642182</v>
      </c>
      <c r="H24" s="451">
        <f t="shared" si="7"/>
        <v>30.787449541284364</v>
      </c>
      <c r="I24" s="451">
        <f t="shared" si="7"/>
        <v>30.787449541284364</v>
      </c>
      <c r="J24" s="451">
        <f t="shared" si="7"/>
        <v>30.787449541284364</v>
      </c>
      <c r="K24" s="451">
        <f t="shared" si="7"/>
        <v>30.787449541284364</v>
      </c>
      <c r="L24" s="451">
        <f t="shared" si="7"/>
        <v>29.248077064220155</v>
      </c>
      <c r="M24" s="451">
        <f t="shared" si="7"/>
        <v>0</v>
      </c>
      <c r="N24" s="451">
        <f t="shared" si="7"/>
        <v>0</v>
      </c>
      <c r="O24" s="451">
        <f t="shared" si="7"/>
        <v>0</v>
      </c>
      <c r="P24" s="451">
        <f t="shared" si="7"/>
        <v>0</v>
      </c>
      <c r="Q24" s="451">
        <f t="shared" si="7"/>
        <v>0</v>
      </c>
      <c r="R24" s="451">
        <f t="shared" si="7"/>
        <v>0</v>
      </c>
      <c r="S24" s="451">
        <f t="shared" si="7"/>
        <v>0</v>
      </c>
      <c r="T24" s="451">
        <f t="shared" si="7"/>
        <v>0</v>
      </c>
      <c r="U24" s="451">
        <f t="shared" si="7"/>
        <v>0</v>
      </c>
      <c r="V24" s="451">
        <f t="shared" si="7"/>
        <v>0</v>
      </c>
      <c r="W24" s="451">
        <f t="shared" si="7"/>
        <v>0</v>
      </c>
      <c r="X24" s="451">
        <f t="shared" si="7"/>
        <v>0</v>
      </c>
      <c r="Y24" s="451">
        <f t="shared" si="7"/>
        <v>0</v>
      </c>
      <c r="Z24" s="451">
        <f t="shared" si="7"/>
        <v>0</v>
      </c>
      <c r="AA24" s="451">
        <f t="shared" si="7"/>
        <v>0</v>
      </c>
      <c r="AB24" s="451">
        <f t="shared" si="7"/>
        <v>0</v>
      </c>
      <c r="AC24" s="451">
        <f t="shared" si="7"/>
        <v>0</v>
      </c>
    </row>
    <row r="25" spans="2:36">
      <c r="B25" s="444" t="s">
        <v>151</v>
      </c>
      <c r="H25" s="451">
        <f>+H63/$J$11*0.5</f>
        <v>35.424807339449586</v>
      </c>
      <c r="I25" s="451">
        <f t="shared" si="7"/>
        <v>70.849614678899172</v>
      </c>
      <c r="J25" s="451">
        <f t="shared" si="7"/>
        <v>70.849614678899172</v>
      </c>
      <c r="K25" s="451">
        <f t="shared" si="7"/>
        <v>70.849614678899172</v>
      </c>
      <c r="L25" s="451">
        <f t="shared" si="7"/>
        <v>70.849614678899172</v>
      </c>
      <c r="M25" s="451">
        <f t="shared" si="7"/>
        <v>67.307133944954217</v>
      </c>
      <c r="N25" s="451">
        <f t="shared" si="7"/>
        <v>0</v>
      </c>
      <c r="O25" s="451">
        <f t="shared" si="7"/>
        <v>0</v>
      </c>
      <c r="P25" s="451">
        <f t="shared" si="7"/>
        <v>0</v>
      </c>
      <c r="Q25" s="451">
        <f t="shared" si="7"/>
        <v>0</v>
      </c>
      <c r="R25" s="451">
        <f t="shared" si="7"/>
        <v>0</v>
      </c>
      <c r="S25" s="451">
        <f t="shared" si="7"/>
        <v>0</v>
      </c>
      <c r="T25" s="451">
        <f t="shared" si="7"/>
        <v>0</v>
      </c>
      <c r="U25" s="451">
        <f t="shared" si="7"/>
        <v>0</v>
      </c>
      <c r="V25" s="451">
        <f t="shared" si="7"/>
        <v>0</v>
      </c>
      <c r="W25" s="451">
        <f t="shared" si="7"/>
        <v>0</v>
      </c>
      <c r="X25" s="451">
        <f t="shared" si="7"/>
        <v>0</v>
      </c>
      <c r="Y25" s="451">
        <f t="shared" si="7"/>
        <v>0</v>
      </c>
      <c r="Z25" s="451">
        <f t="shared" si="7"/>
        <v>0</v>
      </c>
      <c r="AA25" s="451">
        <f t="shared" si="7"/>
        <v>0</v>
      </c>
      <c r="AB25" s="451">
        <f t="shared" si="7"/>
        <v>0</v>
      </c>
      <c r="AC25" s="451">
        <f t="shared" si="7"/>
        <v>0</v>
      </c>
    </row>
    <row r="26" spans="2:36">
      <c r="B26" s="444" t="s">
        <v>150</v>
      </c>
      <c r="I26" s="451">
        <f>+I64/$J$11*0.5</f>
        <v>15.568495412844014</v>
      </c>
      <c r="J26" s="451">
        <f t="shared" si="7"/>
        <v>31.136990825688027</v>
      </c>
      <c r="K26" s="451">
        <f t="shared" si="7"/>
        <v>31.136990825688027</v>
      </c>
      <c r="L26" s="451">
        <f t="shared" si="7"/>
        <v>31.136990825688027</v>
      </c>
      <c r="M26" s="451">
        <f t="shared" si="7"/>
        <v>31.136990825688027</v>
      </c>
      <c r="N26" s="451">
        <f t="shared" si="7"/>
        <v>29.580141284403652</v>
      </c>
      <c r="O26" s="451">
        <f t="shared" si="7"/>
        <v>0</v>
      </c>
      <c r="P26" s="451">
        <f t="shared" si="7"/>
        <v>0</v>
      </c>
      <c r="Q26" s="451">
        <f t="shared" si="7"/>
        <v>0</v>
      </c>
      <c r="R26" s="451">
        <f t="shared" si="7"/>
        <v>0</v>
      </c>
      <c r="S26" s="451">
        <f t="shared" si="7"/>
        <v>0</v>
      </c>
      <c r="T26" s="451">
        <f t="shared" si="7"/>
        <v>0</v>
      </c>
      <c r="U26" s="451">
        <f t="shared" si="7"/>
        <v>0</v>
      </c>
      <c r="V26" s="451">
        <f t="shared" si="7"/>
        <v>0</v>
      </c>
      <c r="W26" s="451">
        <f t="shared" si="7"/>
        <v>0</v>
      </c>
      <c r="X26" s="451">
        <f t="shared" si="7"/>
        <v>0</v>
      </c>
      <c r="Y26" s="451">
        <f t="shared" si="7"/>
        <v>0</v>
      </c>
      <c r="Z26" s="451">
        <f t="shared" si="7"/>
        <v>0</v>
      </c>
      <c r="AA26" s="451">
        <f t="shared" si="7"/>
        <v>0</v>
      </c>
      <c r="AB26" s="451">
        <f t="shared" si="7"/>
        <v>0</v>
      </c>
      <c r="AC26" s="451">
        <f t="shared" si="7"/>
        <v>0</v>
      </c>
      <c r="AD26" s="451"/>
    </row>
    <row r="27" spans="2:36">
      <c r="B27" s="444" t="s">
        <v>10</v>
      </c>
      <c r="J27" s="451">
        <f>+J65/$J$11*0.5</f>
        <v>14.771587155963294</v>
      </c>
      <c r="K27" s="451">
        <f t="shared" si="7"/>
        <v>29.543174311926588</v>
      </c>
      <c r="L27" s="451">
        <f t="shared" si="7"/>
        <v>29.543174311926588</v>
      </c>
      <c r="M27" s="451">
        <f t="shared" si="7"/>
        <v>29.543174311926588</v>
      </c>
      <c r="N27" s="451">
        <f t="shared" si="7"/>
        <v>29.543174311926588</v>
      </c>
      <c r="O27" s="451">
        <f t="shared" si="7"/>
        <v>28.06601559633026</v>
      </c>
      <c r="P27" s="451">
        <f t="shared" si="7"/>
        <v>0</v>
      </c>
      <c r="Q27" s="451">
        <f t="shared" si="7"/>
        <v>0</v>
      </c>
      <c r="R27" s="451">
        <f t="shared" si="7"/>
        <v>0</v>
      </c>
      <c r="S27" s="451">
        <f t="shared" si="7"/>
        <v>0</v>
      </c>
      <c r="T27" s="451">
        <f t="shared" si="7"/>
        <v>0</v>
      </c>
      <c r="U27" s="451">
        <f t="shared" si="7"/>
        <v>0</v>
      </c>
      <c r="V27" s="451">
        <f t="shared" si="7"/>
        <v>0</v>
      </c>
      <c r="W27" s="451">
        <f t="shared" si="7"/>
        <v>0</v>
      </c>
      <c r="X27" s="451">
        <f t="shared" si="7"/>
        <v>0</v>
      </c>
      <c r="Y27" s="451">
        <f t="shared" si="7"/>
        <v>0</v>
      </c>
      <c r="Z27" s="451">
        <f t="shared" si="7"/>
        <v>0</v>
      </c>
      <c r="AA27" s="451">
        <f t="shared" si="7"/>
        <v>0</v>
      </c>
      <c r="AB27" s="451">
        <f t="shared" si="7"/>
        <v>0</v>
      </c>
      <c r="AC27" s="451">
        <f t="shared" si="7"/>
        <v>0</v>
      </c>
      <c r="AD27" s="451"/>
      <c r="AE27" s="451"/>
    </row>
    <row r="28" spans="2:36">
      <c r="B28" s="444" t="s">
        <v>11</v>
      </c>
      <c r="K28" s="451">
        <f>+K66/$J$11*0.5</f>
        <v>48.373999999999967</v>
      </c>
      <c r="L28" s="451">
        <f t="shared" si="7"/>
        <v>96.747999999999934</v>
      </c>
      <c r="M28" s="451">
        <f t="shared" si="7"/>
        <v>96.747999999999934</v>
      </c>
      <c r="N28" s="451">
        <f t="shared" si="7"/>
        <v>96.747999999999934</v>
      </c>
      <c r="O28" s="451">
        <f t="shared" si="7"/>
        <v>96.747999999999934</v>
      </c>
      <c r="P28" s="451">
        <f t="shared" si="7"/>
        <v>91.910599999999988</v>
      </c>
      <c r="Q28" s="451">
        <f t="shared" si="7"/>
        <v>0</v>
      </c>
      <c r="R28" s="451">
        <f t="shared" si="7"/>
        <v>0</v>
      </c>
      <c r="S28" s="451">
        <f t="shared" si="7"/>
        <v>0</v>
      </c>
      <c r="T28" s="451">
        <f t="shared" si="7"/>
        <v>0</v>
      </c>
      <c r="U28" s="451">
        <f t="shared" si="7"/>
        <v>0</v>
      </c>
      <c r="V28" s="451">
        <f t="shared" si="7"/>
        <v>0</v>
      </c>
      <c r="W28" s="451">
        <f t="shared" si="7"/>
        <v>0</v>
      </c>
      <c r="X28" s="451">
        <f t="shared" si="7"/>
        <v>0</v>
      </c>
      <c r="Y28" s="451">
        <f t="shared" si="7"/>
        <v>0</v>
      </c>
      <c r="Z28" s="451">
        <f t="shared" si="7"/>
        <v>0</v>
      </c>
      <c r="AA28" s="451">
        <f t="shared" si="7"/>
        <v>0</v>
      </c>
      <c r="AB28" s="451">
        <f t="shared" si="7"/>
        <v>0</v>
      </c>
      <c r="AC28" s="451">
        <f t="shared" si="7"/>
        <v>0</v>
      </c>
      <c r="AD28" s="451"/>
      <c r="AE28" s="451"/>
      <c r="AF28" s="451"/>
    </row>
    <row r="29" spans="2:36">
      <c r="B29" s="444" t="s">
        <v>1</v>
      </c>
      <c r="L29" s="451">
        <f>+L67/$J$11*0.5</f>
        <v>26.291587155963356</v>
      </c>
      <c r="M29" s="451">
        <f t="shared" si="7"/>
        <v>52.583174311926712</v>
      </c>
      <c r="N29" s="451">
        <f t="shared" si="7"/>
        <v>52.583174311926712</v>
      </c>
      <c r="O29" s="451">
        <f t="shared" si="7"/>
        <v>52.583174311926712</v>
      </c>
      <c r="P29" s="451">
        <f t="shared" si="7"/>
        <v>52.583174311926712</v>
      </c>
      <c r="Q29" s="451">
        <f t="shared" si="7"/>
        <v>49.954015596330379</v>
      </c>
      <c r="R29" s="451">
        <f t="shared" si="7"/>
        <v>0</v>
      </c>
      <c r="S29" s="451">
        <f t="shared" si="7"/>
        <v>0</v>
      </c>
      <c r="T29" s="451">
        <f t="shared" si="7"/>
        <v>0</v>
      </c>
      <c r="U29" s="451">
        <f t="shared" si="7"/>
        <v>0</v>
      </c>
      <c r="V29" s="451">
        <f t="shared" si="7"/>
        <v>0</v>
      </c>
      <c r="W29" s="451">
        <f t="shared" si="7"/>
        <v>0</v>
      </c>
      <c r="X29" s="451">
        <f t="shared" si="7"/>
        <v>0</v>
      </c>
      <c r="Y29" s="451">
        <f t="shared" si="7"/>
        <v>0</v>
      </c>
      <c r="Z29" s="451">
        <f t="shared" si="7"/>
        <v>0</v>
      </c>
      <c r="AA29" s="451">
        <f t="shared" si="7"/>
        <v>0</v>
      </c>
      <c r="AB29" s="451">
        <f t="shared" si="7"/>
        <v>0</v>
      </c>
      <c r="AC29" s="451">
        <f t="shared" si="7"/>
        <v>0</v>
      </c>
      <c r="AD29" s="451"/>
      <c r="AE29" s="451"/>
      <c r="AF29" s="451"/>
      <c r="AG29" s="451"/>
    </row>
    <row r="30" spans="2:36">
      <c r="B30" s="444" t="s">
        <v>2</v>
      </c>
      <c r="M30" s="451">
        <f>+M68/$J$11*0.5</f>
        <v>16.830522935779801</v>
      </c>
      <c r="N30" s="451">
        <f t="shared" si="7"/>
        <v>33.661045871559601</v>
      </c>
      <c r="O30" s="451">
        <f t="shared" si="7"/>
        <v>33.661045871559601</v>
      </c>
      <c r="P30" s="451">
        <f t="shared" si="7"/>
        <v>33.661045871559601</v>
      </c>
      <c r="Q30" s="451">
        <f t="shared" si="7"/>
        <v>33.661045871559601</v>
      </c>
      <c r="R30" s="451">
        <f t="shared" si="7"/>
        <v>31.977993577981636</v>
      </c>
      <c r="S30" s="451">
        <f t="shared" si="7"/>
        <v>0</v>
      </c>
      <c r="T30" s="451">
        <f t="shared" si="7"/>
        <v>0</v>
      </c>
      <c r="U30" s="451">
        <f t="shared" si="7"/>
        <v>0</v>
      </c>
      <c r="V30" s="451">
        <f t="shared" si="7"/>
        <v>0</v>
      </c>
      <c r="W30" s="451">
        <f t="shared" si="7"/>
        <v>0</v>
      </c>
      <c r="X30" s="451">
        <f t="shared" si="7"/>
        <v>0</v>
      </c>
      <c r="Y30" s="451">
        <f t="shared" si="7"/>
        <v>0</v>
      </c>
      <c r="Z30" s="451">
        <f t="shared" si="7"/>
        <v>0</v>
      </c>
      <c r="AA30" s="451">
        <f t="shared" si="7"/>
        <v>0</v>
      </c>
      <c r="AB30" s="451">
        <f t="shared" si="7"/>
        <v>0</v>
      </c>
      <c r="AC30" s="451">
        <f t="shared" si="7"/>
        <v>0</v>
      </c>
      <c r="AD30" s="451"/>
      <c r="AE30" s="451"/>
      <c r="AF30" s="451"/>
      <c r="AG30" s="451"/>
      <c r="AH30" s="451"/>
    </row>
    <row r="31" spans="2:36">
      <c r="B31" s="444" t="s">
        <v>3</v>
      </c>
      <c r="N31" s="451">
        <f>+N69/$J$11*0.5</f>
        <v>75.138201834862315</v>
      </c>
      <c r="O31" s="451">
        <f t="shared" si="7"/>
        <v>150.27640366972463</v>
      </c>
      <c r="P31" s="451">
        <f t="shared" si="7"/>
        <v>150.27640366972463</v>
      </c>
      <c r="Q31" s="451">
        <f t="shared" si="7"/>
        <v>150.27640366972463</v>
      </c>
      <c r="R31" s="451">
        <f t="shared" si="7"/>
        <v>150.27640366972463</v>
      </c>
      <c r="S31" s="451">
        <f t="shared" si="7"/>
        <v>142.76258348623833</v>
      </c>
      <c r="T31" s="451">
        <f t="shared" si="7"/>
        <v>0</v>
      </c>
      <c r="U31" s="451">
        <f t="shared" si="7"/>
        <v>0</v>
      </c>
      <c r="V31" s="451">
        <f t="shared" si="7"/>
        <v>0</v>
      </c>
      <c r="W31" s="451">
        <f t="shared" si="7"/>
        <v>0</v>
      </c>
      <c r="X31" s="451">
        <f t="shared" si="7"/>
        <v>0</v>
      </c>
      <c r="Y31" s="451">
        <f t="shared" si="7"/>
        <v>0</v>
      </c>
      <c r="Z31" s="451">
        <f t="shared" si="7"/>
        <v>0</v>
      </c>
      <c r="AA31" s="451">
        <f t="shared" si="7"/>
        <v>0</v>
      </c>
      <c r="AB31" s="451">
        <f t="shared" si="7"/>
        <v>0</v>
      </c>
      <c r="AC31" s="451">
        <f t="shared" si="7"/>
        <v>0</v>
      </c>
      <c r="AD31" s="451"/>
      <c r="AE31" s="451"/>
      <c r="AF31" s="451"/>
      <c r="AG31" s="451"/>
      <c r="AH31" s="451"/>
      <c r="AI31" s="451"/>
    </row>
    <row r="32" spans="2:36">
      <c r="B32" s="444" t="s">
        <v>4</v>
      </c>
      <c r="O32" s="451">
        <f>+O70/$J$11*0.5</f>
        <v>40.292238532110204</v>
      </c>
      <c r="P32" s="451">
        <f t="shared" si="7"/>
        <v>80.584477064220408</v>
      </c>
      <c r="Q32" s="451">
        <f t="shared" si="7"/>
        <v>80.584477064220408</v>
      </c>
      <c r="R32" s="451">
        <f t="shared" si="7"/>
        <v>80.584477064220408</v>
      </c>
      <c r="S32" s="451">
        <f t="shared" si="7"/>
        <v>80.584477064220408</v>
      </c>
      <c r="T32" s="451">
        <f t="shared" si="7"/>
        <v>76.555253211009358</v>
      </c>
      <c r="U32" s="451">
        <f t="shared" si="7"/>
        <v>0</v>
      </c>
      <c r="V32" s="451">
        <f t="shared" si="7"/>
        <v>0</v>
      </c>
      <c r="W32" s="451">
        <f t="shared" si="7"/>
        <v>0</v>
      </c>
      <c r="X32" s="451">
        <f t="shared" si="7"/>
        <v>0</v>
      </c>
      <c r="Y32" s="451">
        <f t="shared" si="7"/>
        <v>0</v>
      </c>
      <c r="Z32" s="451">
        <f t="shared" si="7"/>
        <v>0</v>
      </c>
      <c r="AA32" s="451">
        <f t="shared" si="7"/>
        <v>0</v>
      </c>
      <c r="AB32" s="451">
        <f t="shared" si="7"/>
        <v>0</v>
      </c>
      <c r="AC32" s="451">
        <f t="shared" si="7"/>
        <v>0</v>
      </c>
      <c r="AD32" s="451"/>
      <c r="AE32" s="451"/>
      <c r="AF32" s="451"/>
      <c r="AG32" s="451"/>
      <c r="AH32" s="451"/>
      <c r="AI32" s="451"/>
      <c r="AJ32" s="451"/>
    </row>
    <row r="33" spans="2:40">
      <c r="B33" s="444" t="s">
        <v>5</v>
      </c>
      <c r="P33" s="451">
        <f>+P71/$J$11*0.5</f>
        <v>34.909752293577917</v>
      </c>
      <c r="Q33" s="451">
        <f t="shared" si="7"/>
        <v>69.819504587155834</v>
      </c>
      <c r="R33" s="451">
        <f t="shared" si="7"/>
        <v>69.819504587155834</v>
      </c>
      <c r="S33" s="451">
        <f t="shared" si="7"/>
        <v>69.819504587155834</v>
      </c>
      <c r="T33" s="451">
        <f t="shared" si="7"/>
        <v>69.819504587155834</v>
      </c>
      <c r="U33" s="451">
        <f t="shared" si="7"/>
        <v>66.328529357798061</v>
      </c>
      <c r="V33" s="451">
        <f t="shared" si="7"/>
        <v>0</v>
      </c>
      <c r="W33" s="451">
        <f t="shared" si="7"/>
        <v>0</v>
      </c>
      <c r="X33" s="451">
        <f t="shared" si="7"/>
        <v>0</v>
      </c>
      <c r="Y33" s="451">
        <f t="shared" si="7"/>
        <v>0</v>
      </c>
      <c r="Z33" s="451">
        <f t="shared" si="7"/>
        <v>0</v>
      </c>
      <c r="AA33" s="451">
        <f t="shared" si="7"/>
        <v>0</v>
      </c>
      <c r="AB33" s="451">
        <f t="shared" si="7"/>
        <v>0</v>
      </c>
      <c r="AC33" s="451">
        <f t="shared" si="7"/>
        <v>0</v>
      </c>
      <c r="AD33" s="451"/>
      <c r="AE33" s="451"/>
      <c r="AF33" s="451"/>
      <c r="AG33" s="451"/>
      <c r="AH33" s="451"/>
      <c r="AI33" s="451"/>
      <c r="AJ33" s="451"/>
      <c r="AK33" s="451"/>
    </row>
    <row r="34" spans="2:40">
      <c r="B34" s="444" t="s">
        <v>68</v>
      </c>
      <c r="Q34" s="451">
        <f>+Q72/$J$11*0.5</f>
        <v>117.85469724770637</v>
      </c>
      <c r="R34" s="451">
        <f t="shared" si="7"/>
        <v>235.70939449541274</v>
      </c>
      <c r="S34" s="451">
        <f t="shared" si="7"/>
        <v>235.70939449541274</v>
      </c>
      <c r="T34" s="451">
        <f t="shared" si="7"/>
        <v>235.70939449541274</v>
      </c>
      <c r="U34" s="451">
        <f t="shared" si="7"/>
        <v>235.70939449541274</v>
      </c>
      <c r="V34" s="451">
        <f t="shared" si="7"/>
        <v>223.92392477064209</v>
      </c>
      <c r="W34" s="451">
        <f t="shared" si="7"/>
        <v>0</v>
      </c>
      <c r="X34" s="451">
        <f t="shared" si="7"/>
        <v>0</v>
      </c>
      <c r="Y34" s="451">
        <f t="shared" si="7"/>
        <v>0</v>
      </c>
      <c r="Z34" s="451">
        <f t="shared" si="7"/>
        <v>0</v>
      </c>
      <c r="AA34" s="451">
        <f t="shared" si="7"/>
        <v>0</v>
      </c>
      <c r="AB34" s="451">
        <f t="shared" si="7"/>
        <v>0</v>
      </c>
      <c r="AC34" s="451">
        <f t="shared" si="7"/>
        <v>0</v>
      </c>
      <c r="AD34" s="451"/>
      <c r="AE34" s="451"/>
      <c r="AF34" s="451"/>
      <c r="AG34" s="451"/>
      <c r="AH34" s="451"/>
      <c r="AI34" s="451"/>
      <c r="AJ34" s="451"/>
      <c r="AK34" s="451"/>
      <c r="AL34" s="451"/>
    </row>
    <row r="35" spans="2:40">
      <c r="B35" s="444" t="s">
        <v>6</v>
      </c>
      <c r="R35" s="451">
        <f ca="1">+R73/$J$12*0.5</f>
        <v>81.75832445715065</v>
      </c>
      <c r="S35" s="451">
        <f t="shared" ref="S35:AC40" ca="1" si="8">+IF(R127&gt;0,MIN(S73/$J$12,R127),0)</f>
        <v>163.5166489143013</v>
      </c>
      <c r="T35" s="451">
        <f t="shared" ca="1" si="8"/>
        <v>163.5166489143013</v>
      </c>
      <c r="U35" s="451">
        <f t="shared" ca="1" si="8"/>
        <v>163.5166489143013</v>
      </c>
      <c r="V35" s="451">
        <f t="shared" ca="1" si="8"/>
        <v>163.5166489143013</v>
      </c>
      <c r="W35" s="451">
        <f t="shared" ca="1" si="8"/>
        <v>155.34081646858624</v>
      </c>
      <c r="X35" s="451">
        <f t="shared" ca="1" si="8"/>
        <v>0</v>
      </c>
      <c r="Y35" s="451">
        <f t="shared" ca="1" si="8"/>
        <v>0</v>
      </c>
      <c r="Z35" s="451">
        <f t="shared" ca="1" si="8"/>
        <v>0</v>
      </c>
      <c r="AA35" s="451">
        <f t="shared" ca="1" si="8"/>
        <v>0</v>
      </c>
      <c r="AB35" s="451">
        <f t="shared" ca="1" si="8"/>
        <v>0</v>
      </c>
      <c r="AC35" s="451">
        <f t="shared" ca="1" si="8"/>
        <v>0</v>
      </c>
      <c r="AD35" s="451"/>
      <c r="AE35" s="451"/>
      <c r="AF35" s="451"/>
      <c r="AG35" s="451"/>
      <c r="AH35" s="451"/>
      <c r="AI35" s="451"/>
      <c r="AJ35" s="451"/>
      <c r="AK35" s="451"/>
      <c r="AL35" s="451"/>
      <c r="AM35" s="451"/>
    </row>
    <row r="36" spans="2:40">
      <c r="B36" s="444" t="s">
        <v>22</v>
      </c>
      <c r="R36" s="451"/>
      <c r="S36" s="451">
        <f ca="1">+S74/$J$12*0.5</f>
        <v>102.68667237339662</v>
      </c>
      <c r="T36" s="451">
        <f t="shared" ca="1" si="8"/>
        <v>205.37334474679324</v>
      </c>
      <c r="U36" s="451">
        <f t="shared" ca="1" si="8"/>
        <v>205.37334474679324</v>
      </c>
      <c r="V36" s="451">
        <f t="shared" ca="1" si="8"/>
        <v>205.37334474679324</v>
      </c>
      <c r="W36" s="451">
        <f t="shared" ca="1" si="8"/>
        <v>205.37334474679324</v>
      </c>
      <c r="X36" s="451">
        <f t="shared" ca="1" si="8"/>
        <v>195.10467750945361</v>
      </c>
      <c r="Y36" s="451">
        <f t="shared" ca="1" si="8"/>
        <v>0</v>
      </c>
      <c r="Z36" s="451">
        <f t="shared" ca="1" si="8"/>
        <v>0</v>
      </c>
      <c r="AA36" s="451">
        <f t="shared" ca="1" si="8"/>
        <v>0</v>
      </c>
      <c r="AB36" s="451">
        <f t="shared" ca="1" si="8"/>
        <v>0</v>
      </c>
      <c r="AC36" s="451">
        <f t="shared" ca="1" si="8"/>
        <v>0</v>
      </c>
      <c r="AD36" s="451"/>
      <c r="AE36" s="451"/>
      <c r="AF36" s="451"/>
      <c r="AG36" s="451"/>
      <c r="AH36" s="451"/>
      <c r="AI36" s="451"/>
      <c r="AJ36" s="451"/>
      <c r="AK36" s="451"/>
      <c r="AL36" s="451"/>
      <c r="AM36" s="451"/>
      <c r="AN36" s="451"/>
    </row>
    <row r="37" spans="2:40">
      <c r="B37" s="444" t="s">
        <v>23</v>
      </c>
      <c r="R37" s="451"/>
      <c r="S37" s="451"/>
      <c r="T37" s="451">
        <f ca="1">+T75/$J$12*0.5</f>
        <v>123.23712814705942</v>
      </c>
      <c r="U37" s="451">
        <f t="shared" ca="1" si="8"/>
        <v>246.47425629411885</v>
      </c>
      <c r="V37" s="451">
        <f t="shared" ca="1" si="8"/>
        <v>246.47425629411885</v>
      </c>
      <c r="W37" s="451">
        <f t="shared" ca="1" si="8"/>
        <v>246.47425629411885</v>
      </c>
      <c r="X37" s="451">
        <f t="shared" ca="1" si="8"/>
        <v>246.47425629411885</v>
      </c>
      <c r="Y37" s="451">
        <f t="shared" ca="1" si="8"/>
        <v>234.15054347941305</v>
      </c>
      <c r="Z37" s="451">
        <f t="shared" ca="1" si="8"/>
        <v>0</v>
      </c>
      <c r="AA37" s="451">
        <f t="shared" ca="1" si="8"/>
        <v>0</v>
      </c>
      <c r="AB37" s="451">
        <f t="shared" ca="1" si="8"/>
        <v>0</v>
      </c>
      <c r="AC37" s="451">
        <f t="shared" ca="1" si="8"/>
        <v>0</v>
      </c>
      <c r="AD37" s="451"/>
      <c r="AE37" s="451"/>
      <c r="AF37" s="451"/>
      <c r="AG37" s="451"/>
      <c r="AH37" s="451"/>
      <c r="AI37" s="451"/>
      <c r="AJ37" s="451"/>
      <c r="AK37" s="451"/>
      <c r="AL37" s="451"/>
      <c r="AM37" s="451"/>
      <c r="AN37" s="451"/>
    </row>
    <row r="38" spans="2:40">
      <c r="B38" s="444" t="s">
        <v>24</v>
      </c>
      <c r="R38" s="451"/>
      <c r="S38" s="451"/>
      <c r="T38" s="451"/>
      <c r="U38" s="451">
        <f ca="1">+U76/$J$12*0.5</f>
        <v>144.04298727891333</v>
      </c>
      <c r="V38" s="451">
        <f t="shared" ca="1" si="8"/>
        <v>288.08597455782666</v>
      </c>
      <c r="W38" s="451">
        <f t="shared" ca="1" si="8"/>
        <v>288.08597455782666</v>
      </c>
      <c r="X38" s="451">
        <f t="shared" ca="1" si="8"/>
        <v>288.08597455782666</v>
      </c>
      <c r="Y38" s="451">
        <f t="shared" ca="1" si="8"/>
        <v>288.08597455782666</v>
      </c>
      <c r="Z38" s="451">
        <f t="shared" ca="1" si="8"/>
        <v>273.68167582993556</v>
      </c>
      <c r="AA38" s="451">
        <f t="shared" ca="1" si="8"/>
        <v>0</v>
      </c>
      <c r="AB38" s="451">
        <f t="shared" ca="1" si="8"/>
        <v>0</v>
      </c>
      <c r="AC38" s="451">
        <f t="shared" ca="1" si="8"/>
        <v>0</v>
      </c>
      <c r="AD38" s="451"/>
      <c r="AE38" s="451"/>
      <c r="AF38" s="451"/>
      <c r="AG38" s="451"/>
      <c r="AH38" s="451"/>
      <c r="AI38" s="451"/>
      <c r="AJ38" s="451"/>
      <c r="AK38" s="451"/>
      <c r="AL38" s="451"/>
      <c r="AM38" s="451"/>
      <c r="AN38" s="451"/>
    </row>
    <row r="39" spans="2:40">
      <c r="B39" s="444" t="s">
        <v>25</v>
      </c>
      <c r="R39" s="451"/>
      <c r="S39" s="451"/>
      <c r="T39" s="451"/>
      <c r="U39" s="451"/>
      <c r="V39" s="451">
        <f ca="1">+V77/$J$12*0.5</f>
        <v>166.06306454822604</v>
      </c>
      <c r="W39" s="451">
        <f t="shared" ca="1" si="8"/>
        <v>332.12612909645208</v>
      </c>
      <c r="X39" s="451">
        <f t="shared" ca="1" si="8"/>
        <v>332.12612909645208</v>
      </c>
      <c r="Y39" s="451">
        <f t="shared" ca="1" si="8"/>
        <v>332.12612909645208</v>
      </c>
      <c r="Z39" s="451">
        <f t="shared" ca="1" si="8"/>
        <v>332.12612909645208</v>
      </c>
      <c r="AA39" s="451">
        <f t="shared" ca="1" si="8"/>
        <v>315.51982264162962</v>
      </c>
      <c r="AB39" s="451">
        <f t="shared" ca="1" si="8"/>
        <v>0</v>
      </c>
      <c r="AC39" s="451">
        <f t="shared" ca="1" si="8"/>
        <v>0</v>
      </c>
      <c r="AD39" s="451"/>
      <c r="AE39" s="451"/>
      <c r="AF39" s="451"/>
      <c r="AG39" s="451"/>
      <c r="AH39" s="451"/>
      <c r="AI39" s="451"/>
      <c r="AJ39" s="451"/>
      <c r="AK39" s="451"/>
      <c r="AL39" s="451"/>
      <c r="AM39" s="451"/>
      <c r="AN39" s="451"/>
    </row>
    <row r="40" spans="2:40">
      <c r="B40" s="444" t="s">
        <v>26</v>
      </c>
      <c r="R40" s="451"/>
      <c r="S40" s="451"/>
      <c r="T40" s="451"/>
      <c r="U40" s="451"/>
      <c r="V40" s="451"/>
      <c r="W40" s="451">
        <f ca="1">+W78/$J$12*0.5</f>
        <v>179.83916701402507</v>
      </c>
      <c r="X40" s="451">
        <f t="shared" ca="1" si="8"/>
        <v>359.67833402805013</v>
      </c>
      <c r="Y40" s="451">
        <f t="shared" ca="1" si="8"/>
        <v>359.67833402805013</v>
      </c>
      <c r="Z40" s="451">
        <f t="shared" ca="1" si="8"/>
        <v>359.67833402805013</v>
      </c>
      <c r="AA40" s="451">
        <f t="shared" ca="1" si="8"/>
        <v>359.67833402805013</v>
      </c>
      <c r="AB40" s="451">
        <f t="shared" ca="1" si="8"/>
        <v>341.69441732664768</v>
      </c>
      <c r="AC40" s="451">
        <f t="shared" ca="1" si="8"/>
        <v>0</v>
      </c>
      <c r="AD40" s="451"/>
      <c r="AE40" s="451"/>
      <c r="AF40" s="451"/>
      <c r="AG40" s="451"/>
      <c r="AH40" s="451"/>
      <c r="AI40" s="451"/>
      <c r="AJ40" s="451"/>
      <c r="AK40" s="451"/>
      <c r="AL40" s="451"/>
      <c r="AM40" s="451"/>
      <c r="AN40" s="451"/>
    </row>
    <row r="41" spans="2:40">
      <c r="B41" s="444" t="s">
        <v>27</v>
      </c>
      <c r="R41" s="451"/>
      <c r="S41" s="451"/>
      <c r="T41" s="451"/>
      <c r="U41" s="451"/>
      <c r="V41" s="451"/>
      <c r="W41" s="451"/>
      <c r="X41" s="451">
        <f ca="1">+X79/$J$12*0.5</f>
        <v>190.07973345892324</v>
      </c>
      <c r="Y41" s="451">
        <f ca="1">+IF(X133&gt;0,MIN(Y79/$J$12,X133),0)</f>
        <v>380.15946691784649</v>
      </c>
      <c r="Z41" s="451">
        <f ca="1">+IF(Y133&gt;0,MIN(Z79/$J$12,Y133),0)</f>
        <v>380.15946691784649</v>
      </c>
      <c r="AA41" s="451">
        <f ca="1">+IF(Z133&gt;0,MIN(AA79/$J$12,Z133),0)</f>
        <v>380.15946691784649</v>
      </c>
      <c r="AB41" s="451">
        <f ca="1">+IF(AA133&gt;0,MIN(AB79/$J$12,AA133),0)</f>
        <v>380.15946691784649</v>
      </c>
      <c r="AC41" s="451">
        <f ca="1">+IF(AB133&gt;0,MIN(AC79/$J$12,AB133),0)</f>
        <v>361.15149357195423</v>
      </c>
      <c r="AD41" s="451"/>
      <c r="AE41" s="451"/>
      <c r="AF41" s="451"/>
      <c r="AG41" s="451"/>
      <c r="AH41" s="451"/>
      <c r="AI41" s="451"/>
      <c r="AJ41" s="451"/>
      <c r="AK41" s="451"/>
      <c r="AL41" s="451"/>
      <c r="AM41" s="451"/>
      <c r="AN41" s="451"/>
    </row>
    <row r="42" spans="2:40">
      <c r="B42" s="444" t="s">
        <v>38</v>
      </c>
      <c r="M42" s="477"/>
      <c r="R42" s="451"/>
      <c r="S42" s="451"/>
      <c r="T42" s="451"/>
      <c r="U42" s="451"/>
      <c r="V42" s="451"/>
      <c r="W42" s="451"/>
      <c r="X42" s="451"/>
      <c r="Y42" s="451">
        <f ca="1">+Y80/$J$12*0.5</f>
        <v>194.25869054678415</v>
      </c>
      <c r="Z42" s="451">
        <f ca="1">+IF(Y134&gt;0,MIN(Z80/$J$12,Y134),0)</f>
        <v>388.5173810935683</v>
      </c>
      <c r="AA42" s="451">
        <f ca="1">+IF(Z134&gt;0,MIN(AA80/$J$12,Z134),0)</f>
        <v>388.5173810935683</v>
      </c>
      <c r="AB42" s="451">
        <f ca="1">+IF(AA134&gt;0,MIN(AB80/$J$12,AA134),0)</f>
        <v>388.5173810935683</v>
      </c>
      <c r="AC42" s="451">
        <f ca="1">+IF(AB134&gt;0,MIN(AC80/$J$12,AB134),0)</f>
        <v>388.5173810935683</v>
      </c>
      <c r="AD42" s="451"/>
      <c r="AE42" s="451"/>
      <c r="AF42" s="451"/>
      <c r="AG42" s="451"/>
      <c r="AH42" s="451"/>
      <c r="AI42" s="451"/>
      <c r="AJ42" s="451"/>
      <c r="AK42" s="451"/>
      <c r="AL42" s="451"/>
      <c r="AM42" s="451"/>
      <c r="AN42" s="451"/>
    </row>
    <row r="43" spans="2:40">
      <c r="B43" s="444" t="s">
        <v>39</v>
      </c>
      <c r="R43" s="451"/>
      <c r="S43" s="451"/>
      <c r="T43" s="451"/>
      <c r="U43" s="451"/>
      <c r="V43" s="451"/>
      <c r="W43" s="451"/>
      <c r="X43" s="451"/>
      <c r="Y43" s="451"/>
      <c r="Z43" s="451">
        <f ca="1">+Z81/$J$12*0.5</f>
        <v>191.62760759520458</v>
      </c>
      <c r="AA43" s="451">
        <f ca="1">+IF(Z135&gt;0,MIN(AA81/$J$12,Z135),0)</f>
        <v>383.25521519040916</v>
      </c>
      <c r="AB43" s="451">
        <f ca="1">+IF(AA135&gt;0,MIN(AB81/$J$12,AA135),0)</f>
        <v>383.25521519040916</v>
      </c>
      <c r="AC43" s="451">
        <f ca="1">+IF(AB135&gt;0,MIN(AC81/$J$12,AB135),0)</f>
        <v>383.25521519040916</v>
      </c>
      <c r="AD43" s="451"/>
      <c r="AE43" s="451"/>
      <c r="AF43" s="451"/>
      <c r="AG43" s="451"/>
      <c r="AH43" s="451"/>
      <c r="AI43" s="451"/>
      <c r="AJ43" s="451"/>
      <c r="AK43" s="451"/>
      <c r="AL43" s="451"/>
      <c r="AM43" s="451"/>
      <c r="AN43" s="451"/>
    </row>
    <row r="44" spans="2:40">
      <c r="B44" s="444" t="s">
        <v>40</v>
      </c>
      <c r="R44" s="451"/>
      <c r="S44" s="451"/>
      <c r="T44" s="451"/>
      <c r="U44" s="451"/>
      <c r="V44" s="451"/>
      <c r="W44" s="451"/>
      <c r="X44" s="451"/>
      <c r="Y44" s="451"/>
      <c r="Z44" s="451"/>
      <c r="AA44" s="451">
        <f ca="1">+AA82/$J$12*0.5</f>
        <v>182.07560455559897</v>
      </c>
      <c r="AB44" s="451">
        <f ca="1">+IF(AA136&gt;0,MIN(AB82/$J$12,AA136),0)</f>
        <v>364.15120911119794</v>
      </c>
      <c r="AC44" s="451">
        <f ca="1">+IF(AB136&gt;0,MIN(AC82/$J$12,AB136),0)</f>
        <v>364.15120911119794</v>
      </c>
      <c r="AD44" s="451"/>
      <c r="AE44" s="451"/>
      <c r="AF44" s="451"/>
      <c r="AG44" s="451"/>
      <c r="AH44" s="451"/>
      <c r="AI44" s="451"/>
      <c r="AJ44" s="451"/>
      <c r="AK44" s="451"/>
      <c r="AL44" s="451"/>
      <c r="AM44" s="451"/>
      <c r="AN44" s="451"/>
    </row>
    <row r="45" spans="2:40">
      <c r="B45" s="444" t="s">
        <v>41</v>
      </c>
      <c r="R45" s="451"/>
      <c r="S45" s="451"/>
      <c r="T45" s="451"/>
      <c r="U45" s="451"/>
      <c r="V45" s="451"/>
      <c r="W45" s="451"/>
      <c r="X45" s="451"/>
      <c r="Y45" s="451"/>
      <c r="Z45" s="451"/>
      <c r="AA45" s="451"/>
      <c r="AB45" s="451">
        <f ca="1">+AB83/$J$12*0.5</f>
        <v>166.23610137156672</v>
      </c>
      <c r="AC45" s="451">
        <f ca="1">+IF(AB137&gt;0,MIN(AC83/$J$12,AB137),0)</f>
        <v>332.47220274313344</v>
      </c>
      <c r="AD45" s="451"/>
      <c r="AE45" s="451"/>
      <c r="AF45" s="451"/>
      <c r="AG45" s="451"/>
      <c r="AH45" s="451"/>
      <c r="AI45" s="451"/>
      <c r="AJ45" s="451"/>
      <c r="AK45" s="451"/>
      <c r="AL45" s="451"/>
      <c r="AM45" s="451"/>
      <c r="AN45" s="451"/>
    </row>
    <row r="46" spans="2:40">
      <c r="B46" s="444" t="s">
        <v>112</v>
      </c>
      <c r="R46" s="451"/>
      <c r="S46" s="451"/>
      <c r="T46" s="451"/>
      <c r="U46" s="451"/>
      <c r="V46" s="451"/>
      <c r="W46" s="451"/>
      <c r="X46" s="451"/>
      <c r="Y46" s="451"/>
      <c r="Z46" s="451"/>
      <c r="AA46" s="451"/>
      <c r="AB46" s="451"/>
      <c r="AC46" s="451">
        <f ca="1">+AC84/$J$12*0.5</f>
        <v>145.29599503222013</v>
      </c>
      <c r="AD46" s="451"/>
      <c r="AE46" s="451"/>
      <c r="AF46" s="451"/>
      <c r="AG46" s="451"/>
      <c r="AH46" s="451"/>
      <c r="AI46" s="451"/>
      <c r="AJ46" s="451"/>
      <c r="AK46" s="451"/>
      <c r="AL46" s="451"/>
      <c r="AM46" s="451"/>
      <c r="AN46" s="451"/>
    </row>
    <row r="47" spans="2:40" s="440" customFormat="1">
      <c r="B47" s="455" t="s">
        <v>645</v>
      </c>
      <c r="D47" s="456"/>
      <c r="E47" s="456">
        <f>+SUM(E22:E46)</f>
        <v>15.91309174311929</v>
      </c>
      <c r="F47" s="456">
        <f t="shared" ref="F47:AC47" si="9">+SUM(F22:F46)</f>
        <v>54.756678899082608</v>
      </c>
      <c r="G47" s="456">
        <f t="shared" si="9"/>
        <v>93.08089908256882</v>
      </c>
      <c r="H47" s="456">
        <f t="shared" si="9"/>
        <v>143.89943119266059</v>
      </c>
      <c r="I47" s="456">
        <f t="shared" si="9"/>
        <v>194.89273394495419</v>
      </c>
      <c r="J47" s="456">
        <f t="shared" si="9"/>
        <v>223.64150733944956</v>
      </c>
      <c r="K47" s="456">
        <f t="shared" si="9"/>
        <v>254.25917064220178</v>
      </c>
      <c r="L47" s="456">
        <f t="shared" si="9"/>
        <v>283.81744403669722</v>
      </c>
      <c r="M47" s="456">
        <f t="shared" si="9"/>
        <v>294.14899633027528</v>
      </c>
      <c r="N47" s="456">
        <f t="shared" si="9"/>
        <v>317.25373761467881</v>
      </c>
      <c r="O47" s="456">
        <f t="shared" si="9"/>
        <v>401.62687798165132</v>
      </c>
      <c r="P47" s="456">
        <f t="shared" si="9"/>
        <v>443.92545321100926</v>
      </c>
      <c r="Q47" s="456">
        <f t="shared" si="9"/>
        <v>502.15014403669721</v>
      </c>
      <c r="R47" s="456">
        <f ca="1">+SUM(R22:R46)</f>
        <v>650.12609785164591</v>
      </c>
      <c r="S47" s="456">
        <f t="shared" ca="1" si="9"/>
        <v>795.07928092072518</v>
      </c>
      <c r="T47" s="456">
        <f t="shared" ca="1" si="9"/>
        <v>874.21127410173199</v>
      </c>
      <c r="U47" s="456">
        <f t="shared" ca="1" si="9"/>
        <v>1061.4451610873375</v>
      </c>
      <c r="V47" s="456">
        <f t="shared" ca="1" si="9"/>
        <v>1293.4372138319081</v>
      </c>
      <c r="W47" s="456">
        <f t="shared" ca="1" si="9"/>
        <v>1407.2396881778022</v>
      </c>
      <c r="X47" s="456">
        <f t="shared" ca="1" si="9"/>
        <v>1611.5491049448246</v>
      </c>
      <c r="Y47" s="456">
        <f t="shared" ca="1" si="9"/>
        <v>1788.4591386263726</v>
      </c>
      <c r="Z47" s="456">
        <f t="shared" ca="1" si="9"/>
        <v>1925.7905945610571</v>
      </c>
      <c r="AA47" s="456">
        <f t="shared" ca="1" si="9"/>
        <v>2009.2058244271027</v>
      </c>
      <c r="AB47" s="456">
        <f t="shared" ca="1" si="9"/>
        <v>2024.0137910112362</v>
      </c>
      <c r="AC47" s="456">
        <f t="shared" ca="1" si="9"/>
        <v>1974.8434967424832</v>
      </c>
      <c r="AD47" s="456"/>
      <c r="AE47" s="456"/>
      <c r="AF47" s="456"/>
      <c r="AG47" s="456"/>
      <c r="AH47" s="456"/>
      <c r="AI47" s="456"/>
      <c r="AJ47" s="456"/>
      <c r="AK47" s="456"/>
      <c r="AL47" s="456"/>
      <c r="AM47" s="456"/>
      <c r="AN47" s="456"/>
    </row>
    <row r="48" spans="2:40" s="440" customFormat="1">
      <c r="B48" s="455"/>
      <c r="D48" s="456"/>
      <c r="E48" s="456"/>
      <c r="F48" s="456"/>
      <c r="G48" s="456"/>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row>
    <row r="49" spans="2:40" s="440" customFormat="1">
      <c r="B49" s="458" t="s">
        <v>35</v>
      </c>
      <c r="D49" s="456"/>
      <c r="E49" s="456"/>
      <c r="F49" s="456"/>
      <c r="G49" s="456"/>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row>
    <row r="50" spans="2:40" s="440" customFormat="1">
      <c r="B50" s="459" t="s">
        <v>646</v>
      </c>
      <c r="D50" s="460"/>
      <c r="E50" s="460">
        <f>+E162</f>
        <v>105.32719999999999</v>
      </c>
      <c r="F50" s="460">
        <f t="shared" ref="F50:Q50" si="10">+F162</f>
        <v>129.16849999999999</v>
      </c>
      <c r="G50" s="460">
        <f>+G162</f>
        <v>153.97979999999998</v>
      </c>
      <c r="H50" s="460">
        <f t="shared" si="10"/>
        <v>197.64520000000002</v>
      </c>
      <c r="I50" s="460">
        <f t="shared" si="10"/>
        <v>219.30339999999998</v>
      </c>
      <c r="J50" s="460">
        <f t="shared" si="10"/>
        <v>220.08500000000001</v>
      </c>
      <c r="K50" s="460">
        <f t="shared" si="10"/>
        <v>255.79599999999999</v>
      </c>
      <c r="L50" s="460">
        <f t="shared" si="10"/>
        <v>288.12490000000003</v>
      </c>
      <c r="M50" s="460">
        <f t="shared" si="10"/>
        <v>278.76490000000001</v>
      </c>
      <c r="N50" s="460">
        <f t="shared" si="10"/>
        <v>321.8211</v>
      </c>
      <c r="O50" s="460">
        <f t="shared" si="10"/>
        <v>411.48390000000001</v>
      </c>
      <c r="P50" s="460">
        <f t="shared" si="10"/>
        <v>425.41629999999998</v>
      </c>
      <c r="Q50" s="460">
        <f t="shared" si="10"/>
        <v>519.46619999999996</v>
      </c>
      <c r="R50" s="460"/>
      <c r="S50" s="460"/>
      <c r="T50" s="456"/>
      <c r="U50" s="456"/>
      <c r="V50" s="456"/>
      <c r="W50" s="456"/>
      <c r="X50" s="456"/>
      <c r="Y50" s="456"/>
      <c r="Z50" s="456"/>
      <c r="AA50" s="456"/>
      <c r="AB50" s="456"/>
      <c r="AC50" s="456"/>
      <c r="AD50" s="456"/>
      <c r="AE50" s="456"/>
      <c r="AF50" s="456"/>
      <c r="AG50" s="456"/>
      <c r="AH50" s="456"/>
      <c r="AI50" s="456"/>
      <c r="AJ50" s="456"/>
      <c r="AK50" s="456"/>
      <c r="AL50" s="456"/>
      <c r="AM50" s="456"/>
      <c r="AN50" s="456"/>
    </row>
    <row r="51" spans="2:40" s="440" customFormat="1">
      <c r="B51" s="461" t="s">
        <v>647</v>
      </c>
      <c r="D51" s="462"/>
      <c r="E51" s="462">
        <f t="shared" ref="E51:Q51" si="11">+E50/E47-1</f>
        <v>5.6189023289922737</v>
      </c>
      <c r="F51" s="462">
        <f t="shared" si="11"/>
        <v>1.3589542426059023</v>
      </c>
      <c r="G51" s="462">
        <f t="shared" si="11"/>
        <v>0.65425776413493675</v>
      </c>
      <c r="H51" s="462">
        <f t="shared" si="11"/>
        <v>0.37349535270491518</v>
      </c>
      <c r="I51" s="462">
        <f t="shared" si="11"/>
        <v>0.12525180164972372</v>
      </c>
      <c r="J51" s="462">
        <f t="shared" si="11"/>
        <v>-1.5902715831955905E-2</v>
      </c>
      <c r="K51" s="462">
        <f t="shared" si="11"/>
        <v>6.0443418969571283E-3</v>
      </c>
      <c r="L51" s="462">
        <f t="shared" si="11"/>
        <v>1.5176854184994593E-2</v>
      </c>
      <c r="M51" s="462">
        <f t="shared" si="11"/>
        <v>-5.2300352957865504E-2</v>
      </c>
      <c r="N51" s="462">
        <f t="shared" si="11"/>
        <v>1.439655973688958E-2</v>
      </c>
      <c r="O51" s="462">
        <f t="shared" si="11"/>
        <v>2.4542734958089563E-2</v>
      </c>
      <c r="P51" s="462">
        <f t="shared" si="11"/>
        <v>-4.1694282400633997E-2</v>
      </c>
      <c r="Q51" s="462">
        <f t="shared" si="11"/>
        <v>3.4483821560025829E-2</v>
      </c>
      <c r="R51" s="462"/>
      <c r="S51" s="462"/>
      <c r="T51" s="456"/>
      <c r="U51" s="456"/>
      <c r="V51" s="456"/>
      <c r="W51" s="456"/>
      <c r="X51" s="456"/>
      <c r="Y51" s="456"/>
      <c r="Z51" s="456"/>
      <c r="AA51" s="456"/>
      <c r="AB51" s="456"/>
      <c r="AC51" s="456"/>
      <c r="AD51" s="456"/>
      <c r="AE51" s="456"/>
      <c r="AF51" s="456"/>
      <c r="AG51" s="456"/>
      <c r="AH51" s="456"/>
      <c r="AI51" s="456"/>
      <c r="AJ51" s="456"/>
      <c r="AK51" s="456"/>
      <c r="AL51" s="456"/>
      <c r="AM51" s="456"/>
      <c r="AN51" s="456"/>
    </row>
    <row r="52" spans="2:40">
      <c r="B52" s="461" t="s">
        <v>648</v>
      </c>
      <c r="D52" s="460"/>
      <c r="E52" s="460">
        <f t="shared" ref="E52:Q52" si="12">+E50-E47</f>
        <v>89.414108256880695</v>
      </c>
      <c r="F52" s="460">
        <f t="shared" si="12"/>
        <v>74.411821100917393</v>
      </c>
      <c r="G52" s="460">
        <f t="shared" si="12"/>
        <v>60.898900917431163</v>
      </c>
      <c r="H52" s="460">
        <f t="shared" si="12"/>
        <v>53.745768807339431</v>
      </c>
      <c r="I52" s="460">
        <f t="shared" si="12"/>
        <v>24.410666055045795</v>
      </c>
      <c r="J52" s="460">
        <f t="shared" si="12"/>
        <v>-3.5565073394495528</v>
      </c>
      <c r="K52" s="460">
        <f t="shared" si="12"/>
        <v>1.5368293577982115</v>
      </c>
      <c r="L52" s="460">
        <f t="shared" si="12"/>
        <v>4.3074559633028002</v>
      </c>
      <c r="M52" s="460">
        <f t="shared" si="12"/>
        <v>-15.38409633027527</v>
      </c>
      <c r="N52" s="460">
        <f t="shared" si="12"/>
        <v>4.5673623853211893</v>
      </c>
      <c r="O52" s="460">
        <f t="shared" si="12"/>
        <v>9.8570220183486867</v>
      </c>
      <c r="P52" s="460">
        <f t="shared" si="12"/>
        <v>-18.509153211009277</v>
      </c>
      <c r="Q52" s="460">
        <f t="shared" si="12"/>
        <v>17.316055963302745</v>
      </c>
      <c r="R52" s="460"/>
      <c r="S52" s="460"/>
    </row>
    <row r="53" spans="2:40">
      <c r="D53" s="460"/>
      <c r="E53" s="460"/>
      <c r="F53" s="460"/>
      <c r="G53" s="460"/>
      <c r="H53" s="460"/>
      <c r="I53" s="460"/>
      <c r="J53" s="460"/>
      <c r="K53" s="460"/>
      <c r="L53" s="460"/>
      <c r="N53" s="460"/>
      <c r="O53" s="460"/>
      <c r="P53" s="460"/>
      <c r="Q53" s="460"/>
      <c r="R53" s="460"/>
      <c r="S53" s="460"/>
    </row>
    <row r="54" spans="2:40">
      <c r="B54" s="449" t="s">
        <v>72</v>
      </c>
      <c r="D54" s="460"/>
      <c r="E54" s="460"/>
      <c r="F54" s="460"/>
      <c r="G54" s="460"/>
      <c r="H54" s="460"/>
      <c r="I54" s="460"/>
      <c r="J54" s="460"/>
      <c r="K54" s="460"/>
      <c r="L54" s="460"/>
      <c r="M54" s="460"/>
      <c r="N54" s="460"/>
      <c r="O54" s="460"/>
      <c r="P54" s="460"/>
      <c r="Q54" s="460"/>
      <c r="R54" s="460"/>
      <c r="S54" s="460"/>
    </row>
    <row r="55" spans="2:40">
      <c r="B55" s="444" t="s">
        <v>645</v>
      </c>
      <c r="D55" s="451"/>
      <c r="E55" s="451">
        <f t="shared" ref="E55:AC55" si="13">+E47</f>
        <v>15.91309174311929</v>
      </c>
      <c r="F55" s="451">
        <f t="shared" si="13"/>
        <v>54.756678899082608</v>
      </c>
      <c r="G55" s="451">
        <f t="shared" si="13"/>
        <v>93.08089908256882</v>
      </c>
      <c r="H55" s="451">
        <f t="shared" si="13"/>
        <v>143.89943119266059</v>
      </c>
      <c r="I55" s="451">
        <f t="shared" si="13"/>
        <v>194.89273394495419</v>
      </c>
      <c r="J55" s="451">
        <f t="shared" si="13"/>
        <v>223.64150733944956</v>
      </c>
      <c r="K55" s="451">
        <f t="shared" si="13"/>
        <v>254.25917064220178</v>
      </c>
      <c r="L55" s="451">
        <f t="shared" si="13"/>
        <v>283.81744403669722</v>
      </c>
      <c r="M55" s="451">
        <f t="shared" si="13"/>
        <v>294.14899633027528</v>
      </c>
      <c r="N55" s="451">
        <f t="shared" si="13"/>
        <v>317.25373761467881</v>
      </c>
      <c r="O55" s="451">
        <f t="shared" si="13"/>
        <v>401.62687798165132</v>
      </c>
      <c r="P55" s="451">
        <f t="shared" si="13"/>
        <v>443.92545321100926</v>
      </c>
      <c r="Q55" s="451">
        <f t="shared" si="13"/>
        <v>502.15014403669721</v>
      </c>
      <c r="R55" s="451">
        <f t="shared" ca="1" si="13"/>
        <v>650.12609785164591</v>
      </c>
      <c r="S55" s="451">
        <f t="shared" ca="1" si="13"/>
        <v>795.07928092072518</v>
      </c>
      <c r="T55" s="451">
        <f t="shared" ca="1" si="13"/>
        <v>874.21127410173199</v>
      </c>
      <c r="U55" s="451">
        <f t="shared" ca="1" si="13"/>
        <v>1061.4451610873375</v>
      </c>
      <c r="V55" s="451">
        <f t="shared" ca="1" si="13"/>
        <v>1293.4372138319081</v>
      </c>
      <c r="W55" s="451">
        <f t="shared" ca="1" si="13"/>
        <v>1407.2396881778022</v>
      </c>
      <c r="X55" s="451">
        <f t="shared" ca="1" si="13"/>
        <v>1611.5491049448246</v>
      </c>
      <c r="Y55" s="451">
        <f t="shared" ca="1" si="13"/>
        <v>1788.4591386263726</v>
      </c>
      <c r="Z55" s="451">
        <f t="shared" ca="1" si="13"/>
        <v>1925.7905945610571</v>
      </c>
      <c r="AA55" s="451">
        <f t="shared" ca="1" si="13"/>
        <v>2009.2058244271027</v>
      </c>
      <c r="AB55" s="451">
        <f t="shared" ca="1" si="13"/>
        <v>2024.0137910112362</v>
      </c>
      <c r="AC55" s="451">
        <f t="shared" ca="1" si="13"/>
        <v>1974.8434967424832</v>
      </c>
    </row>
    <row r="56" spans="2:40" ht="13.5">
      <c r="B56" s="444" t="s">
        <v>649</v>
      </c>
      <c r="D56" s="463"/>
      <c r="E56" s="454">
        <f>(107681.5-105327.2)/1000</f>
        <v>2.3543000000000029</v>
      </c>
      <c r="F56" s="463">
        <v>2.1808000000000001</v>
      </c>
      <c r="G56" s="463">
        <v>2.202</v>
      </c>
      <c r="H56" s="463">
        <v>2.6063000000000001</v>
      </c>
      <c r="I56" s="463">
        <v>3.2021999999999999</v>
      </c>
      <c r="J56" s="463">
        <v>3.7434000000000003</v>
      </c>
      <c r="K56" s="463">
        <v>4.3467000000000002</v>
      </c>
      <c r="L56" s="463">
        <v>4.4213999999999993</v>
      </c>
      <c r="M56" s="463">
        <v>5.4723999999999995</v>
      </c>
      <c r="N56" s="463">
        <v>7.1861999999999995</v>
      </c>
      <c r="O56" s="463">
        <v>8.2072000000000003</v>
      </c>
      <c r="P56" s="463">
        <v>8.7561</v>
      </c>
      <c r="Q56" s="463">
        <v>9.2582000000000004</v>
      </c>
      <c r="R56" s="454">
        <f ca="1">Q56/Q55*R55</f>
        <v>11.986449691609048</v>
      </c>
      <c r="S56" s="454">
        <f t="shared" ref="S56:AC56" ca="1" si="14">R56/R55*S55</f>
        <v>14.658968211074166</v>
      </c>
      <c r="T56" s="454">
        <f t="shared" ca="1" si="14"/>
        <v>16.117933876958464</v>
      </c>
      <c r="U56" s="454">
        <f t="shared" ca="1" si="14"/>
        <v>19.569986600781743</v>
      </c>
      <c r="V56" s="454">
        <f t="shared" ca="1" si="14"/>
        <v>23.84725077809286</v>
      </c>
      <c r="W56" s="454">
        <f t="shared" ca="1" si="14"/>
        <v>25.945440095573488</v>
      </c>
      <c r="X56" s="454">
        <f t="shared" ca="1" si="14"/>
        <v>29.712316327265285</v>
      </c>
      <c r="Y56" s="454">
        <f t="shared" ca="1" si="14"/>
        <v>32.974026979509588</v>
      </c>
      <c r="Z56" s="454">
        <f t="shared" ca="1" si="14"/>
        <v>35.506022838583917</v>
      </c>
      <c r="AA56" s="454">
        <f t="shared" ca="1" si="14"/>
        <v>37.043959032204498</v>
      </c>
      <c r="AB56" s="454">
        <f t="shared" ca="1" si="14"/>
        <v>37.316975216422108</v>
      </c>
      <c r="AC56" s="454">
        <f t="shared" ca="1" si="14"/>
        <v>36.410416841790436</v>
      </c>
    </row>
    <row r="57" spans="2:40" s="440" customFormat="1">
      <c r="B57" s="455" t="s">
        <v>650</v>
      </c>
      <c r="D57" s="456"/>
      <c r="E57" s="456">
        <f t="shared" ref="E57:AC57" si="15">SUM(E55:E56)</f>
        <v>18.267391743119294</v>
      </c>
      <c r="F57" s="456">
        <f t="shared" si="15"/>
        <v>56.937478899082606</v>
      </c>
      <c r="G57" s="456">
        <f t="shared" si="15"/>
        <v>95.282899082568818</v>
      </c>
      <c r="H57" s="456">
        <f t="shared" si="15"/>
        <v>146.50573119266059</v>
      </c>
      <c r="I57" s="456">
        <f t="shared" si="15"/>
        <v>198.09493394495419</v>
      </c>
      <c r="J57" s="456">
        <f t="shared" si="15"/>
        <v>227.38490733944957</v>
      </c>
      <c r="K57" s="456">
        <f t="shared" si="15"/>
        <v>258.60587064220181</v>
      </c>
      <c r="L57" s="456">
        <f t="shared" si="15"/>
        <v>288.23884403669723</v>
      </c>
      <c r="M57" s="456">
        <f t="shared" si="15"/>
        <v>299.62139633027527</v>
      </c>
      <c r="N57" s="456">
        <f t="shared" si="15"/>
        <v>324.4399376146788</v>
      </c>
      <c r="O57" s="456">
        <f t="shared" si="15"/>
        <v>409.83407798165132</v>
      </c>
      <c r="P57" s="456">
        <f t="shared" si="15"/>
        <v>452.68155321100926</v>
      </c>
      <c r="Q57" s="456">
        <f t="shared" si="15"/>
        <v>511.4083440366972</v>
      </c>
      <c r="R57" s="456">
        <f t="shared" ca="1" si="15"/>
        <v>662.112547543255</v>
      </c>
      <c r="S57" s="456">
        <f t="shared" ca="1" si="15"/>
        <v>809.73824913179931</v>
      </c>
      <c r="T57" s="456">
        <f t="shared" ca="1" si="15"/>
        <v>890.32920797869042</v>
      </c>
      <c r="U57" s="456">
        <f t="shared" ca="1" si="15"/>
        <v>1081.0151476881192</v>
      </c>
      <c r="V57" s="456">
        <f t="shared" ca="1" si="15"/>
        <v>1317.2844646100009</v>
      </c>
      <c r="W57" s="456">
        <f t="shared" ca="1" si="15"/>
        <v>1433.1851282733758</v>
      </c>
      <c r="X57" s="456">
        <f t="shared" ca="1" si="15"/>
        <v>1641.26142127209</v>
      </c>
      <c r="Y57" s="456">
        <f t="shared" ca="1" si="15"/>
        <v>1821.4331656058821</v>
      </c>
      <c r="Z57" s="456">
        <f t="shared" ca="1" si="15"/>
        <v>1961.296617399641</v>
      </c>
      <c r="AA57" s="456">
        <f t="shared" ca="1" si="15"/>
        <v>2046.2497834593073</v>
      </c>
      <c r="AB57" s="456">
        <f t="shared" ca="1" si="15"/>
        <v>2061.3307662276584</v>
      </c>
      <c r="AC57" s="456">
        <f t="shared" ca="1" si="15"/>
        <v>2011.2539135842737</v>
      </c>
    </row>
    <row r="58" spans="2:40" hidden="1" outlineLevel="1">
      <c r="B58" s="461"/>
      <c r="P58" s="451"/>
      <c r="Q58" s="451"/>
      <c r="R58" s="451"/>
    </row>
    <row r="59" spans="2:40" hidden="1" outlineLevel="1">
      <c r="B59" s="449" t="s">
        <v>680</v>
      </c>
    </row>
    <row r="60" spans="2:40" hidden="1" outlineLevel="1">
      <c r="B60" s="444" t="s">
        <v>172</v>
      </c>
      <c r="E60" s="451">
        <f>+E$19</f>
        <v>173.45270000000028</v>
      </c>
      <c r="F60" s="451">
        <f>+E60</f>
        <v>173.45270000000028</v>
      </c>
      <c r="G60" s="451">
        <f t="shared" ref="G60:V66" si="16">+F60</f>
        <v>173.45270000000028</v>
      </c>
      <c r="H60" s="451">
        <f t="shared" si="16"/>
        <v>173.45270000000028</v>
      </c>
      <c r="I60" s="451">
        <f t="shared" si="16"/>
        <v>173.45270000000028</v>
      </c>
      <c r="J60" s="451">
        <f t="shared" si="16"/>
        <v>173.45270000000028</v>
      </c>
      <c r="K60" s="451">
        <f t="shared" si="16"/>
        <v>173.45270000000028</v>
      </c>
      <c r="L60" s="451">
        <f t="shared" si="16"/>
        <v>173.45270000000028</v>
      </c>
      <c r="M60" s="451">
        <f t="shared" si="16"/>
        <v>173.45270000000028</v>
      </c>
      <c r="N60" s="451">
        <f t="shared" si="16"/>
        <v>173.45270000000028</v>
      </c>
      <c r="O60" s="451">
        <f t="shared" si="16"/>
        <v>173.45270000000028</v>
      </c>
      <c r="P60" s="451">
        <f t="shared" si="16"/>
        <v>173.45270000000028</v>
      </c>
      <c r="Q60" s="451">
        <f t="shared" si="16"/>
        <v>173.45270000000028</v>
      </c>
      <c r="R60" s="451">
        <f t="shared" si="16"/>
        <v>173.45270000000028</v>
      </c>
      <c r="S60" s="451">
        <f t="shared" si="16"/>
        <v>173.45270000000028</v>
      </c>
      <c r="T60" s="451">
        <f t="shared" si="16"/>
        <v>173.45270000000028</v>
      </c>
      <c r="U60" s="451">
        <f t="shared" si="16"/>
        <v>173.45270000000028</v>
      </c>
      <c r="V60" s="451">
        <f t="shared" si="16"/>
        <v>173.45270000000028</v>
      </c>
      <c r="W60" s="451">
        <f t="shared" ref="N60:AC75" si="17">+V60</f>
        <v>173.45270000000028</v>
      </c>
      <c r="X60" s="451">
        <f t="shared" si="17"/>
        <v>173.45270000000028</v>
      </c>
      <c r="Y60" s="451">
        <f t="shared" si="17"/>
        <v>173.45270000000028</v>
      </c>
      <c r="Z60" s="451">
        <f t="shared" si="17"/>
        <v>173.45270000000028</v>
      </c>
      <c r="AA60" s="451">
        <f t="shared" si="17"/>
        <v>173.45270000000028</v>
      </c>
      <c r="AB60" s="451">
        <f t="shared" si="17"/>
        <v>173.45270000000028</v>
      </c>
      <c r="AC60" s="451">
        <f t="shared" si="17"/>
        <v>173.45270000000028</v>
      </c>
    </row>
    <row r="61" spans="2:40" hidden="1" outlineLevel="1">
      <c r="B61" s="444" t="s">
        <v>153</v>
      </c>
      <c r="F61" s="451">
        <f>+F$19</f>
        <v>249.94239999999991</v>
      </c>
      <c r="G61" s="451">
        <f>+F61</f>
        <v>249.94239999999991</v>
      </c>
      <c r="H61" s="451">
        <f t="shared" si="16"/>
        <v>249.94239999999991</v>
      </c>
      <c r="I61" s="451">
        <f t="shared" si="16"/>
        <v>249.94239999999991</v>
      </c>
      <c r="J61" s="451">
        <f t="shared" si="16"/>
        <v>249.94239999999991</v>
      </c>
      <c r="K61" s="451">
        <f t="shared" si="16"/>
        <v>249.94239999999991</v>
      </c>
      <c r="L61" s="451">
        <f t="shared" si="16"/>
        <v>249.94239999999991</v>
      </c>
      <c r="M61" s="451">
        <f t="shared" si="16"/>
        <v>249.94239999999991</v>
      </c>
      <c r="N61" s="451">
        <f t="shared" si="16"/>
        <v>249.94239999999991</v>
      </c>
      <c r="O61" s="451">
        <f t="shared" si="16"/>
        <v>249.94239999999991</v>
      </c>
      <c r="P61" s="451">
        <f t="shared" si="17"/>
        <v>249.94239999999991</v>
      </c>
      <c r="Q61" s="451">
        <f t="shared" si="17"/>
        <v>249.94239999999991</v>
      </c>
      <c r="R61" s="451">
        <f t="shared" si="17"/>
        <v>249.94239999999991</v>
      </c>
      <c r="S61" s="451">
        <f t="shared" si="17"/>
        <v>249.94239999999991</v>
      </c>
      <c r="T61" s="451">
        <f t="shared" si="17"/>
        <v>249.94239999999991</v>
      </c>
      <c r="U61" s="451">
        <f t="shared" si="17"/>
        <v>249.94239999999991</v>
      </c>
      <c r="V61" s="451">
        <f t="shared" si="17"/>
        <v>249.94239999999991</v>
      </c>
      <c r="W61" s="451">
        <f t="shared" si="17"/>
        <v>249.94239999999991</v>
      </c>
      <c r="X61" s="451">
        <f t="shared" si="17"/>
        <v>249.94239999999991</v>
      </c>
      <c r="Y61" s="451">
        <f t="shared" si="17"/>
        <v>249.94239999999991</v>
      </c>
      <c r="Z61" s="451">
        <f t="shared" si="17"/>
        <v>249.94239999999991</v>
      </c>
      <c r="AA61" s="451">
        <f t="shared" si="17"/>
        <v>249.94239999999991</v>
      </c>
      <c r="AB61" s="451">
        <f t="shared" si="17"/>
        <v>249.94239999999991</v>
      </c>
      <c r="AC61" s="451">
        <f t="shared" si="17"/>
        <v>249.94239999999991</v>
      </c>
    </row>
    <row r="62" spans="2:40" hidden="1" outlineLevel="1">
      <c r="B62" s="444" t="s">
        <v>152</v>
      </c>
      <c r="G62" s="451">
        <f>+G$19</f>
        <v>167.79159999999979</v>
      </c>
      <c r="H62" s="451">
        <f>+G62</f>
        <v>167.79159999999979</v>
      </c>
      <c r="I62" s="451">
        <f t="shared" si="16"/>
        <v>167.79159999999979</v>
      </c>
      <c r="J62" s="451">
        <f t="shared" si="16"/>
        <v>167.79159999999979</v>
      </c>
      <c r="K62" s="451">
        <f t="shared" si="16"/>
        <v>167.79159999999979</v>
      </c>
      <c r="L62" s="451">
        <f t="shared" si="16"/>
        <v>167.79159999999979</v>
      </c>
      <c r="M62" s="451">
        <f t="shared" si="16"/>
        <v>167.79159999999979</v>
      </c>
      <c r="N62" s="451">
        <f t="shared" si="16"/>
        <v>167.79159999999979</v>
      </c>
      <c r="O62" s="451">
        <f t="shared" si="16"/>
        <v>167.79159999999979</v>
      </c>
      <c r="P62" s="451">
        <f t="shared" si="17"/>
        <v>167.79159999999979</v>
      </c>
      <c r="Q62" s="451">
        <f t="shared" si="17"/>
        <v>167.79159999999979</v>
      </c>
      <c r="R62" s="451">
        <f t="shared" si="17"/>
        <v>167.79159999999979</v>
      </c>
      <c r="S62" s="451">
        <f t="shared" si="17"/>
        <v>167.79159999999979</v>
      </c>
      <c r="T62" s="451">
        <f t="shared" si="17"/>
        <v>167.79159999999979</v>
      </c>
      <c r="U62" s="451">
        <f t="shared" si="17"/>
        <v>167.79159999999979</v>
      </c>
      <c r="V62" s="451">
        <f t="shared" si="17"/>
        <v>167.79159999999979</v>
      </c>
      <c r="W62" s="451">
        <f t="shared" si="17"/>
        <v>167.79159999999979</v>
      </c>
      <c r="X62" s="451">
        <f t="shared" si="17"/>
        <v>167.79159999999979</v>
      </c>
      <c r="Y62" s="451">
        <f t="shared" si="17"/>
        <v>167.79159999999979</v>
      </c>
      <c r="Z62" s="451">
        <f t="shared" si="17"/>
        <v>167.79159999999979</v>
      </c>
      <c r="AA62" s="451">
        <f t="shared" si="17"/>
        <v>167.79159999999979</v>
      </c>
      <c r="AB62" s="451">
        <f t="shared" si="17"/>
        <v>167.79159999999979</v>
      </c>
      <c r="AC62" s="451">
        <f t="shared" si="17"/>
        <v>167.79159999999979</v>
      </c>
    </row>
    <row r="63" spans="2:40" hidden="1" outlineLevel="1">
      <c r="B63" s="444" t="s">
        <v>151</v>
      </c>
      <c r="H63" s="451">
        <f>+H$19</f>
        <v>386.13040000000046</v>
      </c>
      <c r="I63" s="451">
        <f>+H63</f>
        <v>386.13040000000046</v>
      </c>
      <c r="J63" s="451">
        <f t="shared" si="16"/>
        <v>386.13040000000046</v>
      </c>
      <c r="K63" s="451">
        <f t="shared" si="16"/>
        <v>386.13040000000046</v>
      </c>
      <c r="L63" s="451">
        <f t="shared" si="16"/>
        <v>386.13040000000046</v>
      </c>
      <c r="M63" s="451">
        <f t="shared" si="16"/>
        <v>386.13040000000046</v>
      </c>
      <c r="N63" s="451">
        <f t="shared" si="16"/>
        <v>386.13040000000046</v>
      </c>
      <c r="O63" s="451">
        <f t="shared" si="16"/>
        <v>386.13040000000046</v>
      </c>
      <c r="P63" s="451">
        <f t="shared" si="17"/>
        <v>386.13040000000046</v>
      </c>
      <c r="Q63" s="451">
        <f t="shared" si="17"/>
        <v>386.13040000000046</v>
      </c>
      <c r="R63" s="451">
        <f t="shared" si="17"/>
        <v>386.13040000000046</v>
      </c>
      <c r="S63" s="451">
        <f t="shared" si="17"/>
        <v>386.13040000000046</v>
      </c>
      <c r="T63" s="451">
        <f t="shared" si="17"/>
        <v>386.13040000000046</v>
      </c>
      <c r="U63" s="451">
        <f t="shared" si="17"/>
        <v>386.13040000000046</v>
      </c>
      <c r="V63" s="451">
        <f t="shared" si="17"/>
        <v>386.13040000000046</v>
      </c>
      <c r="W63" s="451">
        <f t="shared" si="17"/>
        <v>386.13040000000046</v>
      </c>
      <c r="X63" s="451">
        <f t="shared" si="17"/>
        <v>386.13040000000046</v>
      </c>
      <c r="Y63" s="451">
        <f t="shared" si="17"/>
        <v>386.13040000000046</v>
      </c>
      <c r="Z63" s="451">
        <f t="shared" si="17"/>
        <v>386.13040000000046</v>
      </c>
      <c r="AA63" s="451">
        <f t="shared" si="17"/>
        <v>386.13040000000046</v>
      </c>
      <c r="AB63" s="451">
        <f t="shared" si="17"/>
        <v>386.13040000000046</v>
      </c>
      <c r="AC63" s="451">
        <f t="shared" si="17"/>
        <v>386.13040000000046</v>
      </c>
    </row>
    <row r="64" spans="2:40" hidden="1" outlineLevel="1">
      <c r="B64" s="444" t="s">
        <v>150</v>
      </c>
      <c r="I64" s="451">
        <f>+I$19</f>
        <v>169.69659999999976</v>
      </c>
      <c r="J64" s="451">
        <f>+I64</f>
        <v>169.69659999999976</v>
      </c>
      <c r="K64" s="451">
        <f t="shared" si="16"/>
        <v>169.69659999999976</v>
      </c>
      <c r="L64" s="451">
        <f t="shared" si="16"/>
        <v>169.69659999999976</v>
      </c>
      <c r="M64" s="451">
        <f t="shared" si="16"/>
        <v>169.69659999999976</v>
      </c>
      <c r="N64" s="451">
        <f t="shared" si="16"/>
        <v>169.69659999999976</v>
      </c>
      <c r="O64" s="451">
        <f t="shared" si="16"/>
        <v>169.69659999999976</v>
      </c>
      <c r="P64" s="451">
        <f t="shared" si="17"/>
        <v>169.69659999999976</v>
      </c>
      <c r="Q64" s="451">
        <f t="shared" si="17"/>
        <v>169.69659999999976</v>
      </c>
      <c r="R64" s="451">
        <f t="shared" si="17"/>
        <v>169.69659999999976</v>
      </c>
      <c r="S64" s="451">
        <f t="shared" si="17"/>
        <v>169.69659999999976</v>
      </c>
      <c r="T64" s="451">
        <f t="shared" si="17"/>
        <v>169.69659999999976</v>
      </c>
      <c r="U64" s="451">
        <f t="shared" si="17"/>
        <v>169.69659999999976</v>
      </c>
      <c r="V64" s="451">
        <f t="shared" si="17"/>
        <v>169.69659999999976</v>
      </c>
      <c r="W64" s="451">
        <f t="shared" si="17"/>
        <v>169.69659999999976</v>
      </c>
      <c r="X64" s="451">
        <f t="shared" si="17"/>
        <v>169.69659999999976</v>
      </c>
      <c r="Y64" s="451">
        <f t="shared" si="17"/>
        <v>169.69659999999976</v>
      </c>
      <c r="Z64" s="451">
        <f t="shared" si="17"/>
        <v>169.69659999999976</v>
      </c>
      <c r="AA64" s="451">
        <f t="shared" si="17"/>
        <v>169.69659999999976</v>
      </c>
      <c r="AB64" s="451">
        <f t="shared" si="17"/>
        <v>169.69659999999976</v>
      </c>
      <c r="AC64" s="451">
        <f t="shared" si="17"/>
        <v>169.69659999999976</v>
      </c>
      <c r="AD64" s="451"/>
    </row>
    <row r="65" spans="2:40" hidden="1" outlineLevel="1">
      <c r="B65" s="444" t="s">
        <v>10</v>
      </c>
      <c r="J65" s="451">
        <f>+J$19</f>
        <v>161.01029999999992</v>
      </c>
      <c r="K65" s="451">
        <f>+J65</f>
        <v>161.01029999999992</v>
      </c>
      <c r="L65" s="451">
        <f t="shared" si="16"/>
        <v>161.01029999999992</v>
      </c>
      <c r="M65" s="451">
        <f t="shared" si="16"/>
        <v>161.01029999999992</v>
      </c>
      <c r="N65" s="451">
        <f t="shared" si="16"/>
        <v>161.01029999999992</v>
      </c>
      <c r="O65" s="451">
        <f t="shared" si="16"/>
        <v>161.01029999999992</v>
      </c>
      <c r="P65" s="451">
        <f t="shared" si="17"/>
        <v>161.01029999999992</v>
      </c>
      <c r="Q65" s="451">
        <f t="shared" si="17"/>
        <v>161.01029999999992</v>
      </c>
      <c r="R65" s="451">
        <f t="shared" si="17"/>
        <v>161.01029999999992</v>
      </c>
      <c r="S65" s="451">
        <f t="shared" si="17"/>
        <v>161.01029999999992</v>
      </c>
      <c r="T65" s="451">
        <f t="shared" si="17"/>
        <v>161.01029999999992</v>
      </c>
      <c r="U65" s="451">
        <f t="shared" si="17"/>
        <v>161.01029999999992</v>
      </c>
      <c r="V65" s="451">
        <f t="shared" si="17"/>
        <v>161.01029999999992</v>
      </c>
      <c r="W65" s="451">
        <f t="shared" si="17"/>
        <v>161.01029999999992</v>
      </c>
      <c r="X65" s="451">
        <f t="shared" si="17"/>
        <v>161.01029999999992</v>
      </c>
      <c r="Y65" s="451">
        <f t="shared" si="17"/>
        <v>161.01029999999992</v>
      </c>
      <c r="Z65" s="451">
        <f t="shared" si="17"/>
        <v>161.01029999999992</v>
      </c>
      <c r="AA65" s="451">
        <f t="shared" si="17"/>
        <v>161.01029999999992</v>
      </c>
      <c r="AB65" s="451">
        <f t="shared" si="17"/>
        <v>161.01029999999992</v>
      </c>
      <c r="AC65" s="451">
        <f t="shared" si="17"/>
        <v>161.01029999999992</v>
      </c>
      <c r="AD65" s="451"/>
      <c r="AE65" s="451"/>
    </row>
    <row r="66" spans="2:40" hidden="1" outlineLevel="1">
      <c r="B66" s="444" t="s">
        <v>11</v>
      </c>
      <c r="K66" s="451">
        <f>+K$19</f>
        <v>527.27659999999969</v>
      </c>
      <c r="L66" s="451">
        <f>+K66</f>
        <v>527.27659999999969</v>
      </c>
      <c r="M66" s="451">
        <f t="shared" si="16"/>
        <v>527.27659999999969</v>
      </c>
      <c r="N66" s="451">
        <f t="shared" si="16"/>
        <v>527.27659999999969</v>
      </c>
      <c r="O66" s="451">
        <f t="shared" si="16"/>
        <v>527.27659999999969</v>
      </c>
      <c r="P66" s="451">
        <f t="shared" si="16"/>
        <v>527.27659999999969</v>
      </c>
      <c r="Q66" s="451">
        <f t="shared" si="16"/>
        <v>527.27659999999969</v>
      </c>
      <c r="R66" s="451">
        <f t="shared" si="16"/>
        <v>527.27659999999969</v>
      </c>
      <c r="S66" s="451">
        <f t="shared" si="16"/>
        <v>527.27659999999969</v>
      </c>
      <c r="T66" s="451">
        <f t="shared" si="16"/>
        <v>527.27659999999969</v>
      </c>
      <c r="U66" s="451">
        <f t="shared" si="16"/>
        <v>527.27659999999969</v>
      </c>
      <c r="V66" s="451">
        <f t="shared" si="16"/>
        <v>527.27659999999969</v>
      </c>
      <c r="W66" s="451">
        <f t="shared" si="17"/>
        <v>527.27659999999969</v>
      </c>
      <c r="X66" s="451">
        <f t="shared" si="17"/>
        <v>527.27659999999969</v>
      </c>
      <c r="Y66" s="451">
        <f t="shared" si="17"/>
        <v>527.27659999999969</v>
      </c>
      <c r="Z66" s="451">
        <f t="shared" si="17"/>
        <v>527.27659999999969</v>
      </c>
      <c r="AA66" s="451">
        <f t="shared" si="17"/>
        <v>527.27659999999969</v>
      </c>
      <c r="AB66" s="451">
        <f t="shared" si="17"/>
        <v>527.27659999999969</v>
      </c>
      <c r="AC66" s="451">
        <f t="shared" si="17"/>
        <v>527.27659999999969</v>
      </c>
      <c r="AD66" s="451"/>
      <c r="AE66" s="451"/>
      <c r="AF66" s="451"/>
    </row>
    <row r="67" spans="2:40" hidden="1" outlineLevel="1">
      <c r="B67" s="444" t="s">
        <v>1</v>
      </c>
      <c r="L67" s="451">
        <f>+L$19</f>
        <v>286.57830000000058</v>
      </c>
      <c r="M67" s="451">
        <f>+L67</f>
        <v>286.57830000000058</v>
      </c>
      <c r="N67" s="451">
        <f t="shared" si="17"/>
        <v>286.57830000000058</v>
      </c>
      <c r="O67" s="451">
        <f t="shared" si="17"/>
        <v>286.57830000000058</v>
      </c>
      <c r="P67" s="451">
        <f t="shared" si="17"/>
        <v>286.57830000000058</v>
      </c>
      <c r="Q67" s="451">
        <f t="shared" si="17"/>
        <v>286.57830000000058</v>
      </c>
      <c r="R67" s="451">
        <f t="shared" si="17"/>
        <v>286.57830000000058</v>
      </c>
      <c r="S67" s="451">
        <f t="shared" si="17"/>
        <v>286.57830000000058</v>
      </c>
      <c r="T67" s="451">
        <f t="shared" si="17"/>
        <v>286.57830000000058</v>
      </c>
      <c r="U67" s="451">
        <f t="shared" si="17"/>
        <v>286.57830000000058</v>
      </c>
      <c r="V67" s="451">
        <f t="shared" si="17"/>
        <v>286.57830000000058</v>
      </c>
      <c r="W67" s="451">
        <f t="shared" si="17"/>
        <v>286.57830000000058</v>
      </c>
      <c r="X67" s="451">
        <f t="shared" si="17"/>
        <v>286.57830000000058</v>
      </c>
      <c r="Y67" s="451">
        <f t="shared" si="17"/>
        <v>286.57830000000058</v>
      </c>
      <c r="Z67" s="451">
        <f t="shared" si="17"/>
        <v>286.57830000000058</v>
      </c>
      <c r="AA67" s="451">
        <f t="shared" si="17"/>
        <v>286.57830000000058</v>
      </c>
      <c r="AB67" s="451">
        <f t="shared" si="17"/>
        <v>286.57830000000058</v>
      </c>
      <c r="AC67" s="451">
        <f t="shared" si="17"/>
        <v>286.57830000000058</v>
      </c>
      <c r="AD67" s="451"/>
      <c r="AE67" s="451"/>
      <c r="AF67" s="451"/>
      <c r="AG67" s="451"/>
    </row>
    <row r="68" spans="2:40" hidden="1" outlineLevel="1">
      <c r="B68" s="444" t="s">
        <v>2</v>
      </c>
      <c r="M68" s="451">
        <f>+M$19</f>
        <v>183.45269999999982</v>
      </c>
      <c r="N68" s="451">
        <f>+M68</f>
        <v>183.45269999999982</v>
      </c>
      <c r="O68" s="451">
        <f t="shared" si="17"/>
        <v>183.45269999999982</v>
      </c>
      <c r="P68" s="451">
        <f t="shared" si="17"/>
        <v>183.45269999999982</v>
      </c>
      <c r="Q68" s="451">
        <f t="shared" si="17"/>
        <v>183.45269999999982</v>
      </c>
      <c r="R68" s="451">
        <f t="shared" si="17"/>
        <v>183.45269999999982</v>
      </c>
      <c r="S68" s="451">
        <f t="shared" si="17"/>
        <v>183.45269999999982</v>
      </c>
      <c r="T68" s="451">
        <f t="shared" si="17"/>
        <v>183.45269999999982</v>
      </c>
      <c r="U68" s="451">
        <f t="shared" si="17"/>
        <v>183.45269999999982</v>
      </c>
      <c r="V68" s="451">
        <f t="shared" si="17"/>
        <v>183.45269999999982</v>
      </c>
      <c r="W68" s="451">
        <f t="shared" si="17"/>
        <v>183.45269999999982</v>
      </c>
      <c r="X68" s="451">
        <f t="shared" si="17"/>
        <v>183.45269999999982</v>
      </c>
      <c r="Y68" s="451">
        <f t="shared" si="17"/>
        <v>183.45269999999982</v>
      </c>
      <c r="Z68" s="451">
        <f t="shared" si="17"/>
        <v>183.45269999999982</v>
      </c>
      <c r="AA68" s="451">
        <f t="shared" si="17"/>
        <v>183.45269999999982</v>
      </c>
      <c r="AB68" s="451">
        <f t="shared" si="17"/>
        <v>183.45269999999982</v>
      </c>
      <c r="AC68" s="451">
        <f t="shared" si="17"/>
        <v>183.45269999999982</v>
      </c>
      <c r="AD68" s="451"/>
      <c r="AE68" s="451"/>
      <c r="AF68" s="451"/>
      <c r="AG68" s="451"/>
      <c r="AH68" s="451"/>
    </row>
    <row r="69" spans="2:40" hidden="1" outlineLevel="1">
      <c r="B69" s="444" t="s">
        <v>3</v>
      </c>
      <c r="N69" s="451">
        <f>+N$19</f>
        <v>819.0063999999993</v>
      </c>
      <c r="O69" s="451">
        <f>+N69</f>
        <v>819.0063999999993</v>
      </c>
      <c r="P69" s="451">
        <f t="shared" si="17"/>
        <v>819.0063999999993</v>
      </c>
      <c r="Q69" s="451">
        <f t="shared" si="17"/>
        <v>819.0063999999993</v>
      </c>
      <c r="R69" s="451">
        <f t="shared" si="17"/>
        <v>819.0063999999993</v>
      </c>
      <c r="S69" s="451">
        <f t="shared" si="17"/>
        <v>819.0063999999993</v>
      </c>
      <c r="T69" s="451">
        <f t="shared" si="17"/>
        <v>819.0063999999993</v>
      </c>
      <c r="U69" s="451">
        <f t="shared" si="17"/>
        <v>819.0063999999993</v>
      </c>
      <c r="V69" s="451">
        <f t="shared" si="17"/>
        <v>819.0063999999993</v>
      </c>
      <c r="W69" s="451">
        <f t="shared" si="17"/>
        <v>819.0063999999993</v>
      </c>
      <c r="X69" s="451">
        <f t="shared" si="17"/>
        <v>819.0063999999993</v>
      </c>
      <c r="Y69" s="451">
        <f t="shared" si="17"/>
        <v>819.0063999999993</v>
      </c>
      <c r="Z69" s="451">
        <f t="shared" si="17"/>
        <v>819.0063999999993</v>
      </c>
      <c r="AA69" s="451">
        <f t="shared" si="17"/>
        <v>819.0063999999993</v>
      </c>
      <c r="AB69" s="451">
        <f t="shared" si="17"/>
        <v>819.0063999999993</v>
      </c>
      <c r="AC69" s="451">
        <f t="shared" si="17"/>
        <v>819.0063999999993</v>
      </c>
      <c r="AD69" s="451"/>
      <c r="AE69" s="451"/>
      <c r="AF69" s="451"/>
      <c r="AG69" s="451"/>
      <c r="AH69" s="451"/>
      <c r="AI69" s="451"/>
    </row>
    <row r="70" spans="2:40" hidden="1" outlineLevel="1">
      <c r="B70" s="444" t="s">
        <v>4</v>
      </c>
      <c r="O70" s="451">
        <f>+O$19</f>
        <v>439.18540000000121</v>
      </c>
      <c r="P70" s="451">
        <f>+O70</f>
        <v>439.18540000000121</v>
      </c>
      <c r="Q70" s="451">
        <f t="shared" si="17"/>
        <v>439.18540000000121</v>
      </c>
      <c r="R70" s="451">
        <f t="shared" si="17"/>
        <v>439.18540000000121</v>
      </c>
      <c r="S70" s="451">
        <f t="shared" si="17"/>
        <v>439.18540000000121</v>
      </c>
      <c r="T70" s="451">
        <f t="shared" si="17"/>
        <v>439.18540000000121</v>
      </c>
      <c r="U70" s="451">
        <f t="shared" si="17"/>
        <v>439.18540000000121</v>
      </c>
      <c r="V70" s="451">
        <f t="shared" si="17"/>
        <v>439.18540000000121</v>
      </c>
      <c r="W70" s="451">
        <f t="shared" si="17"/>
        <v>439.18540000000121</v>
      </c>
      <c r="X70" s="451">
        <f t="shared" si="17"/>
        <v>439.18540000000121</v>
      </c>
      <c r="Y70" s="451">
        <f t="shared" si="17"/>
        <v>439.18540000000121</v>
      </c>
      <c r="Z70" s="451">
        <f t="shared" si="17"/>
        <v>439.18540000000121</v>
      </c>
      <c r="AA70" s="451">
        <f t="shared" si="17"/>
        <v>439.18540000000121</v>
      </c>
      <c r="AB70" s="451">
        <f t="shared" si="17"/>
        <v>439.18540000000121</v>
      </c>
      <c r="AC70" s="451">
        <f t="shared" si="17"/>
        <v>439.18540000000121</v>
      </c>
      <c r="AD70" s="451"/>
      <c r="AE70" s="451"/>
      <c r="AF70" s="451"/>
      <c r="AG70" s="451"/>
      <c r="AH70" s="451"/>
      <c r="AI70" s="451"/>
      <c r="AJ70" s="451"/>
    </row>
    <row r="71" spans="2:40" hidden="1" outlineLevel="1">
      <c r="B71" s="444" t="s">
        <v>5</v>
      </c>
      <c r="P71" s="451">
        <f>+P$19</f>
        <v>380.51629999999932</v>
      </c>
      <c r="Q71" s="451">
        <f>+P71</f>
        <v>380.51629999999932</v>
      </c>
      <c r="R71" s="451">
        <f t="shared" si="17"/>
        <v>380.51629999999932</v>
      </c>
      <c r="S71" s="451">
        <f t="shared" si="17"/>
        <v>380.51629999999932</v>
      </c>
      <c r="T71" s="451">
        <f t="shared" si="17"/>
        <v>380.51629999999932</v>
      </c>
      <c r="U71" s="451">
        <f t="shared" si="17"/>
        <v>380.51629999999932</v>
      </c>
      <c r="V71" s="451">
        <f t="shared" si="17"/>
        <v>380.51629999999932</v>
      </c>
      <c r="W71" s="451">
        <f t="shared" si="17"/>
        <v>380.51629999999932</v>
      </c>
      <c r="X71" s="451">
        <f t="shared" si="17"/>
        <v>380.51629999999932</v>
      </c>
      <c r="Y71" s="451">
        <f t="shared" si="17"/>
        <v>380.51629999999932</v>
      </c>
      <c r="Z71" s="451">
        <f t="shared" si="17"/>
        <v>380.51629999999932</v>
      </c>
      <c r="AA71" s="451">
        <f t="shared" si="17"/>
        <v>380.51629999999932</v>
      </c>
      <c r="AB71" s="451">
        <f t="shared" si="17"/>
        <v>380.51629999999932</v>
      </c>
      <c r="AC71" s="451">
        <f t="shared" si="17"/>
        <v>380.51629999999932</v>
      </c>
      <c r="AD71" s="451"/>
      <c r="AE71" s="451"/>
      <c r="AF71" s="451"/>
      <c r="AG71" s="451"/>
      <c r="AH71" s="451"/>
      <c r="AI71" s="451"/>
      <c r="AJ71" s="451"/>
      <c r="AK71" s="451"/>
    </row>
    <row r="72" spans="2:40" hidden="1" outlineLevel="1">
      <c r="B72" s="444" t="s">
        <v>68</v>
      </c>
      <c r="Q72" s="451">
        <f>+Q$19</f>
        <v>1284.6161999999995</v>
      </c>
      <c r="R72" s="451">
        <f>+Q72</f>
        <v>1284.6161999999995</v>
      </c>
      <c r="S72" s="451">
        <f t="shared" si="17"/>
        <v>1284.6161999999995</v>
      </c>
      <c r="T72" s="451">
        <f t="shared" si="17"/>
        <v>1284.6161999999995</v>
      </c>
      <c r="U72" s="451">
        <f t="shared" si="17"/>
        <v>1284.6161999999995</v>
      </c>
      <c r="V72" s="451">
        <f t="shared" si="17"/>
        <v>1284.6161999999995</v>
      </c>
      <c r="W72" s="451">
        <f t="shared" si="17"/>
        <v>1284.6161999999995</v>
      </c>
      <c r="X72" s="451">
        <f t="shared" si="17"/>
        <v>1284.6161999999995</v>
      </c>
      <c r="Y72" s="451">
        <f t="shared" si="17"/>
        <v>1284.6161999999995</v>
      </c>
      <c r="Z72" s="451">
        <f t="shared" si="17"/>
        <v>1284.6161999999995</v>
      </c>
      <c r="AA72" s="451">
        <f t="shared" si="17"/>
        <v>1284.6161999999995</v>
      </c>
      <c r="AB72" s="451">
        <f t="shared" si="17"/>
        <v>1284.6161999999995</v>
      </c>
      <c r="AC72" s="451">
        <f t="shared" si="17"/>
        <v>1284.6161999999995</v>
      </c>
      <c r="AD72" s="451"/>
      <c r="AE72" s="451"/>
      <c r="AF72" s="451"/>
      <c r="AG72" s="451"/>
      <c r="AH72" s="451"/>
      <c r="AI72" s="451"/>
      <c r="AJ72" s="451"/>
      <c r="AK72" s="451"/>
      <c r="AL72" s="451"/>
    </row>
    <row r="73" spans="2:40" hidden="1" outlineLevel="1">
      <c r="B73" s="444" t="s">
        <v>6</v>
      </c>
      <c r="R73" s="451">
        <f ca="1">+R$19</f>
        <v>891.16573658294215</v>
      </c>
      <c r="S73" s="451">
        <f ca="1">+R73</f>
        <v>891.16573658294215</v>
      </c>
      <c r="T73" s="451">
        <f t="shared" ca="1" si="17"/>
        <v>891.16573658294215</v>
      </c>
      <c r="U73" s="451">
        <f t="shared" ca="1" si="17"/>
        <v>891.16573658294215</v>
      </c>
      <c r="V73" s="451">
        <f t="shared" ca="1" si="17"/>
        <v>891.16573658294215</v>
      </c>
      <c r="W73" s="451">
        <f t="shared" ca="1" si="17"/>
        <v>891.16573658294215</v>
      </c>
      <c r="X73" s="451">
        <f t="shared" ca="1" si="17"/>
        <v>891.16573658294215</v>
      </c>
      <c r="Y73" s="451">
        <f t="shared" ca="1" si="17"/>
        <v>891.16573658294215</v>
      </c>
      <c r="Z73" s="451">
        <f t="shared" ca="1" si="17"/>
        <v>891.16573658294215</v>
      </c>
      <c r="AA73" s="451">
        <f t="shared" ca="1" si="17"/>
        <v>891.16573658294215</v>
      </c>
      <c r="AB73" s="451">
        <f t="shared" ca="1" si="17"/>
        <v>891.16573658294215</v>
      </c>
      <c r="AC73" s="451">
        <f t="shared" ca="1" si="17"/>
        <v>891.16573658294215</v>
      </c>
      <c r="AD73" s="451"/>
      <c r="AE73" s="451"/>
      <c r="AF73" s="451"/>
      <c r="AG73" s="451"/>
      <c r="AH73" s="451"/>
      <c r="AI73" s="451"/>
      <c r="AJ73" s="451"/>
      <c r="AK73" s="451"/>
      <c r="AL73" s="451"/>
      <c r="AM73" s="451"/>
    </row>
    <row r="74" spans="2:40" hidden="1" outlineLevel="1">
      <c r="B74" s="444" t="s">
        <v>22</v>
      </c>
      <c r="S74" s="451">
        <f ca="1">+S$19</f>
        <v>1119.2847288700232</v>
      </c>
      <c r="T74" s="451">
        <f ca="1">+S74</f>
        <v>1119.2847288700232</v>
      </c>
      <c r="U74" s="451">
        <f t="shared" ca="1" si="17"/>
        <v>1119.2847288700232</v>
      </c>
      <c r="V74" s="451">
        <f t="shared" ca="1" si="17"/>
        <v>1119.2847288700232</v>
      </c>
      <c r="W74" s="451">
        <f t="shared" ca="1" si="17"/>
        <v>1119.2847288700232</v>
      </c>
      <c r="X74" s="451">
        <f t="shared" ca="1" si="17"/>
        <v>1119.2847288700232</v>
      </c>
      <c r="Y74" s="451">
        <f t="shared" ca="1" si="17"/>
        <v>1119.2847288700232</v>
      </c>
      <c r="Z74" s="451">
        <f t="shared" ca="1" si="17"/>
        <v>1119.2847288700232</v>
      </c>
      <c r="AA74" s="451">
        <f t="shared" ca="1" si="17"/>
        <v>1119.2847288700232</v>
      </c>
      <c r="AB74" s="451">
        <f t="shared" ca="1" si="17"/>
        <v>1119.2847288700232</v>
      </c>
      <c r="AC74" s="451">
        <f t="shared" ca="1" si="17"/>
        <v>1119.2847288700232</v>
      </c>
      <c r="AD74" s="451"/>
      <c r="AE74" s="451"/>
      <c r="AF74" s="451"/>
      <c r="AG74" s="451"/>
      <c r="AH74" s="451"/>
      <c r="AI74" s="451"/>
      <c r="AJ74" s="451"/>
      <c r="AK74" s="451"/>
      <c r="AL74" s="451"/>
      <c r="AM74" s="451"/>
      <c r="AN74" s="451"/>
    </row>
    <row r="75" spans="2:40" hidden="1" outlineLevel="1">
      <c r="B75" s="444" t="s">
        <v>23</v>
      </c>
      <c r="S75" s="451"/>
      <c r="T75" s="451">
        <f ca="1">+T$19</f>
        <v>1343.2846968029478</v>
      </c>
      <c r="U75" s="451">
        <f ca="1">+T75</f>
        <v>1343.2846968029478</v>
      </c>
      <c r="V75" s="451">
        <f t="shared" ca="1" si="17"/>
        <v>1343.2846968029478</v>
      </c>
      <c r="W75" s="451">
        <f t="shared" ca="1" si="17"/>
        <v>1343.2846968029478</v>
      </c>
      <c r="X75" s="451">
        <f t="shared" ca="1" si="17"/>
        <v>1343.2846968029478</v>
      </c>
      <c r="Y75" s="451">
        <f t="shared" ca="1" si="17"/>
        <v>1343.2846968029478</v>
      </c>
      <c r="Z75" s="451">
        <f t="shared" ca="1" si="17"/>
        <v>1343.2846968029478</v>
      </c>
      <c r="AA75" s="451">
        <f t="shared" ca="1" si="17"/>
        <v>1343.2846968029478</v>
      </c>
      <c r="AB75" s="451">
        <f t="shared" ca="1" si="17"/>
        <v>1343.2846968029478</v>
      </c>
      <c r="AC75" s="451">
        <f t="shared" ca="1" si="17"/>
        <v>1343.2846968029478</v>
      </c>
      <c r="AD75" s="451"/>
      <c r="AE75" s="451"/>
      <c r="AF75" s="451"/>
      <c r="AG75" s="451"/>
      <c r="AH75" s="451"/>
      <c r="AI75" s="451"/>
      <c r="AJ75" s="451"/>
      <c r="AK75" s="451"/>
      <c r="AL75" s="451"/>
      <c r="AM75" s="451"/>
      <c r="AN75" s="451"/>
    </row>
    <row r="76" spans="2:40" hidden="1" outlineLevel="1">
      <c r="B76" s="444" t="s">
        <v>24</v>
      </c>
      <c r="S76" s="451"/>
      <c r="T76" s="451"/>
      <c r="U76" s="451">
        <f ca="1">+U$19</f>
        <v>1570.0685613401554</v>
      </c>
      <c r="V76" s="451">
        <f ca="1">+U76</f>
        <v>1570.0685613401554</v>
      </c>
      <c r="W76" s="451">
        <f t="shared" ref="W76:AC81" ca="1" si="18">+V76</f>
        <v>1570.0685613401554</v>
      </c>
      <c r="X76" s="451">
        <f t="shared" ca="1" si="18"/>
        <v>1570.0685613401554</v>
      </c>
      <c r="Y76" s="451">
        <f t="shared" ca="1" si="18"/>
        <v>1570.0685613401554</v>
      </c>
      <c r="Z76" s="451">
        <f t="shared" ca="1" si="18"/>
        <v>1570.0685613401554</v>
      </c>
      <c r="AA76" s="451">
        <f t="shared" ca="1" si="18"/>
        <v>1570.0685613401554</v>
      </c>
      <c r="AB76" s="451">
        <f t="shared" ca="1" si="18"/>
        <v>1570.0685613401554</v>
      </c>
      <c r="AC76" s="451">
        <f t="shared" ca="1" si="18"/>
        <v>1570.0685613401554</v>
      </c>
      <c r="AD76" s="451"/>
      <c r="AE76" s="451"/>
      <c r="AF76" s="451"/>
      <c r="AG76" s="451"/>
      <c r="AH76" s="451"/>
      <c r="AI76" s="451"/>
      <c r="AJ76" s="451"/>
      <c r="AK76" s="451"/>
      <c r="AL76" s="451"/>
      <c r="AM76" s="451"/>
      <c r="AN76" s="451"/>
    </row>
    <row r="77" spans="2:40" hidden="1" outlineLevel="1">
      <c r="B77" s="444" t="s">
        <v>25</v>
      </c>
      <c r="S77" s="451"/>
      <c r="T77" s="451"/>
      <c r="U77" s="451"/>
      <c r="V77" s="451">
        <f ca="1">+V$19</f>
        <v>1810.087403575664</v>
      </c>
      <c r="W77" s="451">
        <f ca="1">+V77</f>
        <v>1810.087403575664</v>
      </c>
      <c r="X77" s="451">
        <f t="shared" ca="1" si="18"/>
        <v>1810.087403575664</v>
      </c>
      <c r="Y77" s="451">
        <f t="shared" ca="1" si="18"/>
        <v>1810.087403575664</v>
      </c>
      <c r="Z77" s="451">
        <f t="shared" ca="1" si="18"/>
        <v>1810.087403575664</v>
      </c>
      <c r="AA77" s="451">
        <f t="shared" ca="1" si="18"/>
        <v>1810.087403575664</v>
      </c>
      <c r="AB77" s="451">
        <f t="shared" ca="1" si="18"/>
        <v>1810.087403575664</v>
      </c>
      <c r="AC77" s="451">
        <f t="shared" ca="1" si="18"/>
        <v>1810.087403575664</v>
      </c>
      <c r="AD77" s="451"/>
      <c r="AE77" s="451"/>
      <c r="AF77" s="451"/>
      <c r="AG77" s="451"/>
      <c r="AH77" s="451"/>
      <c r="AI77" s="451"/>
      <c r="AJ77" s="451"/>
      <c r="AK77" s="451"/>
      <c r="AL77" s="451"/>
      <c r="AM77" s="451"/>
      <c r="AN77" s="451"/>
    </row>
    <row r="78" spans="2:40" hidden="1" outlineLevel="1">
      <c r="B78" s="444" t="s">
        <v>26</v>
      </c>
      <c r="S78" s="451"/>
      <c r="T78" s="451"/>
      <c r="U78" s="451"/>
      <c r="V78" s="451"/>
      <c r="W78" s="451">
        <f ca="1">+W$19</f>
        <v>1960.2469204528734</v>
      </c>
      <c r="X78" s="451">
        <f ca="1">+W78</f>
        <v>1960.2469204528734</v>
      </c>
      <c r="Y78" s="451">
        <f t="shared" ca="1" si="18"/>
        <v>1960.2469204528734</v>
      </c>
      <c r="Z78" s="451">
        <f t="shared" ca="1" si="18"/>
        <v>1960.2469204528734</v>
      </c>
      <c r="AA78" s="451">
        <f t="shared" ca="1" si="18"/>
        <v>1960.2469204528734</v>
      </c>
      <c r="AB78" s="451">
        <f t="shared" ca="1" si="18"/>
        <v>1960.2469204528734</v>
      </c>
      <c r="AC78" s="451">
        <f t="shared" ca="1" si="18"/>
        <v>1960.2469204528734</v>
      </c>
      <c r="AD78" s="451"/>
      <c r="AE78" s="451"/>
      <c r="AF78" s="451"/>
      <c r="AG78" s="451"/>
      <c r="AH78" s="451"/>
      <c r="AI78" s="451"/>
      <c r="AJ78" s="451"/>
      <c r="AK78" s="451"/>
      <c r="AL78" s="451"/>
      <c r="AM78" s="451"/>
      <c r="AN78" s="451"/>
    </row>
    <row r="79" spans="2:40" hidden="1" outlineLevel="1">
      <c r="B79" s="444" t="s">
        <v>27</v>
      </c>
      <c r="S79" s="451"/>
      <c r="T79" s="451"/>
      <c r="U79" s="451"/>
      <c r="V79" s="451"/>
      <c r="W79" s="451"/>
      <c r="X79" s="451">
        <f ca="1">+X$19</f>
        <v>2071.8690947022633</v>
      </c>
      <c r="Y79" s="451">
        <f ca="1">+X79</f>
        <v>2071.8690947022633</v>
      </c>
      <c r="Z79" s="451">
        <f t="shared" ca="1" si="18"/>
        <v>2071.8690947022633</v>
      </c>
      <c r="AA79" s="451">
        <f t="shared" ca="1" si="18"/>
        <v>2071.8690947022633</v>
      </c>
      <c r="AB79" s="451">
        <f t="shared" ca="1" si="18"/>
        <v>2071.8690947022633</v>
      </c>
      <c r="AC79" s="451">
        <f t="shared" ca="1" si="18"/>
        <v>2071.8690947022633</v>
      </c>
      <c r="AD79" s="451"/>
      <c r="AE79" s="451"/>
      <c r="AF79" s="451"/>
      <c r="AG79" s="451"/>
      <c r="AH79" s="451"/>
      <c r="AI79" s="451"/>
      <c r="AJ79" s="451"/>
      <c r="AK79" s="451"/>
      <c r="AL79" s="451"/>
      <c r="AM79" s="451"/>
      <c r="AN79" s="451"/>
    </row>
    <row r="80" spans="2:40" hidden="1" outlineLevel="1">
      <c r="B80" s="444" t="s">
        <v>38</v>
      </c>
      <c r="S80" s="451"/>
      <c r="T80" s="451"/>
      <c r="U80" s="451"/>
      <c r="V80" s="451"/>
      <c r="W80" s="451"/>
      <c r="X80" s="451"/>
      <c r="Y80" s="451">
        <f ca="1">+Y$19</f>
        <v>2117.4197269599472</v>
      </c>
      <c r="Z80" s="451">
        <f ca="1">+Y80</f>
        <v>2117.4197269599472</v>
      </c>
      <c r="AA80" s="451">
        <f t="shared" ca="1" si="18"/>
        <v>2117.4197269599472</v>
      </c>
      <c r="AB80" s="451">
        <f t="shared" ca="1" si="18"/>
        <v>2117.4197269599472</v>
      </c>
      <c r="AC80" s="451">
        <f t="shared" ca="1" si="18"/>
        <v>2117.4197269599472</v>
      </c>
      <c r="AD80" s="451"/>
      <c r="AE80" s="451"/>
      <c r="AF80" s="451"/>
      <c r="AG80" s="451"/>
      <c r="AH80" s="451"/>
      <c r="AI80" s="451"/>
      <c r="AJ80" s="451"/>
      <c r="AK80" s="451"/>
      <c r="AL80" s="451"/>
      <c r="AM80" s="451"/>
      <c r="AN80" s="451"/>
    </row>
    <row r="81" spans="2:40" hidden="1" outlineLevel="1">
      <c r="B81" s="444" t="s">
        <v>39</v>
      </c>
      <c r="S81" s="451"/>
      <c r="T81" s="451"/>
      <c r="U81" s="451"/>
      <c r="V81" s="451"/>
      <c r="W81" s="451"/>
      <c r="X81" s="451"/>
      <c r="Y81" s="451"/>
      <c r="Z81" s="451">
        <f ca="1">+Z$19</f>
        <v>2088.7409227877301</v>
      </c>
      <c r="AA81" s="451">
        <f ca="1">+Z81</f>
        <v>2088.7409227877301</v>
      </c>
      <c r="AB81" s="451">
        <f t="shared" ca="1" si="18"/>
        <v>2088.7409227877301</v>
      </c>
      <c r="AC81" s="451">
        <f t="shared" ca="1" si="18"/>
        <v>2088.7409227877301</v>
      </c>
      <c r="AD81" s="451"/>
      <c r="AE81" s="451"/>
      <c r="AF81" s="451"/>
      <c r="AG81" s="451"/>
      <c r="AH81" s="451"/>
      <c r="AI81" s="451"/>
      <c r="AJ81" s="451"/>
      <c r="AK81" s="451"/>
      <c r="AL81" s="451"/>
      <c r="AM81" s="451"/>
      <c r="AN81" s="451"/>
    </row>
    <row r="82" spans="2:40" hidden="1" outlineLevel="1">
      <c r="B82" s="444" t="s">
        <v>40</v>
      </c>
      <c r="S82" s="451"/>
      <c r="T82" s="451"/>
      <c r="U82" s="451"/>
      <c r="V82" s="451"/>
      <c r="W82" s="451"/>
      <c r="X82" s="451"/>
      <c r="Y82" s="451"/>
      <c r="Z82" s="451"/>
      <c r="AA82" s="451">
        <f ca="1">+AA$19</f>
        <v>1984.6240896560289</v>
      </c>
      <c r="AB82" s="451">
        <f ca="1">+AA82</f>
        <v>1984.6240896560289</v>
      </c>
      <c r="AC82" s="451">
        <f ca="1">+AB82</f>
        <v>1984.6240896560289</v>
      </c>
      <c r="AD82" s="451"/>
      <c r="AE82" s="451"/>
      <c r="AF82" s="451"/>
      <c r="AG82" s="451"/>
      <c r="AH82" s="451"/>
      <c r="AI82" s="451"/>
      <c r="AJ82" s="451"/>
      <c r="AK82" s="451"/>
      <c r="AL82" s="451"/>
      <c r="AM82" s="451"/>
      <c r="AN82" s="451"/>
    </row>
    <row r="83" spans="2:40" hidden="1" outlineLevel="1">
      <c r="B83" s="444" t="s">
        <v>41</v>
      </c>
      <c r="S83" s="451"/>
      <c r="T83" s="451"/>
      <c r="U83" s="451"/>
      <c r="V83" s="451"/>
      <c r="W83" s="451"/>
      <c r="X83" s="451"/>
      <c r="Y83" s="451"/>
      <c r="Z83" s="451"/>
      <c r="AA83" s="451"/>
      <c r="AB83" s="451">
        <f ca="1">+AB$19</f>
        <v>1811.9735049500773</v>
      </c>
      <c r="AC83" s="451">
        <f ca="1">+AB83</f>
        <v>1811.9735049500773</v>
      </c>
      <c r="AD83" s="451"/>
      <c r="AE83" s="451"/>
      <c r="AF83" s="451"/>
      <c r="AG83" s="451"/>
      <c r="AH83" s="451"/>
      <c r="AI83" s="451"/>
      <c r="AJ83" s="451"/>
      <c r="AK83" s="451"/>
      <c r="AL83" s="451"/>
      <c r="AM83" s="451"/>
      <c r="AN83" s="451"/>
    </row>
    <row r="84" spans="2:40" hidden="1" outlineLevel="1">
      <c r="B84" s="444" t="s">
        <v>112</v>
      </c>
      <c r="S84" s="451"/>
      <c r="T84" s="451"/>
      <c r="U84" s="451"/>
      <c r="V84" s="451"/>
      <c r="W84" s="451"/>
      <c r="X84" s="451"/>
      <c r="Y84" s="451"/>
      <c r="Z84" s="451"/>
      <c r="AA84" s="451"/>
      <c r="AB84" s="451"/>
      <c r="AC84" s="451">
        <f ca="1">+AC$19</f>
        <v>1583.7263458511995</v>
      </c>
      <c r="AD84" s="451"/>
      <c r="AE84" s="451"/>
      <c r="AF84" s="451"/>
      <c r="AG84" s="451"/>
      <c r="AH84" s="451"/>
      <c r="AI84" s="451"/>
      <c r="AJ84" s="451"/>
      <c r="AK84" s="451"/>
      <c r="AL84" s="451"/>
      <c r="AM84" s="451"/>
      <c r="AN84" s="451"/>
    </row>
    <row r="85" spans="2:40" hidden="1" outlineLevel="1"/>
    <row r="86" spans="2:40" hidden="1" outlineLevel="1">
      <c r="B86" s="449" t="s">
        <v>672</v>
      </c>
    </row>
    <row r="87" spans="2:40" hidden="1" outlineLevel="1">
      <c r="B87" s="444" t="s">
        <v>172</v>
      </c>
      <c r="E87" s="451">
        <f>+SUM($D22:E22)</f>
        <v>15.91309174311929</v>
      </c>
      <c r="F87" s="451">
        <f>+SUM($D22:F22)</f>
        <v>47.739275229357872</v>
      </c>
      <c r="G87" s="451">
        <f>+SUM($D22:G22)</f>
        <v>79.565458715596449</v>
      </c>
      <c r="H87" s="451">
        <f>+SUM($D22:H22)</f>
        <v>111.39164220183503</v>
      </c>
      <c r="I87" s="451">
        <f>+SUM($D22:I22)</f>
        <v>143.21782568807362</v>
      </c>
      <c r="J87" s="451">
        <f>+SUM($D22:J22)</f>
        <v>173.45270000000028</v>
      </c>
      <c r="K87" s="451">
        <f>+SUM($D22:K22)</f>
        <v>173.45270000000028</v>
      </c>
      <c r="L87" s="451">
        <f>+SUM($D22:L22)</f>
        <v>173.45270000000028</v>
      </c>
      <c r="M87" s="451">
        <f>+SUM($D22:M22)</f>
        <v>173.45270000000028</v>
      </c>
      <c r="N87" s="451">
        <f>+SUM($D22:N22)</f>
        <v>173.45270000000028</v>
      </c>
      <c r="O87" s="451">
        <f>+SUM($D22:O22)</f>
        <v>173.45270000000028</v>
      </c>
      <c r="P87" s="451">
        <f>+SUM($D22:P22)</f>
        <v>173.45270000000028</v>
      </c>
      <c r="Q87" s="451">
        <f>+SUM($D22:Q22)</f>
        <v>173.45270000000028</v>
      </c>
      <c r="R87" s="451">
        <f>+SUM($D22:R22)</f>
        <v>173.45270000000028</v>
      </c>
      <c r="S87" s="451">
        <f>+SUM($D22:S22)</f>
        <v>173.45270000000028</v>
      </c>
      <c r="T87" s="451">
        <f>+SUM($D22:T22)</f>
        <v>173.45270000000028</v>
      </c>
      <c r="U87" s="451">
        <f>+SUM($D22:U22)</f>
        <v>173.45270000000028</v>
      </c>
      <c r="V87" s="451">
        <f>+SUM($D22:V22)</f>
        <v>173.45270000000028</v>
      </c>
      <c r="W87" s="451">
        <f>+SUM($D22:W22)</f>
        <v>173.45270000000028</v>
      </c>
      <c r="X87" s="451">
        <f>+SUM($D22:X22)</f>
        <v>173.45270000000028</v>
      </c>
      <c r="Y87" s="451">
        <f>+SUM($D22:Y22)</f>
        <v>173.45270000000028</v>
      </c>
      <c r="Z87" s="451">
        <f>+SUM($D22:Z22)</f>
        <v>173.45270000000028</v>
      </c>
      <c r="AA87" s="451">
        <f>+SUM($D22:AA22)</f>
        <v>173.45270000000028</v>
      </c>
      <c r="AB87" s="451">
        <f>+SUM($D22:AB22)</f>
        <v>173.45270000000028</v>
      </c>
      <c r="AC87" s="451">
        <f>+SUM($D22:AC22)</f>
        <v>173.45270000000028</v>
      </c>
    </row>
    <row r="88" spans="2:40" hidden="1" outlineLevel="1">
      <c r="B88" s="444" t="s">
        <v>153</v>
      </c>
      <c r="F88" s="451">
        <f>+SUM($D23:F23)</f>
        <v>22.930495412844028</v>
      </c>
      <c r="G88" s="451">
        <f>+SUM($D23:G23)</f>
        <v>68.791486238532087</v>
      </c>
      <c r="H88" s="451">
        <f>+SUM($D23:H23)</f>
        <v>114.65247706422014</v>
      </c>
      <c r="I88" s="451">
        <f>+SUM($D23:I23)</f>
        <v>160.51346788990818</v>
      </c>
      <c r="J88" s="451">
        <f>+SUM($D23:J23)</f>
        <v>206.37445871559623</v>
      </c>
      <c r="K88" s="451">
        <f>+SUM($D23:K23)</f>
        <v>249.94239999999991</v>
      </c>
      <c r="L88" s="451">
        <f>+SUM($D23:L23)</f>
        <v>249.94239999999991</v>
      </c>
      <c r="M88" s="451">
        <f>+SUM($D23:M23)</f>
        <v>249.94239999999991</v>
      </c>
      <c r="N88" s="451">
        <f>+SUM($D23:N23)</f>
        <v>249.94239999999991</v>
      </c>
      <c r="O88" s="451">
        <f>+SUM($D23:O23)</f>
        <v>249.94239999999991</v>
      </c>
      <c r="P88" s="451">
        <f>+SUM($D23:P23)</f>
        <v>249.94239999999991</v>
      </c>
      <c r="Q88" s="451">
        <f>+SUM($D23:Q23)</f>
        <v>249.94239999999991</v>
      </c>
      <c r="R88" s="451">
        <f>+SUM($D23:R23)</f>
        <v>249.94239999999991</v>
      </c>
      <c r="S88" s="451">
        <f>+SUM($D23:S23)</f>
        <v>249.94239999999991</v>
      </c>
      <c r="T88" s="451">
        <f>+SUM($D23:T23)</f>
        <v>249.94239999999991</v>
      </c>
      <c r="U88" s="451">
        <f>+SUM($D23:U23)</f>
        <v>249.94239999999991</v>
      </c>
      <c r="V88" s="451">
        <f>+SUM($D23:V23)</f>
        <v>249.94239999999991</v>
      </c>
      <c r="W88" s="451">
        <f>+SUM($D23:W23)</f>
        <v>249.94239999999991</v>
      </c>
      <c r="X88" s="451">
        <f>+SUM($D23:X23)</f>
        <v>249.94239999999991</v>
      </c>
      <c r="Y88" s="451">
        <f>+SUM($D23:Y23)</f>
        <v>249.94239999999991</v>
      </c>
      <c r="Z88" s="451">
        <f>+SUM($D23:Z23)</f>
        <v>249.94239999999991</v>
      </c>
      <c r="AA88" s="451">
        <f>+SUM($D23:AA23)</f>
        <v>249.94239999999991</v>
      </c>
      <c r="AB88" s="451">
        <f>+SUM($D23:AB23)</f>
        <v>249.94239999999991</v>
      </c>
      <c r="AC88" s="451">
        <f>+SUM($D23:AC23)</f>
        <v>249.94239999999991</v>
      </c>
    </row>
    <row r="89" spans="2:40" hidden="1" outlineLevel="1">
      <c r="B89" s="444" t="s">
        <v>152</v>
      </c>
      <c r="G89" s="451">
        <f>+SUM($D24:G24)</f>
        <v>15.393724770642182</v>
      </c>
      <c r="H89" s="451">
        <f>+SUM($D24:H24)</f>
        <v>46.181174311926547</v>
      </c>
      <c r="I89" s="451">
        <f>+SUM($D24:I24)</f>
        <v>76.968623853210914</v>
      </c>
      <c r="J89" s="451">
        <f>+SUM($D24:J24)</f>
        <v>107.75607339449527</v>
      </c>
      <c r="K89" s="451">
        <f>+SUM($D24:K24)</f>
        <v>138.54352293577963</v>
      </c>
      <c r="L89" s="451">
        <f>+SUM($D24:L24)</f>
        <v>167.79159999999979</v>
      </c>
      <c r="M89" s="451">
        <f>+SUM($D24:M24)</f>
        <v>167.79159999999979</v>
      </c>
      <c r="N89" s="451">
        <f>+SUM($D24:N24)</f>
        <v>167.79159999999979</v>
      </c>
      <c r="O89" s="451">
        <f>+SUM($D24:O24)</f>
        <v>167.79159999999979</v>
      </c>
      <c r="P89" s="451">
        <f>+SUM($D24:P24)</f>
        <v>167.79159999999979</v>
      </c>
      <c r="Q89" s="451">
        <f>+SUM($D24:Q24)</f>
        <v>167.79159999999979</v>
      </c>
      <c r="R89" s="451">
        <f>+SUM($D24:R24)</f>
        <v>167.79159999999979</v>
      </c>
      <c r="S89" s="451">
        <f>+SUM($D24:S24)</f>
        <v>167.79159999999979</v>
      </c>
      <c r="T89" s="451">
        <f>+SUM($D24:T24)</f>
        <v>167.79159999999979</v>
      </c>
      <c r="U89" s="451">
        <f>+SUM($D24:U24)</f>
        <v>167.79159999999979</v>
      </c>
      <c r="V89" s="451">
        <f>+SUM($D24:V24)</f>
        <v>167.79159999999979</v>
      </c>
      <c r="W89" s="451">
        <f>+SUM($D24:W24)</f>
        <v>167.79159999999979</v>
      </c>
      <c r="X89" s="451">
        <f>+SUM($D24:X24)</f>
        <v>167.79159999999979</v>
      </c>
      <c r="Y89" s="451">
        <f>+SUM($D24:Y24)</f>
        <v>167.79159999999979</v>
      </c>
      <c r="Z89" s="451">
        <f>+SUM($D24:Z24)</f>
        <v>167.79159999999979</v>
      </c>
      <c r="AA89" s="451">
        <f>+SUM($D24:AA24)</f>
        <v>167.79159999999979</v>
      </c>
      <c r="AB89" s="451">
        <f>+SUM($D24:AB24)</f>
        <v>167.79159999999979</v>
      </c>
      <c r="AC89" s="451">
        <f>+SUM($D24:AC24)</f>
        <v>167.79159999999979</v>
      </c>
    </row>
    <row r="90" spans="2:40" hidden="1" outlineLevel="1">
      <c r="B90" s="444" t="s">
        <v>151</v>
      </c>
      <c r="H90" s="451">
        <f>+SUM($D25:H25)</f>
        <v>35.424807339449586</v>
      </c>
      <c r="I90" s="451">
        <f>+SUM($D25:I25)</f>
        <v>106.27442201834876</v>
      </c>
      <c r="J90" s="451">
        <f>+SUM($D25:J25)</f>
        <v>177.12403669724793</v>
      </c>
      <c r="K90" s="451">
        <f>+SUM($D25:K25)</f>
        <v>247.9736513761471</v>
      </c>
      <c r="L90" s="451">
        <f>+SUM($D25:L25)</f>
        <v>318.82326605504625</v>
      </c>
      <c r="M90" s="451">
        <f>+SUM($D25:M25)</f>
        <v>386.13040000000046</v>
      </c>
      <c r="N90" s="451">
        <f>+SUM($D25:N25)</f>
        <v>386.13040000000046</v>
      </c>
      <c r="O90" s="451">
        <f>+SUM($D25:O25)</f>
        <v>386.13040000000046</v>
      </c>
      <c r="P90" s="451">
        <f>+SUM($D25:P25)</f>
        <v>386.13040000000046</v>
      </c>
      <c r="Q90" s="451">
        <f>+SUM($D25:Q25)</f>
        <v>386.13040000000046</v>
      </c>
      <c r="R90" s="451">
        <f>+SUM($D25:R25)</f>
        <v>386.13040000000046</v>
      </c>
      <c r="S90" s="451">
        <f>+SUM($D25:S25)</f>
        <v>386.13040000000046</v>
      </c>
      <c r="T90" s="451">
        <f>+SUM($D25:T25)</f>
        <v>386.13040000000046</v>
      </c>
      <c r="U90" s="451">
        <f>+SUM($D25:U25)</f>
        <v>386.13040000000046</v>
      </c>
      <c r="V90" s="451">
        <f>+SUM($D25:V25)</f>
        <v>386.13040000000046</v>
      </c>
      <c r="W90" s="451">
        <f>+SUM($D25:W25)</f>
        <v>386.13040000000046</v>
      </c>
      <c r="X90" s="451">
        <f>+SUM($D25:X25)</f>
        <v>386.13040000000046</v>
      </c>
      <c r="Y90" s="451">
        <f>+SUM($D25:Y25)</f>
        <v>386.13040000000046</v>
      </c>
      <c r="Z90" s="451">
        <f>+SUM($D25:Z25)</f>
        <v>386.13040000000046</v>
      </c>
      <c r="AA90" s="451">
        <f>+SUM($D25:AA25)</f>
        <v>386.13040000000046</v>
      </c>
      <c r="AB90" s="451">
        <f>+SUM($D25:AB25)</f>
        <v>386.13040000000046</v>
      </c>
      <c r="AC90" s="451">
        <f>+SUM($D25:AC25)</f>
        <v>386.13040000000046</v>
      </c>
    </row>
    <row r="91" spans="2:40" hidden="1" outlineLevel="1">
      <c r="B91" s="444" t="s">
        <v>150</v>
      </c>
      <c r="I91" s="451">
        <f>+SUM($D26:I26)</f>
        <v>15.568495412844014</v>
      </c>
      <c r="J91" s="451">
        <f>+SUM($D26:J26)</f>
        <v>46.705486238532039</v>
      </c>
      <c r="K91" s="451">
        <f>+SUM($D26:K26)</f>
        <v>77.842477064220063</v>
      </c>
      <c r="L91" s="451">
        <f>+SUM($D26:L26)</f>
        <v>108.97946788990809</v>
      </c>
      <c r="M91" s="451">
        <f>+SUM($D26:M26)</f>
        <v>140.11645871559611</v>
      </c>
      <c r="N91" s="451">
        <f>+SUM($D26:N26)</f>
        <v>169.69659999999976</v>
      </c>
      <c r="O91" s="451">
        <f>+SUM($D26:O26)</f>
        <v>169.69659999999976</v>
      </c>
      <c r="P91" s="451">
        <f>+SUM($D26:P26)</f>
        <v>169.69659999999976</v>
      </c>
      <c r="Q91" s="451">
        <f>+SUM($D26:Q26)</f>
        <v>169.69659999999976</v>
      </c>
      <c r="R91" s="451">
        <f>+SUM($D26:R26)</f>
        <v>169.69659999999976</v>
      </c>
      <c r="S91" s="451">
        <f>+SUM($D26:S26)</f>
        <v>169.69659999999976</v>
      </c>
      <c r="T91" s="451">
        <f>+SUM($D26:T26)</f>
        <v>169.69659999999976</v>
      </c>
      <c r="U91" s="451">
        <f>+SUM($D26:U26)</f>
        <v>169.69659999999976</v>
      </c>
      <c r="V91" s="451">
        <f>+SUM($D26:V26)</f>
        <v>169.69659999999976</v>
      </c>
      <c r="W91" s="451">
        <f>+SUM($D26:W26)</f>
        <v>169.69659999999976</v>
      </c>
      <c r="X91" s="451">
        <f>+SUM($D26:X26)</f>
        <v>169.69659999999976</v>
      </c>
      <c r="Y91" s="451">
        <f>+SUM($D26:Y26)</f>
        <v>169.69659999999976</v>
      </c>
      <c r="Z91" s="451">
        <f>+SUM($D26:Z26)</f>
        <v>169.69659999999976</v>
      </c>
      <c r="AA91" s="451">
        <f>+SUM($D26:AA26)</f>
        <v>169.69659999999976</v>
      </c>
      <c r="AB91" s="451">
        <f>+SUM($D26:AB26)</f>
        <v>169.69659999999976</v>
      </c>
      <c r="AC91" s="451">
        <f>+SUM($D26:AC26)</f>
        <v>169.69659999999976</v>
      </c>
      <c r="AD91" s="451"/>
    </row>
    <row r="92" spans="2:40" hidden="1" outlineLevel="1">
      <c r="B92" s="444" t="s">
        <v>10</v>
      </c>
      <c r="J92" s="451">
        <f>+SUM($D27:J27)</f>
        <v>14.771587155963294</v>
      </c>
      <c r="K92" s="451">
        <f>+SUM($D27:K27)</f>
        <v>44.31476146788988</v>
      </c>
      <c r="L92" s="451">
        <f>+SUM($D27:L27)</f>
        <v>73.857935779816472</v>
      </c>
      <c r="M92" s="451">
        <f>+SUM($D27:M27)</f>
        <v>103.40111009174306</v>
      </c>
      <c r="N92" s="451">
        <f>+SUM($D27:N27)</f>
        <v>132.94428440366966</v>
      </c>
      <c r="O92" s="451">
        <f>+SUM($D27:O27)</f>
        <v>161.01029999999992</v>
      </c>
      <c r="P92" s="451">
        <f>+SUM($D27:P27)</f>
        <v>161.01029999999992</v>
      </c>
      <c r="Q92" s="451">
        <f>+SUM($D27:Q27)</f>
        <v>161.01029999999992</v>
      </c>
      <c r="R92" s="451">
        <f>+SUM($D27:R27)</f>
        <v>161.01029999999992</v>
      </c>
      <c r="S92" s="451">
        <f>+SUM($D27:S27)</f>
        <v>161.01029999999992</v>
      </c>
      <c r="T92" s="451">
        <f>+SUM($D27:T27)</f>
        <v>161.01029999999992</v>
      </c>
      <c r="U92" s="451">
        <f>+SUM($D27:U27)</f>
        <v>161.01029999999992</v>
      </c>
      <c r="V92" s="451">
        <f>+SUM($D27:V27)</f>
        <v>161.01029999999992</v>
      </c>
      <c r="W92" s="451">
        <f>+SUM($D27:W27)</f>
        <v>161.01029999999992</v>
      </c>
      <c r="X92" s="451">
        <f>+SUM($D27:X27)</f>
        <v>161.01029999999992</v>
      </c>
      <c r="Y92" s="451">
        <f>+SUM($D27:Y27)</f>
        <v>161.01029999999992</v>
      </c>
      <c r="Z92" s="451">
        <f>+SUM($D27:Z27)</f>
        <v>161.01029999999992</v>
      </c>
      <c r="AA92" s="451">
        <f>+SUM($D27:AA27)</f>
        <v>161.01029999999992</v>
      </c>
      <c r="AB92" s="451">
        <f>+SUM($D27:AB27)</f>
        <v>161.01029999999992</v>
      </c>
      <c r="AC92" s="451">
        <f>+SUM($D27:AC27)</f>
        <v>161.01029999999992</v>
      </c>
      <c r="AD92" s="451"/>
      <c r="AE92" s="451"/>
    </row>
    <row r="93" spans="2:40" hidden="1" outlineLevel="1">
      <c r="B93" s="444" t="s">
        <v>11</v>
      </c>
      <c r="K93" s="451">
        <f>+SUM($D28:K28)</f>
        <v>48.373999999999967</v>
      </c>
      <c r="L93" s="451">
        <f>+SUM($D28:L28)</f>
        <v>145.1219999999999</v>
      </c>
      <c r="M93" s="451">
        <f>+SUM($D28:M28)</f>
        <v>241.86999999999983</v>
      </c>
      <c r="N93" s="451">
        <f>+SUM($D28:N28)</f>
        <v>338.61799999999977</v>
      </c>
      <c r="O93" s="451">
        <f>+SUM($D28:O28)</f>
        <v>435.3659999999997</v>
      </c>
      <c r="P93" s="451">
        <f>+SUM($D28:P28)</f>
        <v>527.27659999999969</v>
      </c>
      <c r="Q93" s="451">
        <f>+SUM($D28:Q28)</f>
        <v>527.27659999999969</v>
      </c>
      <c r="R93" s="451">
        <f>+SUM($D28:R28)</f>
        <v>527.27659999999969</v>
      </c>
      <c r="S93" s="451">
        <f>+SUM($D28:S28)</f>
        <v>527.27659999999969</v>
      </c>
      <c r="T93" s="451">
        <f>+SUM($D28:T28)</f>
        <v>527.27659999999969</v>
      </c>
      <c r="U93" s="451">
        <f>+SUM($D28:U28)</f>
        <v>527.27659999999969</v>
      </c>
      <c r="V93" s="451">
        <f>+SUM($D28:V28)</f>
        <v>527.27659999999969</v>
      </c>
      <c r="W93" s="451">
        <f>+SUM($D28:W28)</f>
        <v>527.27659999999969</v>
      </c>
      <c r="X93" s="451">
        <f>+SUM($D28:X28)</f>
        <v>527.27659999999969</v>
      </c>
      <c r="Y93" s="451">
        <f>+SUM($D28:Y28)</f>
        <v>527.27659999999969</v>
      </c>
      <c r="Z93" s="451">
        <f>+SUM($D28:Z28)</f>
        <v>527.27659999999969</v>
      </c>
      <c r="AA93" s="451">
        <f>+SUM($D28:AA28)</f>
        <v>527.27659999999969</v>
      </c>
      <c r="AB93" s="451">
        <f>+SUM($D28:AB28)</f>
        <v>527.27659999999969</v>
      </c>
      <c r="AC93" s="451">
        <f>+SUM($D28:AC28)</f>
        <v>527.27659999999969</v>
      </c>
      <c r="AD93" s="451"/>
      <c r="AE93" s="451"/>
      <c r="AF93" s="451"/>
    </row>
    <row r="94" spans="2:40" hidden="1" outlineLevel="1">
      <c r="B94" s="444" t="s">
        <v>1</v>
      </c>
      <c r="L94" s="451">
        <f>+SUM($D29:L29)</f>
        <v>26.291587155963356</v>
      </c>
      <c r="M94" s="451">
        <f>+SUM($D29:M29)</f>
        <v>78.874761467890067</v>
      </c>
      <c r="N94" s="451">
        <f>+SUM($D29:N29)</f>
        <v>131.45793577981678</v>
      </c>
      <c r="O94" s="451">
        <f>+SUM($D29:O29)</f>
        <v>184.04111009174349</v>
      </c>
      <c r="P94" s="451">
        <f>+SUM($D29:P29)</f>
        <v>236.6242844036702</v>
      </c>
      <c r="Q94" s="451">
        <f>+SUM($D29:Q29)</f>
        <v>286.57830000000058</v>
      </c>
      <c r="R94" s="451">
        <f>+SUM($D29:R29)</f>
        <v>286.57830000000058</v>
      </c>
      <c r="S94" s="451">
        <f>+SUM($D29:S29)</f>
        <v>286.57830000000058</v>
      </c>
      <c r="T94" s="451">
        <f>+SUM($D29:T29)</f>
        <v>286.57830000000058</v>
      </c>
      <c r="U94" s="451">
        <f>+SUM($D29:U29)</f>
        <v>286.57830000000058</v>
      </c>
      <c r="V94" s="451">
        <f>+SUM($D29:V29)</f>
        <v>286.57830000000058</v>
      </c>
      <c r="W94" s="451">
        <f>+SUM($D29:W29)</f>
        <v>286.57830000000058</v>
      </c>
      <c r="X94" s="451">
        <f>+SUM($D29:X29)</f>
        <v>286.57830000000058</v>
      </c>
      <c r="Y94" s="451">
        <f>+SUM($D29:Y29)</f>
        <v>286.57830000000058</v>
      </c>
      <c r="Z94" s="451">
        <f>+SUM($D29:Z29)</f>
        <v>286.57830000000058</v>
      </c>
      <c r="AA94" s="451">
        <f>+SUM($D29:AA29)</f>
        <v>286.57830000000058</v>
      </c>
      <c r="AB94" s="451">
        <f>+SUM($D29:AB29)</f>
        <v>286.57830000000058</v>
      </c>
      <c r="AC94" s="451">
        <f>+SUM($D29:AC29)</f>
        <v>286.57830000000058</v>
      </c>
      <c r="AD94" s="451"/>
      <c r="AE94" s="451"/>
      <c r="AF94" s="451"/>
      <c r="AG94" s="451"/>
    </row>
    <row r="95" spans="2:40" hidden="1" outlineLevel="1">
      <c r="B95" s="444" t="s">
        <v>2</v>
      </c>
      <c r="M95" s="451">
        <f>+SUM($D30:M30)</f>
        <v>16.830522935779801</v>
      </c>
      <c r="N95" s="451">
        <f>+SUM($D30:N30)</f>
        <v>50.491568807339405</v>
      </c>
      <c r="O95" s="451">
        <f>+SUM($D30:O30)</f>
        <v>84.152614678898999</v>
      </c>
      <c r="P95" s="451">
        <f>+SUM($D30:P30)</f>
        <v>117.81366055045859</v>
      </c>
      <c r="Q95" s="451">
        <f>+SUM($D30:Q30)</f>
        <v>151.47470642201819</v>
      </c>
      <c r="R95" s="451">
        <f>+SUM($D30:R30)</f>
        <v>183.45269999999982</v>
      </c>
      <c r="S95" s="451">
        <f>+SUM($D30:S30)</f>
        <v>183.45269999999982</v>
      </c>
      <c r="T95" s="451">
        <f>+SUM($D30:T30)</f>
        <v>183.45269999999982</v>
      </c>
      <c r="U95" s="451">
        <f>+SUM($D30:U30)</f>
        <v>183.45269999999982</v>
      </c>
      <c r="V95" s="451">
        <f>+SUM($D30:V30)</f>
        <v>183.45269999999982</v>
      </c>
      <c r="W95" s="451">
        <f>+SUM($D30:W30)</f>
        <v>183.45269999999982</v>
      </c>
      <c r="X95" s="451">
        <f>+SUM($D30:X30)</f>
        <v>183.45269999999982</v>
      </c>
      <c r="Y95" s="451">
        <f>+SUM($D30:Y30)</f>
        <v>183.45269999999982</v>
      </c>
      <c r="Z95" s="451">
        <f>+SUM($D30:Z30)</f>
        <v>183.45269999999982</v>
      </c>
      <c r="AA95" s="451">
        <f>+SUM($D30:AA30)</f>
        <v>183.45269999999982</v>
      </c>
      <c r="AB95" s="451">
        <f>+SUM($D30:AB30)</f>
        <v>183.45269999999982</v>
      </c>
      <c r="AC95" s="451">
        <f>+SUM($D30:AC30)</f>
        <v>183.45269999999982</v>
      </c>
      <c r="AD95" s="451"/>
      <c r="AE95" s="451"/>
      <c r="AF95" s="451"/>
      <c r="AG95" s="451"/>
      <c r="AH95" s="451"/>
    </row>
    <row r="96" spans="2:40" hidden="1" outlineLevel="1">
      <c r="B96" s="444" t="s">
        <v>3</v>
      </c>
      <c r="N96" s="451">
        <f>+SUM($D31:N31)</f>
        <v>75.138201834862315</v>
      </c>
      <c r="O96" s="451">
        <f>+SUM($D31:O31)</f>
        <v>225.41460550458694</v>
      </c>
      <c r="P96" s="451">
        <f>+SUM($D31:P31)</f>
        <v>375.6910091743116</v>
      </c>
      <c r="Q96" s="451">
        <f>+SUM($D31:Q31)</f>
        <v>525.96741284403629</v>
      </c>
      <c r="R96" s="451">
        <f>+SUM($D31:R31)</f>
        <v>676.24381651376098</v>
      </c>
      <c r="S96" s="451">
        <f>+SUM($D31:S31)</f>
        <v>819.0063999999993</v>
      </c>
      <c r="T96" s="451">
        <f>+SUM($D31:T31)</f>
        <v>819.0063999999993</v>
      </c>
      <c r="U96" s="451">
        <f>+SUM($D31:U31)</f>
        <v>819.0063999999993</v>
      </c>
      <c r="V96" s="451">
        <f>+SUM($D31:V31)</f>
        <v>819.0063999999993</v>
      </c>
      <c r="W96" s="451">
        <f>+SUM($D31:W31)</f>
        <v>819.0063999999993</v>
      </c>
      <c r="X96" s="451">
        <f>+SUM($D31:X31)</f>
        <v>819.0063999999993</v>
      </c>
      <c r="Y96" s="451">
        <f>+SUM($D31:Y31)</f>
        <v>819.0063999999993</v>
      </c>
      <c r="Z96" s="451">
        <f>+SUM($D31:Z31)</f>
        <v>819.0063999999993</v>
      </c>
      <c r="AA96" s="451">
        <f>+SUM($D31:AA31)</f>
        <v>819.0063999999993</v>
      </c>
      <c r="AB96" s="451">
        <f>+SUM($D31:AB31)</f>
        <v>819.0063999999993</v>
      </c>
      <c r="AC96" s="451">
        <f>+SUM($D31:AC31)</f>
        <v>819.0063999999993</v>
      </c>
      <c r="AD96" s="451"/>
      <c r="AE96" s="451"/>
      <c r="AF96" s="451"/>
      <c r="AG96" s="451"/>
      <c r="AH96" s="451"/>
      <c r="AI96" s="451"/>
    </row>
    <row r="97" spans="2:40" hidden="1" outlineLevel="1">
      <c r="B97" s="444" t="s">
        <v>4</v>
      </c>
      <c r="O97" s="451">
        <f>+SUM($D32:O32)</f>
        <v>40.292238532110204</v>
      </c>
      <c r="P97" s="451">
        <f>+SUM($D32:P32)</f>
        <v>120.87671559633061</v>
      </c>
      <c r="Q97" s="451">
        <f>+SUM($D32:Q32)</f>
        <v>201.46119266055103</v>
      </c>
      <c r="R97" s="451">
        <f>+SUM($D32:R32)</f>
        <v>282.04566972477141</v>
      </c>
      <c r="S97" s="451">
        <f>+SUM($D32:S32)</f>
        <v>362.63014678899185</v>
      </c>
      <c r="T97" s="451">
        <f>+SUM($D32:T32)</f>
        <v>439.18540000000121</v>
      </c>
      <c r="U97" s="451">
        <f>+SUM($D32:U32)</f>
        <v>439.18540000000121</v>
      </c>
      <c r="V97" s="451">
        <f>+SUM($D32:V32)</f>
        <v>439.18540000000121</v>
      </c>
      <c r="W97" s="451">
        <f>+SUM($D32:W32)</f>
        <v>439.18540000000121</v>
      </c>
      <c r="X97" s="451">
        <f>+SUM($D32:X32)</f>
        <v>439.18540000000121</v>
      </c>
      <c r="Y97" s="451">
        <f>+SUM($D32:Y32)</f>
        <v>439.18540000000121</v>
      </c>
      <c r="Z97" s="451">
        <f>+SUM($D32:Z32)</f>
        <v>439.18540000000121</v>
      </c>
      <c r="AA97" s="451">
        <f>+SUM($D32:AA32)</f>
        <v>439.18540000000121</v>
      </c>
      <c r="AB97" s="451">
        <f>+SUM($D32:AB32)</f>
        <v>439.18540000000121</v>
      </c>
      <c r="AC97" s="451">
        <f>+SUM($D32:AC32)</f>
        <v>439.18540000000121</v>
      </c>
      <c r="AD97" s="451"/>
      <c r="AE97" s="451"/>
      <c r="AF97" s="451"/>
      <c r="AG97" s="451"/>
      <c r="AH97" s="451"/>
      <c r="AI97" s="451"/>
      <c r="AJ97" s="451"/>
    </row>
    <row r="98" spans="2:40" hidden="1" outlineLevel="1">
      <c r="B98" s="444" t="s">
        <v>5</v>
      </c>
      <c r="P98" s="451">
        <f>+SUM($D33:P33)</f>
        <v>34.909752293577917</v>
      </c>
      <c r="Q98" s="451">
        <f>+SUM($D33:Q33)</f>
        <v>104.72925688073374</v>
      </c>
      <c r="R98" s="451">
        <f>+SUM($D33:R33)</f>
        <v>174.54876146788956</v>
      </c>
      <c r="S98" s="451">
        <f>+SUM($D33:S33)</f>
        <v>244.36826605504541</v>
      </c>
      <c r="T98" s="451">
        <f>+SUM($D33:T33)</f>
        <v>314.18777064220126</v>
      </c>
      <c r="U98" s="451">
        <f>+SUM($D33:U33)</f>
        <v>380.51629999999932</v>
      </c>
      <c r="V98" s="451">
        <f>+SUM($D33:V33)</f>
        <v>380.51629999999932</v>
      </c>
      <c r="W98" s="451">
        <f>+SUM($D33:W33)</f>
        <v>380.51629999999932</v>
      </c>
      <c r="X98" s="451">
        <f>+SUM($D33:X33)</f>
        <v>380.51629999999932</v>
      </c>
      <c r="Y98" s="451">
        <f>+SUM($D33:Y33)</f>
        <v>380.51629999999932</v>
      </c>
      <c r="Z98" s="451">
        <f>+SUM($D33:Z33)</f>
        <v>380.51629999999932</v>
      </c>
      <c r="AA98" s="451">
        <f>+SUM($D33:AA33)</f>
        <v>380.51629999999932</v>
      </c>
      <c r="AB98" s="451">
        <f>+SUM($D33:AB33)</f>
        <v>380.51629999999932</v>
      </c>
      <c r="AC98" s="451">
        <f>+SUM($D33:AC33)</f>
        <v>380.51629999999932</v>
      </c>
      <c r="AD98" s="451"/>
      <c r="AE98" s="451"/>
      <c r="AF98" s="451"/>
      <c r="AG98" s="451"/>
      <c r="AH98" s="451"/>
      <c r="AI98" s="451"/>
      <c r="AJ98" s="451"/>
      <c r="AK98" s="451"/>
    </row>
    <row r="99" spans="2:40" hidden="1" outlineLevel="1">
      <c r="B99" s="444" t="s">
        <v>68</v>
      </c>
      <c r="Q99" s="451">
        <f>+SUM($D34:Q34)</f>
        <v>117.85469724770637</v>
      </c>
      <c r="R99" s="451">
        <f>+SUM($D34:R34)</f>
        <v>353.56409174311909</v>
      </c>
      <c r="S99" s="451">
        <f>+SUM($D34:S34)</f>
        <v>589.27348623853186</v>
      </c>
      <c r="T99" s="451">
        <f>+SUM($D34:T34)</f>
        <v>824.98288073394463</v>
      </c>
      <c r="U99" s="451">
        <f>+SUM($D34:U34)</f>
        <v>1060.6922752293574</v>
      </c>
      <c r="V99" s="451">
        <f>+SUM($D34:V34)</f>
        <v>1284.6161999999995</v>
      </c>
      <c r="W99" s="451">
        <f>+SUM($D34:W34)</f>
        <v>1284.6161999999995</v>
      </c>
      <c r="X99" s="451">
        <f>+SUM($D34:X34)</f>
        <v>1284.6161999999995</v>
      </c>
      <c r="Y99" s="451">
        <f>+SUM($D34:Y34)</f>
        <v>1284.6161999999995</v>
      </c>
      <c r="Z99" s="451">
        <f>+SUM($D34:Z34)</f>
        <v>1284.6161999999995</v>
      </c>
      <c r="AA99" s="451">
        <f>+SUM($D34:AA34)</f>
        <v>1284.6161999999995</v>
      </c>
      <c r="AB99" s="451">
        <f>+SUM($D34:AB34)</f>
        <v>1284.6161999999995</v>
      </c>
      <c r="AC99" s="451">
        <f>+SUM($D34:AC34)</f>
        <v>1284.6161999999995</v>
      </c>
      <c r="AD99" s="451"/>
      <c r="AE99" s="451"/>
      <c r="AF99" s="451"/>
      <c r="AG99" s="451"/>
      <c r="AH99" s="451"/>
      <c r="AI99" s="451"/>
      <c r="AJ99" s="451"/>
      <c r="AK99" s="451"/>
      <c r="AL99" s="451"/>
    </row>
    <row r="100" spans="2:40" hidden="1" outlineLevel="1">
      <c r="B100" s="444" t="s">
        <v>6</v>
      </c>
      <c r="R100" s="451">
        <f ca="1">+SUM($D35:R35)</f>
        <v>81.75832445715065</v>
      </c>
      <c r="S100" s="451">
        <f ca="1">+SUM($D35:S35)</f>
        <v>245.27497337145195</v>
      </c>
      <c r="T100" s="451">
        <f ca="1">+SUM($D35:T35)</f>
        <v>408.79162228575325</v>
      </c>
      <c r="U100" s="451">
        <f ca="1">+SUM($D35:U35)</f>
        <v>572.30827120005461</v>
      </c>
      <c r="V100" s="451">
        <f ca="1">+SUM($D35:V35)</f>
        <v>735.8249201143559</v>
      </c>
      <c r="W100" s="451">
        <f ca="1">+SUM($D35:W35)</f>
        <v>891.16573658294215</v>
      </c>
      <c r="X100" s="451">
        <f ca="1">+SUM($D35:X35)</f>
        <v>891.16573658294215</v>
      </c>
      <c r="Y100" s="451">
        <f ca="1">+SUM($D35:Y35)</f>
        <v>891.16573658294215</v>
      </c>
      <c r="Z100" s="451">
        <f ca="1">+SUM($D35:Z35)</f>
        <v>891.16573658294215</v>
      </c>
      <c r="AA100" s="451">
        <f ca="1">+SUM($D35:AA35)</f>
        <v>891.16573658294215</v>
      </c>
      <c r="AB100" s="451">
        <f ca="1">+SUM($D35:AB35)</f>
        <v>891.16573658294215</v>
      </c>
      <c r="AC100" s="451">
        <f ca="1">+SUM($D35:AC35)</f>
        <v>891.16573658294215</v>
      </c>
      <c r="AD100" s="451"/>
      <c r="AE100" s="451"/>
      <c r="AF100" s="451"/>
      <c r="AG100" s="451"/>
      <c r="AH100" s="451"/>
      <c r="AI100" s="451"/>
      <c r="AJ100" s="451"/>
      <c r="AK100" s="451"/>
      <c r="AL100" s="451"/>
      <c r="AM100" s="451"/>
    </row>
    <row r="101" spans="2:40" hidden="1" outlineLevel="1">
      <c r="B101" s="444" t="s">
        <v>22</v>
      </c>
      <c r="S101" s="451">
        <f ca="1">+SUM($D36:S36)</f>
        <v>102.68667237339662</v>
      </c>
      <c r="T101" s="451">
        <f ca="1">+SUM($D36:T36)</f>
        <v>308.06001712018985</v>
      </c>
      <c r="U101" s="451">
        <f ca="1">+SUM($D36:U36)</f>
        <v>513.43336186698309</v>
      </c>
      <c r="V101" s="451">
        <f ca="1">+SUM($D36:V36)</f>
        <v>718.80670661377633</v>
      </c>
      <c r="W101" s="451">
        <f ca="1">+SUM($D36:W36)</f>
        <v>924.18005136056956</v>
      </c>
      <c r="X101" s="451">
        <f ca="1">+SUM($D36:X36)</f>
        <v>1119.2847288700232</v>
      </c>
      <c r="Y101" s="451">
        <f ca="1">+SUM($D36:Y36)</f>
        <v>1119.2847288700232</v>
      </c>
      <c r="Z101" s="451">
        <f ca="1">+SUM($D36:Z36)</f>
        <v>1119.2847288700232</v>
      </c>
      <c r="AA101" s="451">
        <f ca="1">+SUM($D36:AA36)</f>
        <v>1119.2847288700232</v>
      </c>
      <c r="AB101" s="451">
        <f ca="1">+SUM($D36:AB36)</f>
        <v>1119.2847288700232</v>
      </c>
      <c r="AC101" s="451">
        <f ca="1">+SUM($D36:AC36)</f>
        <v>1119.2847288700232</v>
      </c>
      <c r="AD101" s="451"/>
      <c r="AE101" s="451"/>
      <c r="AF101" s="451"/>
      <c r="AG101" s="451"/>
      <c r="AH101" s="451"/>
      <c r="AI101" s="451"/>
      <c r="AJ101" s="451"/>
      <c r="AK101" s="451"/>
      <c r="AL101" s="451"/>
      <c r="AM101" s="451"/>
      <c r="AN101" s="451"/>
    </row>
    <row r="102" spans="2:40" hidden="1" outlineLevel="1">
      <c r="B102" s="444" t="s">
        <v>23</v>
      </c>
      <c r="S102" s="451"/>
      <c r="T102" s="451">
        <f ca="1">+SUM($D37:T37)</f>
        <v>123.23712814705942</v>
      </c>
      <c r="U102" s="451">
        <f ca="1">+SUM($D37:U37)</f>
        <v>369.71138444117827</v>
      </c>
      <c r="V102" s="451">
        <f ca="1">+SUM($D37:V37)</f>
        <v>616.18564073529706</v>
      </c>
      <c r="W102" s="451">
        <f ca="1">+SUM($D37:W37)</f>
        <v>862.6598970294159</v>
      </c>
      <c r="X102" s="451">
        <f ca="1">+SUM($D37:X37)</f>
        <v>1109.1341533235347</v>
      </c>
      <c r="Y102" s="451">
        <f ca="1">+SUM($D37:Y37)</f>
        <v>1343.2846968029478</v>
      </c>
      <c r="Z102" s="451">
        <f ca="1">+SUM($D37:Z37)</f>
        <v>1343.2846968029478</v>
      </c>
      <c r="AA102" s="451">
        <f ca="1">+SUM($D37:AA37)</f>
        <v>1343.2846968029478</v>
      </c>
      <c r="AB102" s="451">
        <f ca="1">+SUM($D37:AB37)</f>
        <v>1343.2846968029478</v>
      </c>
      <c r="AC102" s="451">
        <f ca="1">+SUM($D37:AC37)</f>
        <v>1343.2846968029478</v>
      </c>
      <c r="AD102" s="451"/>
      <c r="AE102" s="451"/>
      <c r="AF102" s="451"/>
      <c r="AG102" s="451"/>
      <c r="AH102" s="451"/>
      <c r="AI102" s="451"/>
      <c r="AJ102" s="451"/>
      <c r="AK102" s="451"/>
      <c r="AL102" s="451"/>
      <c r="AM102" s="451"/>
      <c r="AN102" s="451"/>
    </row>
    <row r="103" spans="2:40" hidden="1" outlineLevel="1">
      <c r="B103" s="444" t="s">
        <v>24</v>
      </c>
      <c r="S103" s="451"/>
      <c r="T103" s="451"/>
      <c r="U103" s="451">
        <f ca="1">+SUM($D38:U38)</f>
        <v>144.04298727891333</v>
      </c>
      <c r="V103" s="451">
        <f ca="1">+SUM($D38:V38)</f>
        <v>432.12896183674002</v>
      </c>
      <c r="W103" s="451">
        <f ca="1">+SUM($D38:W38)</f>
        <v>720.21493639456662</v>
      </c>
      <c r="X103" s="451">
        <f ca="1">+SUM($D38:X38)</f>
        <v>1008.3009109523932</v>
      </c>
      <c r="Y103" s="451">
        <f ca="1">+SUM($D38:Y38)</f>
        <v>1296.3868855102198</v>
      </c>
      <c r="Z103" s="451">
        <f ca="1">+SUM($D38:Z38)</f>
        <v>1570.0685613401554</v>
      </c>
      <c r="AA103" s="451">
        <f ca="1">+SUM($D38:AA38)</f>
        <v>1570.0685613401554</v>
      </c>
      <c r="AB103" s="451">
        <f ca="1">+SUM($D38:AB38)</f>
        <v>1570.0685613401554</v>
      </c>
      <c r="AC103" s="451">
        <f ca="1">+SUM($D38:AC38)</f>
        <v>1570.0685613401554</v>
      </c>
      <c r="AD103" s="451"/>
      <c r="AE103" s="451"/>
      <c r="AF103" s="451"/>
      <c r="AG103" s="451"/>
      <c r="AH103" s="451"/>
      <c r="AI103" s="451"/>
      <c r="AJ103" s="451"/>
      <c r="AK103" s="451"/>
      <c r="AL103" s="451"/>
      <c r="AM103" s="451"/>
      <c r="AN103" s="451"/>
    </row>
    <row r="104" spans="2:40" hidden="1" outlineLevel="1">
      <c r="B104" s="444" t="s">
        <v>25</v>
      </c>
      <c r="S104" s="451"/>
      <c r="T104" s="451"/>
      <c r="U104" s="451"/>
      <c r="V104" s="451">
        <f ca="1">+SUM($D39:V39)</f>
        <v>166.06306454822604</v>
      </c>
      <c r="W104" s="451">
        <f ca="1">+SUM($D39:W39)</f>
        <v>498.18919364467808</v>
      </c>
      <c r="X104" s="451">
        <f ca="1">+SUM($D39:X39)</f>
        <v>830.3153227411301</v>
      </c>
      <c r="Y104" s="451">
        <f ca="1">+SUM($D39:Y39)</f>
        <v>1162.4414518375822</v>
      </c>
      <c r="Z104" s="451">
        <f ca="1">+SUM($D39:Z39)</f>
        <v>1494.5675809340344</v>
      </c>
      <c r="AA104" s="451">
        <f ca="1">+SUM($D39:AA39)</f>
        <v>1810.087403575664</v>
      </c>
      <c r="AB104" s="451">
        <f ca="1">+SUM($D39:AB39)</f>
        <v>1810.087403575664</v>
      </c>
      <c r="AC104" s="451">
        <f ca="1">+SUM($D39:AC39)</f>
        <v>1810.087403575664</v>
      </c>
      <c r="AD104" s="451"/>
      <c r="AE104" s="451"/>
      <c r="AF104" s="451"/>
      <c r="AG104" s="451"/>
      <c r="AH104" s="451"/>
      <c r="AI104" s="451"/>
      <c r="AJ104" s="451"/>
      <c r="AK104" s="451"/>
      <c r="AL104" s="451"/>
      <c r="AM104" s="451"/>
      <c r="AN104" s="451"/>
    </row>
    <row r="105" spans="2:40" hidden="1" outlineLevel="1">
      <c r="B105" s="444" t="s">
        <v>26</v>
      </c>
      <c r="S105" s="451"/>
      <c r="T105" s="451"/>
      <c r="U105" s="451"/>
      <c r="V105" s="451"/>
      <c r="W105" s="451">
        <f ca="1">+SUM($D40:W40)</f>
        <v>179.83916701402507</v>
      </c>
      <c r="X105" s="451">
        <f ca="1">+SUM($D40:X40)</f>
        <v>539.5175010420752</v>
      </c>
      <c r="Y105" s="451">
        <f ca="1">+SUM($D40:Y40)</f>
        <v>899.19583507012533</v>
      </c>
      <c r="Z105" s="451">
        <f ca="1">+SUM($D40:Z40)</f>
        <v>1258.8741690981756</v>
      </c>
      <c r="AA105" s="451">
        <f ca="1">+SUM($D40:AA40)</f>
        <v>1618.5525031262257</v>
      </c>
      <c r="AB105" s="451">
        <f ca="1">+SUM($D40:AB40)</f>
        <v>1960.2469204528734</v>
      </c>
      <c r="AC105" s="451">
        <f ca="1">+SUM($D40:AC40)</f>
        <v>1960.2469204528734</v>
      </c>
      <c r="AD105" s="451"/>
      <c r="AE105" s="451"/>
      <c r="AF105" s="451"/>
      <c r="AG105" s="451"/>
      <c r="AH105" s="451"/>
      <c r="AI105" s="451"/>
      <c r="AJ105" s="451"/>
      <c r="AK105" s="451"/>
      <c r="AL105" s="451"/>
      <c r="AM105" s="451"/>
      <c r="AN105" s="451"/>
    </row>
    <row r="106" spans="2:40" hidden="1" outlineLevel="1">
      <c r="B106" s="444" t="s">
        <v>27</v>
      </c>
      <c r="S106" s="451"/>
      <c r="T106" s="451"/>
      <c r="U106" s="451"/>
      <c r="V106" s="451"/>
      <c r="W106" s="451"/>
      <c r="X106" s="451">
        <f ca="1">+SUM($D41:X41)</f>
        <v>190.07973345892324</v>
      </c>
      <c r="Y106" s="451">
        <f ca="1">+SUM($D41:Y41)</f>
        <v>570.23920037676976</v>
      </c>
      <c r="Z106" s="451">
        <f ca="1">+SUM($D41:Z41)</f>
        <v>950.39866729461619</v>
      </c>
      <c r="AA106" s="451">
        <f ca="1">+SUM($D41:AA41)</f>
        <v>1330.5581342124626</v>
      </c>
      <c r="AB106" s="451">
        <f ca="1">+SUM($D41:AB41)</f>
        <v>1710.717601130309</v>
      </c>
      <c r="AC106" s="451">
        <f ca="1">+SUM($D41:AC41)</f>
        <v>2071.8690947022633</v>
      </c>
      <c r="AD106" s="451"/>
      <c r="AE106" s="451"/>
      <c r="AF106" s="451"/>
      <c r="AG106" s="451"/>
      <c r="AH106" s="451"/>
      <c r="AI106" s="451"/>
      <c r="AJ106" s="451"/>
      <c r="AK106" s="451"/>
      <c r="AL106" s="451"/>
      <c r="AM106" s="451"/>
      <c r="AN106" s="451"/>
    </row>
    <row r="107" spans="2:40" hidden="1" outlineLevel="1">
      <c r="B107" s="444" t="s">
        <v>38</v>
      </c>
      <c r="S107" s="451"/>
      <c r="T107" s="451"/>
      <c r="U107" s="451"/>
      <c r="V107" s="451"/>
      <c r="W107" s="451"/>
      <c r="X107" s="451"/>
      <c r="Y107" s="451">
        <f ca="1">+SUM($D42:Y42)</f>
        <v>194.25869054678415</v>
      </c>
      <c r="Z107" s="451">
        <f ca="1">+SUM($D42:Z42)</f>
        <v>582.77607164035248</v>
      </c>
      <c r="AA107" s="451">
        <f ca="1">+SUM($D42:AA42)</f>
        <v>971.29345273392073</v>
      </c>
      <c r="AB107" s="451">
        <f ca="1">+SUM($D42:AB42)</f>
        <v>1359.810833827489</v>
      </c>
      <c r="AC107" s="451">
        <f ca="1">+SUM($D42:AC42)</f>
        <v>1748.3282149210572</v>
      </c>
      <c r="AD107" s="451"/>
      <c r="AE107" s="451"/>
      <c r="AF107" s="451"/>
      <c r="AG107" s="451"/>
      <c r="AH107" s="451"/>
      <c r="AI107" s="451"/>
      <c r="AJ107" s="451"/>
      <c r="AK107" s="451"/>
      <c r="AL107" s="451"/>
      <c r="AM107" s="451"/>
      <c r="AN107" s="451"/>
    </row>
    <row r="108" spans="2:40" hidden="1" outlineLevel="1">
      <c r="B108" s="444" t="s">
        <v>39</v>
      </c>
      <c r="S108" s="451"/>
      <c r="T108" s="451"/>
      <c r="U108" s="451"/>
      <c r="V108" s="451"/>
      <c r="W108" s="451"/>
      <c r="X108" s="451"/>
      <c r="Y108" s="451"/>
      <c r="Z108" s="451">
        <f ca="1">+SUM($D43:Z43)</f>
        <v>191.62760759520458</v>
      </c>
      <c r="AA108" s="451">
        <f ca="1">+SUM($D43:AA43)</f>
        <v>574.88282278561371</v>
      </c>
      <c r="AB108" s="451">
        <f ca="1">+SUM($D43:AB43)</f>
        <v>958.13803797602282</v>
      </c>
      <c r="AC108" s="451">
        <f ca="1">+SUM($D43:AC43)</f>
        <v>1341.393253166432</v>
      </c>
      <c r="AD108" s="451"/>
      <c r="AE108" s="451"/>
      <c r="AF108" s="451"/>
      <c r="AG108" s="451"/>
      <c r="AH108" s="451"/>
      <c r="AI108" s="451"/>
      <c r="AJ108" s="451"/>
      <c r="AK108" s="451"/>
      <c r="AL108" s="451"/>
      <c r="AM108" s="451"/>
      <c r="AN108" s="451"/>
    </row>
    <row r="109" spans="2:40" hidden="1" outlineLevel="1">
      <c r="B109" s="444" t="s">
        <v>40</v>
      </c>
      <c r="S109" s="451"/>
      <c r="T109" s="451"/>
      <c r="U109" s="451"/>
      <c r="V109" s="451"/>
      <c r="W109" s="451"/>
      <c r="X109" s="451"/>
      <c r="Y109" s="451"/>
      <c r="Z109" s="451"/>
      <c r="AA109" s="451">
        <f ca="1">+SUM($D44:AA44)</f>
        <v>182.07560455559897</v>
      </c>
      <c r="AB109" s="451">
        <f ca="1">+SUM($D44:AB44)</f>
        <v>546.22681366679694</v>
      </c>
      <c r="AC109" s="451">
        <f ca="1">+SUM($D44:AC44)</f>
        <v>910.37802277799483</v>
      </c>
      <c r="AD109" s="451"/>
      <c r="AE109" s="451"/>
      <c r="AF109" s="451"/>
      <c r="AG109" s="451"/>
      <c r="AH109" s="451"/>
      <c r="AI109" s="451"/>
      <c r="AJ109" s="451"/>
      <c r="AK109" s="451"/>
      <c r="AL109" s="451"/>
      <c r="AM109" s="451"/>
      <c r="AN109" s="451"/>
    </row>
    <row r="110" spans="2:40" hidden="1" outlineLevel="1">
      <c r="B110" s="444" t="s">
        <v>41</v>
      </c>
      <c r="S110" s="451"/>
      <c r="T110" s="451"/>
      <c r="U110" s="451"/>
      <c r="V110" s="451"/>
      <c r="W110" s="451"/>
      <c r="X110" s="451"/>
      <c r="Y110" s="451"/>
      <c r="Z110" s="451"/>
      <c r="AA110" s="451"/>
      <c r="AB110" s="451">
        <f ca="1">+SUM($D45:AB45)</f>
        <v>166.23610137156672</v>
      </c>
      <c r="AC110" s="451">
        <f ca="1">+SUM($D45:AC45)</f>
        <v>498.70830411470013</v>
      </c>
      <c r="AD110" s="451"/>
      <c r="AE110" s="451"/>
      <c r="AF110" s="451"/>
      <c r="AG110" s="451"/>
      <c r="AH110" s="451"/>
      <c r="AI110" s="451"/>
      <c r="AJ110" s="451"/>
      <c r="AK110" s="451"/>
      <c r="AL110" s="451"/>
      <c r="AM110" s="451"/>
      <c r="AN110" s="451"/>
    </row>
    <row r="111" spans="2:40" hidden="1" outlineLevel="1">
      <c r="B111" s="444" t="s">
        <v>112</v>
      </c>
      <c r="S111" s="451"/>
      <c r="T111" s="451"/>
      <c r="U111" s="451"/>
      <c r="V111" s="451"/>
      <c r="W111" s="451"/>
      <c r="X111" s="451"/>
      <c r="Y111" s="451"/>
      <c r="Z111" s="451"/>
      <c r="AA111" s="451"/>
      <c r="AB111" s="451"/>
      <c r="AC111" s="451">
        <f ca="1">+SUM($D46:AC46)</f>
        <v>145.29599503222013</v>
      </c>
      <c r="AD111" s="451"/>
      <c r="AE111" s="451"/>
      <c r="AF111" s="451"/>
      <c r="AG111" s="451"/>
      <c r="AH111" s="451"/>
      <c r="AI111" s="451"/>
      <c r="AJ111" s="451"/>
      <c r="AK111" s="451"/>
      <c r="AL111" s="451"/>
      <c r="AM111" s="451"/>
      <c r="AN111" s="451"/>
    </row>
    <row r="112" spans="2:40" hidden="1" outlineLevel="1"/>
    <row r="113" spans="2:40" hidden="1" outlineLevel="1">
      <c r="B113" s="449" t="s">
        <v>681</v>
      </c>
    </row>
    <row r="114" spans="2:40" hidden="1" outlineLevel="1">
      <c r="B114" s="444" t="s">
        <v>172</v>
      </c>
      <c r="E114" s="451">
        <f>+E60-E87</f>
        <v>157.539608256881</v>
      </c>
      <c r="F114" s="451">
        <f t="shared" ref="F114:AC127" si="19">+F60-F87</f>
        <v>125.7134247706424</v>
      </c>
      <c r="G114" s="451">
        <f t="shared" si="19"/>
        <v>93.887241284403828</v>
      </c>
      <c r="H114" s="451">
        <f t="shared" si="19"/>
        <v>62.061057798165251</v>
      </c>
      <c r="I114" s="451">
        <f t="shared" si="19"/>
        <v>30.23487431192666</v>
      </c>
      <c r="J114" s="451">
        <f t="shared" si="19"/>
        <v>0</v>
      </c>
      <c r="K114" s="451">
        <f t="shared" si="19"/>
        <v>0</v>
      </c>
      <c r="L114" s="451">
        <f t="shared" si="19"/>
        <v>0</v>
      </c>
      <c r="M114" s="451">
        <f t="shared" si="19"/>
        <v>0</v>
      </c>
      <c r="N114" s="451">
        <f t="shared" si="19"/>
        <v>0</v>
      </c>
      <c r="O114" s="451">
        <f t="shared" si="19"/>
        <v>0</v>
      </c>
      <c r="P114" s="451">
        <f t="shared" si="19"/>
        <v>0</v>
      </c>
      <c r="Q114" s="451">
        <f t="shared" si="19"/>
        <v>0</v>
      </c>
      <c r="R114" s="451">
        <f t="shared" si="19"/>
        <v>0</v>
      </c>
      <c r="S114" s="451">
        <f t="shared" si="19"/>
        <v>0</v>
      </c>
      <c r="T114" s="451">
        <f t="shared" si="19"/>
        <v>0</v>
      </c>
      <c r="U114" s="451">
        <f t="shared" si="19"/>
        <v>0</v>
      </c>
      <c r="V114" s="451">
        <f t="shared" si="19"/>
        <v>0</v>
      </c>
      <c r="W114" s="451">
        <f t="shared" si="19"/>
        <v>0</v>
      </c>
      <c r="X114" s="451">
        <f t="shared" si="19"/>
        <v>0</v>
      </c>
      <c r="Y114" s="451">
        <f t="shared" si="19"/>
        <v>0</v>
      </c>
      <c r="Z114" s="451">
        <f t="shared" si="19"/>
        <v>0</v>
      </c>
      <c r="AA114" s="451">
        <f t="shared" si="19"/>
        <v>0</v>
      </c>
      <c r="AB114" s="451">
        <f t="shared" si="19"/>
        <v>0</v>
      </c>
      <c r="AC114" s="451">
        <f t="shared" si="19"/>
        <v>0</v>
      </c>
    </row>
    <row r="115" spans="2:40" hidden="1" outlineLevel="1">
      <c r="B115" s="444" t="s">
        <v>153</v>
      </c>
      <c r="F115" s="451">
        <f t="shared" si="19"/>
        <v>227.01190458715587</v>
      </c>
      <c r="G115" s="451">
        <f t="shared" si="19"/>
        <v>181.15091376146782</v>
      </c>
      <c r="H115" s="451">
        <f t="shared" si="19"/>
        <v>135.28992293577977</v>
      </c>
      <c r="I115" s="451">
        <f t="shared" si="19"/>
        <v>89.428932110091722</v>
      </c>
      <c r="J115" s="451">
        <f t="shared" si="19"/>
        <v>43.567941284403673</v>
      </c>
      <c r="K115" s="451">
        <f t="shared" si="19"/>
        <v>0</v>
      </c>
      <c r="L115" s="451">
        <f t="shared" si="19"/>
        <v>0</v>
      </c>
      <c r="M115" s="451">
        <f t="shared" si="19"/>
        <v>0</v>
      </c>
      <c r="N115" s="451">
        <f t="shared" si="19"/>
        <v>0</v>
      </c>
      <c r="O115" s="451">
        <f t="shared" si="19"/>
        <v>0</v>
      </c>
      <c r="P115" s="451">
        <f t="shared" si="19"/>
        <v>0</v>
      </c>
      <c r="Q115" s="451">
        <f t="shared" si="19"/>
        <v>0</v>
      </c>
      <c r="R115" s="451">
        <f t="shared" si="19"/>
        <v>0</v>
      </c>
      <c r="S115" s="451">
        <f t="shared" si="19"/>
        <v>0</v>
      </c>
      <c r="T115" s="451">
        <f t="shared" si="19"/>
        <v>0</v>
      </c>
      <c r="U115" s="451">
        <f t="shared" si="19"/>
        <v>0</v>
      </c>
      <c r="V115" s="451">
        <f t="shared" si="19"/>
        <v>0</v>
      </c>
      <c r="W115" s="451">
        <f t="shared" si="19"/>
        <v>0</v>
      </c>
      <c r="X115" s="451">
        <f t="shared" si="19"/>
        <v>0</v>
      </c>
      <c r="Y115" s="451">
        <f t="shared" si="19"/>
        <v>0</v>
      </c>
      <c r="Z115" s="451">
        <f t="shared" si="19"/>
        <v>0</v>
      </c>
      <c r="AA115" s="451">
        <f t="shared" si="19"/>
        <v>0</v>
      </c>
      <c r="AB115" s="451">
        <f t="shared" si="19"/>
        <v>0</v>
      </c>
      <c r="AC115" s="451">
        <f t="shared" si="19"/>
        <v>0</v>
      </c>
    </row>
    <row r="116" spans="2:40" hidden="1" outlineLevel="1">
      <c r="B116" s="444" t="s">
        <v>152</v>
      </c>
      <c r="G116" s="451">
        <f t="shared" si="19"/>
        <v>152.3978752293576</v>
      </c>
      <c r="H116" s="451">
        <f t="shared" si="19"/>
        <v>121.61042568807324</v>
      </c>
      <c r="I116" s="451">
        <f t="shared" si="19"/>
        <v>90.822976146788875</v>
      </c>
      <c r="J116" s="451">
        <f t="shared" si="19"/>
        <v>60.035526605504515</v>
      </c>
      <c r="K116" s="451">
        <f t="shared" si="19"/>
        <v>29.248077064220155</v>
      </c>
      <c r="L116" s="451">
        <f t="shared" si="19"/>
        <v>0</v>
      </c>
      <c r="M116" s="451">
        <f t="shared" si="19"/>
        <v>0</v>
      </c>
      <c r="N116" s="451">
        <f t="shared" si="19"/>
        <v>0</v>
      </c>
      <c r="O116" s="451">
        <f t="shared" si="19"/>
        <v>0</v>
      </c>
      <c r="P116" s="451">
        <f t="shared" si="19"/>
        <v>0</v>
      </c>
      <c r="Q116" s="451">
        <f t="shared" si="19"/>
        <v>0</v>
      </c>
      <c r="R116" s="451">
        <f t="shared" si="19"/>
        <v>0</v>
      </c>
      <c r="S116" s="451">
        <f t="shared" si="19"/>
        <v>0</v>
      </c>
      <c r="T116" s="451">
        <f t="shared" si="19"/>
        <v>0</v>
      </c>
      <c r="U116" s="451">
        <f t="shared" si="19"/>
        <v>0</v>
      </c>
      <c r="V116" s="451">
        <f t="shared" si="19"/>
        <v>0</v>
      </c>
      <c r="W116" s="451">
        <f t="shared" si="19"/>
        <v>0</v>
      </c>
      <c r="X116" s="451">
        <f t="shared" si="19"/>
        <v>0</v>
      </c>
      <c r="Y116" s="451">
        <f t="shared" si="19"/>
        <v>0</v>
      </c>
      <c r="Z116" s="451">
        <f t="shared" si="19"/>
        <v>0</v>
      </c>
      <c r="AA116" s="451">
        <f t="shared" si="19"/>
        <v>0</v>
      </c>
      <c r="AB116" s="451">
        <f t="shared" si="19"/>
        <v>0</v>
      </c>
      <c r="AC116" s="451">
        <f t="shared" si="19"/>
        <v>0</v>
      </c>
    </row>
    <row r="117" spans="2:40" hidden="1" outlineLevel="1">
      <c r="B117" s="444" t="s">
        <v>151</v>
      </c>
      <c r="H117" s="451">
        <f t="shared" si="19"/>
        <v>350.70559266055091</v>
      </c>
      <c r="I117" s="451">
        <f t="shared" si="19"/>
        <v>279.85597798165168</v>
      </c>
      <c r="J117" s="451">
        <f t="shared" si="19"/>
        <v>209.00636330275253</v>
      </c>
      <c r="K117" s="451">
        <f t="shared" si="19"/>
        <v>138.15674862385336</v>
      </c>
      <c r="L117" s="451">
        <f t="shared" si="19"/>
        <v>67.307133944954217</v>
      </c>
      <c r="M117" s="451">
        <f t="shared" si="19"/>
        <v>0</v>
      </c>
      <c r="N117" s="451">
        <f t="shared" si="19"/>
        <v>0</v>
      </c>
      <c r="O117" s="451">
        <f t="shared" si="19"/>
        <v>0</v>
      </c>
      <c r="P117" s="451">
        <f t="shared" si="19"/>
        <v>0</v>
      </c>
      <c r="Q117" s="451">
        <f t="shared" si="19"/>
        <v>0</v>
      </c>
      <c r="R117" s="451">
        <f t="shared" si="19"/>
        <v>0</v>
      </c>
      <c r="S117" s="451">
        <f t="shared" si="19"/>
        <v>0</v>
      </c>
      <c r="T117" s="451">
        <f t="shared" si="19"/>
        <v>0</v>
      </c>
      <c r="U117" s="451">
        <f t="shared" si="19"/>
        <v>0</v>
      </c>
      <c r="V117" s="451">
        <f t="shared" si="19"/>
        <v>0</v>
      </c>
      <c r="W117" s="451">
        <f t="shared" si="19"/>
        <v>0</v>
      </c>
      <c r="X117" s="451">
        <f t="shared" si="19"/>
        <v>0</v>
      </c>
      <c r="Y117" s="451">
        <f t="shared" si="19"/>
        <v>0</v>
      </c>
      <c r="Z117" s="451">
        <f t="shared" si="19"/>
        <v>0</v>
      </c>
      <c r="AA117" s="451">
        <f t="shared" si="19"/>
        <v>0</v>
      </c>
      <c r="AB117" s="451">
        <f t="shared" si="19"/>
        <v>0</v>
      </c>
      <c r="AC117" s="451">
        <f t="shared" si="19"/>
        <v>0</v>
      </c>
    </row>
    <row r="118" spans="2:40" hidden="1" outlineLevel="1">
      <c r="B118" s="444" t="s">
        <v>150</v>
      </c>
      <c r="I118" s="451">
        <f t="shared" si="19"/>
        <v>154.12810458715575</v>
      </c>
      <c r="J118" s="451">
        <f t="shared" si="19"/>
        <v>122.99111376146772</v>
      </c>
      <c r="K118" s="451">
        <f t="shared" si="19"/>
        <v>91.854122935779699</v>
      </c>
      <c r="L118" s="451">
        <f t="shared" si="19"/>
        <v>60.717132110091669</v>
      </c>
      <c r="M118" s="451">
        <f t="shared" si="19"/>
        <v>29.580141284403652</v>
      </c>
      <c r="N118" s="451">
        <f t="shared" si="19"/>
        <v>0</v>
      </c>
      <c r="O118" s="451">
        <f t="shared" si="19"/>
        <v>0</v>
      </c>
      <c r="P118" s="451">
        <f t="shared" si="19"/>
        <v>0</v>
      </c>
      <c r="Q118" s="451">
        <f t="shared" si="19"/>
        <v>0</v>
      </c>
      <c r="R118" s="451">
        <f t="shared" si="19"/>
        <v>0</v>
      </c>
      <c r="S118" s="451">
        <f t="shared" si="19"/>
        <v>0</v>
      </c>
      <c r="T118" s="451">
        <f t="shared" si="19"/>
        <v>0</v>
      </c>
      <c r="U118" s="451">
        <f t="shared" si="19"/>
        <v>0</v>
      </c>
      <c r="V118" s="451">
        <f t="shared" si="19"/>
        <v>0</v>
      </c>
      <c r="W118" s="451">
        <f t="shared" si="19"/>
        <v>0</v>
      </c>
      <c r="X118" s="451">
        <f t="shared" si="19"/>
        <v>0</v>
      </c>
      <c r="Y118" s="451">
        <f t="shared" si="19"/>
        <v>0</v>
      </c>
      <c r="Z118" s="451">
        <f t="shared" si="19"/>
        <v>0</v>
      </c>
      <c r="AA118" s="451">
        <f t="shared" si="19"/>
        <v>0</v>
      </c>
      <c r="AB118" s="451">
        <f t="shared" si="19"/>
        <v>0</v>
      </c>
      <c r="AC118" s="451">
        <f t="shared" si="19"/>
        <v>0</v>
      </c>
      <c r="AD118" s="451"/>
    </row>
    <row r="119" spans="2:40" hidden="1" outlineLevel="1">
      <c r="B119" s="444" t="s">
        <v>10</v>
      </c>
      <c r="J119" s="451">
        <f t="shared" si="19"/>
        <v>146.23871284403663</v>
      </c>
      <c r="K119" s="451">
        <f t="shared" si="19"/>
        <v>116.69553853211004</v>
      </c>
      <c r="L119" s="451">
        <f t="shared" si="19"/>
        <v>87.152364220183443</v>
      </c>
      <c r="M119" s="451">
        <f t="shared" si="19"/>
        <v>57.609189908256852</v>
      </c>
      <c r="N119" s="451">
        <f t="shared" si="19"/>
        <v>28.06601559633026</v>
      </c>
      <c r="O119" s="451">
        <f t="shared" si="19"/>
        <v>0</v>
      </c>
      <c r="P119" s="451">
        <f t="shared" si="19"/>
        <v>0</v>
      </c>
      <c r="Q119" s="451">
        <f t="shared" si="19"/>
        <v>0</v>
      </c>
      <c r="R119" s="451">
        <f t="shared" si="19"/>
        <v>0</v>
      </c>
      <c r="S119" s="451">
        <f t="shared" si="19"/>
        <v>0</v>
      </c>
      <c r="T119" s="451">
        <f t="shared" si="19"/>
        <v>0</v>
      </c>
      <c r="U119" s="451">
        <f t="shared" si="19"/>
        <v>0</v>
      </c>
      <c r="V119" s="451">
        <f t="shared" si="19"/>
        <v>0</v>
      </c>
      <c r="W119" s="451">
        <f t="shared" si="19"/>
        <v>0</v>
      </c>
      <c r="X119" s="451">
        <f t="shared" si="19"/>
        <v>0</v>
      </c>
      <c r="Y119" s="451">
        <f t="shared" si="19"/>
        <v>0</v>
      </c>
      <c r="Z119" s="451">
        <f t="shared" si="19"/>
        <v>0</v>
      </c>
      <c r="AA119" s="451">
        <f t="shared" si="19"/>
        <v>0</v>
      </c>
      <c r="AB119" s="451">
        <f t="shared" si="19"/>
        <v>0</v>
      </c>
      <c r="AC119" s="451">
        <f t="shared" si="19"/>
        <v>0</v>
      </c>
      <c r="AD119" s="451"/>
      <c r="AE119" s="451"/>
    </row>
    <row r="120" spans="2:40" hidden="1" outlineLevel="1">
      <c r="B120" s="444" t="s">
        <v>11</v>
      </c>
      <c r="K120" s="451">
        <f t="shared" si="19"/>
        <v>478.90259999999972</v>
      </c>
      <c r="L120" s="451">
        <f t="shared" si="19"/>
        <v>382.15459999999979</v>
      </c>
      <c r="M120" s="451">
        <f t="shared" si="19"/>
        <v>285.40659999999986</v>
      </c>
      <c r="N120" s="451">
        <f t="shared" si="19"/>
        <v>188.65859999999992</v>
      </c>
      <c r="O120" s="451">
        <f t="shared" si="19"/>
        <v>91.910599999999988</v>
      </c>
      <c r="P120" s="451">
        <f t="shared" si="19"/>
        <v>0</v>
      </c>
      <c r="Q120" s="451">
        <f t="shared" si="19"/>
        <v>0</v>
      </c>
      <c r="R120" s="451">
        <f t="shared" si="19"/>
        <v>0</v>
      </c>
      <c r="S120" s="451">
        <f t="shared" si="19"/>
        <v>0</v>
      </c>
      <c r="T120" s="451">
        <f t="shared" si="19"/>
        <v>0</v>
      </c>
      <c r="U120" s="451">
        <f t="shared" si="19"/>
        <v>0</v>
      </c>
      <c r="V120" s="451">
        <f t="shared" si="19"/>
        <v>0</v>
      </c>
      <c r="W120" s="451">
        <f t="shared" si="19"/>
        <v>0</v>
      </c>
      <c r="X120" s="451">
        <f t="shared" si="19"/>
        <v>0</v>
      </c>
      <c r="Y120" s="451">
        <f t="shared" si="19"/>
        <v>0</v>
      </c>
      <c r="Z120" s="451">
        <f t="shared" si="19"/>
        <v>0</v>
      </c>
      <c r="AA120" s="451">
        <f t="shared" si="19"/>
        <v>0</v>
      </c>
      <c r="AB120" s="451">
        <f t="shared" si="19"/>
        <v>0</v>
      </c>
      <c r="AC120" s="451">
        <f t="shared" si="19"/>
        <v>0</v>
      </c>
      <c r="AD120" s="451"/>
      <c r="AE120" s="451"/>
      <c r="AF120" s="451"/>
    </row>
    <row r="121" spans="2:40" hidden="1" outlineLevel="1">
      <c r="B121" s="444" t="s">
        <v>1</v>
      </c>
      <c r="L121" s="451">
        <f t="shared" si="19"/>
        <v>260.2867128440372</v>
      </c>
      <c r="M121" s="451">
        <f t="shared" si="19"/>
        <v>207.70353853211051</v>
      </c>
      <c r="N121" s="451">
        <f t="shared" si="19"/>
        <v>155.1203642201838</v>
      </c>
      <c r="O121" s="451">
        <f t="shared" si="19"/>
        <v>102.53718990825709</v>
      </c>
      <c r="P121" s="451">
        <f t="shared" si="19"/>
        <v>49.954015596330379</v>
      </c>
      <c r="Q121" s="451">
        <f t="shared" si="19"/>
        <v>0</v>
      </c>
      <c r="R121" s="451">
        <f t="shared" si="19"/>
        <v>0</v>
      </c>
      <c r="S121" s="451">
        <f t="shared" si="19"/>
        <v>0</v>
      </c>
      <c r="T121" s="451">
        <f t="shared" si="19"/>
        <v>0</v>
      </c>
      <c r="U121" s="451">
        <f t="shared" si="19"/>
        <v>0</v>
      </c>
      <c r="V121" s="451">
        <f t="shared" si="19"/>
        <v>0</v>
      </c>
      <c r="W121" s="451">
        <f t="shared" si="19"/>
        <v>0</v>
      </c>
      <c r="X121" s="451">
        <f t="shared" si="19"/>
        <v>0</v>
      </c>
      <c r="Y121" s="451">
        <f t="shared" si="19"/>
        <v>0</v>
      </c>
      <c r="Z121" s="451">
        <f t="shared" si="19"/>
        <v>0</v>
      </c>
      <c r="AA121" s="451">
        <f t="shared" si="19"/>
        <v>0</v>
      </c>
      <c r="AB121" s="451">
        <f t="shared" si="19"/>
        <v>0</v>
      </c>
      <c r="AC121" s="451">
        <f t="shared" si="19"/>
        <v>0</v>
      </c>
      <c r="AD121" s="451"/>
      <c r="AE121" s="451"/>
      <c r="AF121" s="451"/>
      <c r="AG121" s="451"/>
    </row>
    <row r="122" spans="2:40" hidden="1" outlineLevel="1">
      <c r="B122" s="444" t="s">
        <v>2</v>
      </c>
      <c r="M122" s="451">
        <f t="shared" si="19"/>
        <v>166.62217706422001</v>
      </c>
      <c r="N122" s="451">
        <f t="shared" si="19"/>
        <v>132.96113119266042</v>
      </c>
      <c r="O122" s="451">
        <f t="shared" si="19"/>
        <v>99.300085321100823</v>
      </c>
      <c r="P122" s="451">
        <f t="shared" si="19"/>
        <v>65.639039449541229</v>
      </c>
      <c r="Q122" s="451">
        <f t="shared" si="19"/>
        <v>31.977993577981636</v>
      </c>
      <c r="R122" s="451">
        <f t="shared" si="19"/>
        <v>0</v>
      </c>
      <c r="S122" s="451">
        <f t="shared" si="19"/>
        <v>0</v>
      </c>
      <c r="T122" s="451">
        <f t="shared" si="19"/>
        <v>0</v>
      </c>
      <c r="U122" s="451">
        <f t="shared" si="19"/>
        <v>0</v>
      </c>
      <c r="V122" s="451">
        <f t="shared" si="19"/>
        <v>0</v>
      </c>
      <c r="W122" s="451">
        <f t="shared" si="19"/>
        <v>0</v>
      </c>
      <c r="X122" s="451">
        <f t="shared" si="19"/>
        <v>0</v>
      </c>
      <c r="Y122" s="451">
        <f t="shared" si="19"/>
        <v>0</v>
      </c>
      <c r="Z122" s="451">
        <f t="shared" si="19"/>
        <v>0</v>
      </c>
      <c r="AA122" s="451">
        <f t="shared" si="19"/>
        <v>0</v>
      </c>
      <c r="AB122" s="451">
        <f t="shared" si="19"/>
        <v>0</v>
      </c>
      <c r="AC122" s="451">
        <f t="shared" si="19"/>
        <v>0</v>
      </c>
      <c r="AD122" s="451"/>
      <c r="AE122" s="451"/>
      <c r="AF122" s="451"/>
      <c r="AG122" s="451"/>
      <c r="AH122" s="451"/>
    </row>
    <row r="123" spans="2:40" hidden="1" outlineLevel="1">
      <c r="B123" s="444" t="s">
        <v>3</v>
      </c>
      <c r="N123" s="451">
        <f t="shared" si="19"/>
        <v>743.86819816513696</v>
      </c>
      <c r="O123" s="451">
        <f t="shared" si="19"/>
        <v>593.59179449541239</v>
      </c>
      <c r="P123" s="451">
        <f t="shared" si="19"/>
        <v>443.3153908256877</v>
      </c>
      <c r="Q123" s="451">
        <f t="shared" si="19"/>
        <v>293.03898715596301</v>
      </c>
      <c r="R123" s="451">
        <f t="shared" si="19"/>
        <v>142.76258348623833</v>
      </c>
      <c r="S123" s="451">
        <f t="shared" si="19"/>
        <v>0</v>
      </c>
      <c r="T123" s="451">
        <f t="shared" si="19"/>
        <v>0</v>
      </c>
      <c r="U123" s="451">
        <f t="shared" si="19"/>
        <v>0</v>
      </c>
      <c r="V123" s="451">
        <f t="shared" si="19"/>
        <v>0</v>
      </c>
      <c r="W123" s="451">
        <f t="shared" si="19"/>
        <v>0</v>
      </c>
      <c r="X123" s="451">
        <f t="shared" si="19"/>
        <v>0</v>
      </c>
      <c r="Y123" s="451">
        <f t="shared" si="19"/>
        <v>0</v>
      </c>
      <c r="Z123" s="451">
        <f t="shared" si="19"/>
        <v>0</v>
      </c>
      <c r="AA123" s="451">
        <f t="shared" si="19"/>
        <v>0</v>
      </c>
      <c r="AB123" s="451">
        <f t="shared" si="19"/>
        <v>0</v>
      </c>
      <c r="AC123" s="451">
        <f t="shared" si="19"/>
        <v>0</v>
      </c>
      <c r="AD123" s="451"/>
      <c r="AE123" s="451"/>
      <c r="AF123" s="451"/>
      <c r="AG123" s="451"/>
      <c r="AH123" s="451"/>
      <c r="AI123" s="451"/>
    </row>
    <row r="124" spans="2:40" hidden="1" outlineLevel="1">
      <c r="B124" s="444" t="s">
        <v>4</v>
      </c>
      <c r="O124" s="451">
        <f t="shared" si="19"/>
        <v>398.89316146789099</v>
      </c>
      <c r="P124" s="451">
        <f t="shared" si="19"/>
        <v>318.30868440367061</v>
      </c>
      <c r="Q124" s="451">
        <f t="shared" si="19"/>
        <v>237.72420733945017</v>
      </c>
      <c r="R124" s="451">
        <f t="shared" si="19"/>
        <v>157.13973027522979</v>
      </c>
      <c r="S124" s="451">
        <f t="shared" si="19"/>
        <v>76.555253211009358</v>
      </c>
      <c r="T124" s="451">
        <f t="shared" si="19"/>
        <v>0</v>
      </c>
      <c r="U124" s="451">
        <f t="shared" si="19"/>
        <v>0</v>
      </c>
      <c r="V124" s="451">
        <f t="shared" si="19"/>
        <v>0</v>
      </c>
      <c r="W124" s="451">
        <f t="shared" si="19"/>
        <v>0</v>
      </c>
      <c r="X124" s="451">
        <f t="shared" si="19"/>
        <v>0</v>
      </c>
      <c r="Y124" s="451">
        <f t="shared" si="19"/>
        <v>0</v>
      </c>
      <c r="Z124" s="451">
        <f t="shared" si="19"/>
        <v>0</v>
      </c>
      <c r="AA124" s="451">
        <f t="shared" si="19"/>
        <v>0</v>
      </c>
      <c r="AB124" s="451">
        <f t="shared" si="19"/>
        <v>0</v>
      </c>
      <c r="AC124" s="451">
        <f t="shared" si="19"/>
        <v>0</v>
      </c>
      <c r="AD124" s="451"/>
      <c r="AE124" s="451"/>
      <c r="AF124" s="451"/>
      <c r="AG124" s="451"/>
      <c r="AH124" s="451"/>
      <c r="AI124" s="451"/>
      <c r="AJ124" s="451"/>
    </row>
    <row r="125" spans="2:40" hidden="1" outlineLevel="1">
      <c r="B125" s="444" t="s">
        <v>5</v>
      </c>
      <c r="P125" s="451">
        <f t="shared" si="19"/>
        <v>345.6065477064214</v>
      </c>
      <c r="Q125" s="451">
        <f t="shared" si="19"/>
        <v>275.7870431192656</v>
      </c>
      <c r="R125" s="451">
        <f t="shared" si="19"/>
        <v>205.96753853210976</v>
      </c>
      <c r="S125" s="451">
        <f t="shared" si="19"/>
        <v>136.14803394495391</v>
      </c>
      <c r="T125" s="451">
        <f t="shared" si="19"/>
        <v>66.328529357798061</v>
      </c>
      <c r="U125" s="451">
        <f t="shared" si="19"/>
        <v>0</v>
      </c>
      <c r="V125" s="451">
        <f t="shared" si="19"/>
        <v>0</v>
      </c>
      <c r="W125" s="451">
        <f t="shared" si="19"/>
        <v>0</v>
      </c>
      <c r="X125" s="451">
        <f t="shared" si="19"/>
        <v>0</v>
      </c>
      <c r="Y125" s="451">
        <f t="shared" si="19"/>
        <v>0</v>
      </c>
      <c r="Z125" s="451">
        <f t="shared" si="19"/>
        <v>0</v>
      </c>
      <c r="AA125" s="451">
        <f t="shared" si="19"/>
        <v>0</v>
      </c>
      <c r="AB125" s="451">
        <f t="shared" si="19"/>
        <v>0</v>
      </c>
      <c r="AC125" s="451">
        <f t="shared" si="19"/>
        <v>0</v>
      </c>
      <c r="AD125" s="451"/>
      <c r="AE125" s="451"/>
      <c r="AF125" s="451"/>
      <c r="AG125" s="451"/>
      <c r="AH125" s="451"/>
      <c r="AI125" s="451"/>
      <c r="AJ125" s="451"/>
      <c r="AK125" s="451"/>
    </row>
    <row r="126" spans="2:40" hidden="1" outlineLevel="1">
      <c r="B126" s="444" t="s">
        <v>68</v>
      </c>
      <c r="Q126" s="451">
        <f t="shared" si="19"/>
        <v>1166.7615027522932</v>
      </c>
      <c r="R126" s="451">
        <f t="shared" si="19"/>
        <v>931.05210825688039</v>
      </c>
      <c r="S126" s="451">
        <f t="shared" si="19"/>
        <v>695.34271376146762</v>
      </c>
      <c r="T126" s="451">
        <f t="shared" si="19"/>
        <v>459.63331926605485</v>
      </c>
      <c r="U126" s="451">
        <f t="shared" si="19"/>
        <v>223.92392477064209</v>
      </c>
      <c r="V126" s="451">
        <f t="shared" si="19"/>
        <v>0</v>
      </c>
      <c r="W126" s="451">
        <f t="shared" si="19"/>
        <v>0</v>
      </c>
      <c r="X126" s="451">
        <f t="shared" si="19"/>
        <v>0</v>
      </c>
      <c r="Y126" s="451">
        <f t="shared" si="19"/>
        <v>0</v>
      </c>
      <c r="Z126" s="451">
        <f t="shared" si="19"/>
        <v>0</v>
      </c>
      <c r="AA126" s="451">
        <f t="shared" si="19"/>
        <v>0</v>
      </c>
      <c r="AB126" s="451">
        <f t="shared" si="19"/>
        <v>0</v>
      </c>
      <c r="AC126" s="451">
        <f t="shared" si="19"/>
        <v>0</v>
      </c>
      <c r="AD126" s="451"/>
      <c r="AE126" s="451"/>
      <c r="AF126" s="451"/>
      <c r="AG126" s="451"/>
      <c r="AH126" s="451"/>
      <c r="AI126" s="451"/>
      <c r="AJ126" s="451"/>
      <c r="AK126" s="451"/>
      <c r="AL126" s="451"/>
    </row>
    <row r="127" spans="2:40" hidden="1" outlineLevel="1">
      <c r="B127" s="444" t="s">
        <v>6</v>
      </c>
      <c r="R127" s="451">
        <f t="shared" ca="1" si="19"/>
        <v>809.40741212579155</v>
      </c>
      <c r="S127" s="451">
        <f t="shared" ca="1" si="19"/>
        <v>645.89076321149014</v>
      </c>
      <c r="T127" s="451">
        <f t="shared" ca="1" si="19"/>
        <v>482.3741142971889</v>
      </c>
      <c r="U127" s="451">
        <f t="shared" ca="1" si="19"/>
        <v>318.85746538288754</v>
      </c>
      <c r="V127" s="451">
        <f t="shared" ca="1" si="19"/>
        <v>155.34081646858624</v>
      </c>
      <c r="W127" s="451">
        <f t="shared" ca="1" si="19"/>
        <v>0</v>
      </c>
      <c r="X127" s="451">
        <f t="shared" ca="1" si="19"/>
        <v>0</v>
      </c>
      <c r="Y127" s="451">
        <f t="shared" ca="1" si="19"/>
        <v>0</v>
      </c>
      <c r="Z127" s="451">
        <f t="shared" ca="1" si="19"/>
        <v>0</v>
      </c>
      <c r="AA127" s="451">
        <f t="shared" ref="AA127:AC132" ca="1" si="20">+AA73-AA100</f>
        <v>0</v>
      </c>
      <c r="AB127" s="451">
        <f t="shared" ca="1" si="20"/>
        <v>0</v>
      </c>
      <c r="AC127" s="451">
        <f t="shared" ca="1" si="20"/>
        <v>0</v>
      </c>
      <c r="AD127" s="451"/>
      <c r="AE127" s="451"/>
      <c r="AF127" s="451"/>
      <c r="AG127" s="451"/>
      <c r="AH127" s="451"/>
      <c r="AI127" s="451"/>
      <c r="AJ127" s="451"/>
      <c r="AK127" s="451"/>
      <c r="AL127" s="451"/>
      <c r="AM127" s="451"/>
    </row>
    <row r="128" spans="2:40" hidden="1" outlineLevel="1">
      <c r="B128" s="444" t="s">
        <v>22</v>
      </c>
      <c r="S128" s="451">
        <f t="shared" ref="S128:AC133" ca="1" si="21">+S74-S101</f>
        <v>1016.5980564966266</v>
      </c>
      <c r="T128" s="451">
        <f t="shared" ca="1" si="21"/>
        <v>811.22471174983332</v>
      </c>
      <c r="U128" s="451">
        <f t="shared" ca="1" si="21"/>
        <v>605.85136700304008</v>
      </c>
      <c r="V128" s="451">
        <f t="shared" ca="1" si="21"/>
        <v>400.47802225624685</v>
      </c>
      <c r="W128" s="451">
        <f t="shared" ca="1" si="21"/>
        <v>195.10467750945361</v>
      </c>
      <c r="X128" s="451">
        <f t="shared" ca="1" si="21"/>
        <v>0</v>
      </c>
      <c r="Y128" s="451">
        <f t="shared" ca="1" si="21"/>
        <v>0</v>
      </c>
      <c r="Z128" s="451">
        <f t="shared" ca="1" si="21"/>
        <v>0</v>
      </c>
      <c r="AA128" s="451">
        <f t="shared" ca="1" si="21"/>
        <v>0</v>
      </c>
      <c r="AB128" s="451">
        <f t="shared" ca="1" si="21"/>
        <v>0</v>
      </c>
      <c r="AC128" s="451">
        <f t="shared" ca="1" si="20"/>
        <v>0</v>
      </c>
      <c r="AD128" s="451"/>
      <c r="AE128" s="451"/>
      <c r="AF128" s="451"/>
      <c r="AG128" s="451"/>
      <c r="AH128" s="451"/>
      <c r="AI128" s="451"/>
      <c r="AJ128" s="451"/>
      <c r="AK128" s="451"/>
      <c r="AL128" s="451"/>
      <c r="AM128" s="451"/>
      <c r="AN128" s="451"/>
    </row>
    <row r="129" spans="2:40" hidden="1" outlineLevel="1">
      <c r="B129" s="444" t="s">
        <v>23</v>
      </c>
      <c r="S129" s="451"/>
      <c r="T129" s="451">
        <f t="shared" ca="1" si="21"/>
        <v>1220.0475686558884</v>
      </c>
      <c r="U129" s="451">
        <f t="shared" ca="1" si="21"/>
        <v>973.57331236176947</v>
      </c>
      <c r="V129" s="451">
        <f t="shared" ca="1" si="21"/>
        <v>727.09905606765074</v>
      </c>
      <c r="W129" s="451">
        <f t="shared" ca="1" si="21"/>
        <v>480.62479977353189</v>
      </c>
      <c r="X129" s="451">
        <f t="shared" ca="1" si="21"/>
        <v>234.15054347941305</v>
      </c>
      <c r="Y129" s="451">
        <f t="shared" ca="1" si="21"/>
        <v>0</v>
      </c>
      <c r="Z129" s="451">
        <f ca="1">+Z75-Z102</f>
        <v>0</v>
      </c>
      <c r="AA129" s="451">
        <f t="shared" ca="1" si="21"/>
        <v>0</v>
      </c>
      <c r="AB129" s="451">
        <f t="shared" ca="1" si="21"/>
        <v>0</v>
      </c>
      <c r="AC129" s="451">
        <f t="shared" ca="1" si="20"/>
        <v>0</v>
      </c>
      <c r="AD129" s="451"/>
      <c r="AE129" s="451"/>
      <c r="AF129" s="451"/>
      <c r="AG129" s="451"/>
      <c r="AH129" s="451"/>
      <c r="AI129" s="451"/>
      <c r="AJ129" s="451"/>
      <c r="AK129" s="451"/>
      <c r="AL129" s="451"/>
      <c r="AM129" s="451"/>
      <c r="AN129" s="451"/>
    </row>
    <row r="130" spans="2:40" hidden="1" outlineLevel="1">
      <c r="B130" s="444" t="s">
        <v>24</v>
      </c>
      <c r="S130" s="451"/>
      <c r="T130" s="451"/>
      <c r="U130" s="451">
        <f t="shared" ca="1" si="21"/>
        <v>1426.025574061242</v>
      </c>
      <c r="V130" s="451">
        <f t="shared" ca="1" si="21"/>
        <v>1137.9395995034154</v>
      </c>
      <c r="W130" s="451">
        <f t="shared" ca="1" si="21"/>
        <v>849.85362494558876</v>
      </c>
      <c r="X130" s="451">
        <f t="shared" ca="1" si="21"/>
        <v>561.76765038776216</v>
      </c>
      <c r="Y130" s="451">
        <f t="shared" ca="1" si="21"/>
        <v>273.68167582993556</v>
      </c>
      <c r="Z130" s="451">
        <f t="shared" ca="1" si="21"/>
        <v>0</v>
      </c>
      <c r="AA130" s="451">
        <f t="shared" ca="1" si="21"/>
        <v>0</v>
      </c>
      <c r="AB130" s="451">
        <f t="shared" ca="1" si="21"/>
        <v>0</v>
      </c>
      <c r="AC130" s="451">
        <f t="shared" ca="1" si="20"/>
        <v>0</v>
      </c>
      <c r="AD130" s="451"/>
      <c r="AE130" s="451"/>
      <c r="AF130" s="451"/>
      <c r="AG130" s="451"/>
      <c r="AH130" s="451"/>
      <c r="AI130" s="451"/>
      <c r="AJ130" s="451"/>
      <c r="AK130" s="451"/>
      <c r="AL130" s="451"/>
      <c r="AM130" s="451"/>
      <c r="AN130" s="451"/>
    </row>
    <row r="131" spans="2:40" hidden="1" outlineLevel="1">
      <c r="B131" s="444" t="s">
        <v>25</v>
      </c>
      <c r="S131" s="451"/>
      <c r="T131" s="451"/>
      <c r="U131" s="451"/>
      <c r="V131" s="451">
        <f t="shared" ca="1" si="21"/>
        <v>1644.0243390274379</v>
      </c>
      <c r="W131" s="451">
        <f t="shared" ca="1" si="21"/>
        <v>1311.898209930986</v>
      </c>
      <c r="X131" s="451">
        <f t="shared" ca="1" si="21"/>
        <v>979.77208083453388</v>
      </c>
      <c r="Y131" s="451">
        <f t="shared" ca="1" si="21"/>
        <v>647.64595173808175</v>
      </c>
      <c r="Z131" s="451">
        <f t="shared" ca="1" si="21"/>
        <v>315.51982264162962</v>
      </c>
      <c r="AA131" s="451">
        <f t="shared" ca="1" si="21"/>
        <v>0</v>
      </c>
      <c r="AB131" s="451">
        <f t="shared" ca="1" si="21"/>
        <v>0</v>
      </c>
      <c r="AC131" s="451">
        <f t="shared" ca="1" si="20"/>
        <v>0</v>
      </c>
      <c r="AD131" s="451"/>
      <c r="AE131" s="451"/>
      <c r="AF131" s="451"/>
      <c r="AG131" s="451"/>
      <c r="AH131" s="451"/>
      <c r="AI131" s="451"/>
      <c r="AJ131" s="451"/>
      <c r="AK131" s="451"/>
      <c r="AL131" s="451"/>
      <c r="AM131" s="451"/>
      <c r="AN131" s="451"/>
    </row>
    <row r="132" spans="2:40" hidden="1" outlineLevel="1">
      <c r="B132" s="444" t="s">
        <v>26</v>
      </c>
      <c r="S132" s="451"/>
      <c r="T132" s="451"/>
      <c r="U132" s="451"/>
      <c r="V132" s="451"/>
      <c r="W132" s="451">
        <f t="shared" ca="1" si="21"/>
        <v>1780.4077534388484</v>
      </c>
      <c r="X132" s="451">
        <f t="shared" ca="1" si="21"/>
        <v>1420.7294194107981</v>
      </c>
      <c r="Y132" s="451">
        <f t="shared" ca="1" si="21"/>
        <v>1061.0510853827482</v>
      </c>
      <c r="Z132" s="451">
        <f t="shared" ca="1" si="21"/>
        <v>701.37275135469781</v>
      </c>
      <c r="AA132" s="451">
        <f t="shared" ca="1" si="21"/>
        <v>341.69441732664768</v>
      </c>
      <c r="AB132" s="451">
        <f t="shared" ca="1" si="21"/>
        <v>0</v>
      </c>
      <c r="AC132" s="451">
        <f t="shared" ca="1" si="20"/>
        <v>0</v>
      </c>
      <c r="AD132" s="451"/>
      <c r="AE132" s="451"/>
      <c r="AF132" s="451"/>
      <c r="AG132" s="451"/>
      <c r="AH132" s="451"/>
      <c r="AI132" s="451"/>
      <c r="AJ132" s="451"/>
      <c r="AK132" s="451"/>
      <c r="AL132" s="451"/>
      <c r="AM132" s="451"/>
      <c r="AN132" s="451"/>
    </row>
    <row r="133" spans="2:40" hidden="1" outlineLevel="1">
      <c r="B133" s="444" t="s">
        <v>27</v>
      </c>
      <c r="S133" s="451"/>
      <c r="T133" s="451"/>
      <c r="U133" s="451"/>
      <c r="V133" s="451"/>
      <c r="W133" s="451"/>
      <c r="X133" s="451">
        <f t="shared" ca="1" si="21"/>
        <v>1881.78936124334</v>
      </c>
      <c r="Y133" s="451">
        <f t="shared" ca="1" si="21"/>
        <v>1501.6298943254935</v>
      </c>
      <c r="Z133" s="451">
        <f t="shared" ca="1" si="21"/>
        <v>1121.4704274076471</v>
      </c>
      <c r="AA133" s="451">
        <f t="shared" ca="1" si="21"/>
        <v>741.31096048980066</v>
      </c>
      <c r="AB133" s="451">
        <f t="shared" ca="1" si="21"/>
        <v>361.15149357195423</v>
      </c>
      <c r="AC133" s="451">
        <f t="shared" ca="1" si="21"/>
        <v>0</v>
      </c>
      <c r="AD133" s="451"/>
      <c r="AE133" s="451"/>
      <c r="AF133" s="451"/>
      <c r="AG133" s="451"/>
      <c r="AH133" s="451"/>
      <c r="AI133" s="451"/>
      <c r="AJ133" s="451"/>
      <c r="AK133" s="451"/>
      <c r="AL133" s="451"/>
      <c r="AM133" s="451"/>
      <c r="AN133" s="451"/>
    </row>
    <row r="134" spans="2:40" hidden="1" outlineLevel="1">
      <c r="B134" s="444" t="s">
        <v>38</v>
      </c>
      <c r="S134" s="451"/>
      <c r="T134" s="451"/>
      <c r="U134" s="451"/>
      <c r="V134" s="451"/>
      <c r="W134" s="451"/>
      <c r="X134" s="451"/>
      <c r="Y134" s="451">
        <f ca="1">+Y80-Y107</f>
        <v>1923.1610364131629</v>
      </c>
      <c r="Z134" s="451">
        <f ca="1">+Z80-Z107</f>
        <v>1534.6436553195947</v>
      </c>
      <c r="AA134" s="451">
        <f ca="1">+AA80-AA107</f>
        <v>1146.1262742260265</v>
      </c>
      <c r="AB134" s="451">
        <f ca="1">+AB80-AB107</f>
        <v>757.60889313245821</v>
      </c>
      <c r="AC134" s="451">
        <f ca="1">+AC80-AC107</f>
        <v>369.09151203888996</v>
      </c>
      <c r="AD134" s="451"/>
      <c r="AE134" s="451"/>
      <c r="AF134" s="451"/>
      <c r="AG134" s="451"/>
      <c r="AH134" s="451"/>
      <c r="AI134" s="451"/>
      <c r="AJ134" s="451"/>
      <c r="AK134" s="451"/>
      <c r="AL134" s="451"/>
      <c r="AM134" s="451"/>
      <c r="AN134" s="451"/>
    </row>
    <row r="135" spans="2:40" hidden="1" outlineLevel="1">
      <c r="B135" s="444" t="s">
        <v>39</v>
      </c>
      <c r="S135" s="451"/>
      <c r="T135" s="451"/>
      <c r="U135" s="451"/>
      <c r="V135" s="451"/>
      <c r="W135" s="451"/>
      <c r="X135" s="451"/>
      <c r="Y135" s="451"/>
      <c r="Z135" s="451">
        <f ca="1">+Z81-Z108</f>
        <v>1897.1133151925255</v>
      </c>
      <c r="AA135" s="451">
        <f ca="1">+AA81-AA108</f>
        <v>1513.8581000021163</v>
      </c>
      <c r="AB135" s="451">
        <f ca="1">+AB81-AB108</f>
        <v>1130.6028848117073</v>
      </c>
      <c r="AC135" s="451">
        <f ca="1">+AC81-AC108</f>
        <v>747.34766962129811</v>
      </c>
      <c r="AD135" s="451"/>
      <c r="AE135" s="451"/>
      <c r="AF135" s="451"/>
      <c r="AG135" s="451"/>
      <c r="AH135" s="451"/>
      <c r="AI135" s="451"/>
      <c r="AJ135" s="451"/>
      <c r="AK135" s="451"/>
      <c r="AL135" s="451"/>
      <c r="AM135" s="451"/>
      <c r="AN135" s="451"/>
    </row>
    <row r="136" spans="2:40" hidden="1" outlineLevel="1">
      <c r="B136" s="444" t="s">
        <v>40</v>
      </c>
      <c r="S136" s="451"/>
      <c r="T136" s="451"/>
      <c r="U136" s="451"/>
      <c r="V136" s="451"/>
      <c r="W136" s="451"/>
      <c r="X136" s="451"/>
      <c r="Y136" s="451"/>
      <c r="Z136" s="451"/>
      <c r="AA136" s="451">
        <f ca="1">+AA82-AA109</f>
        <v>1802.5484851004298</v>
      </c>
      <c r="AB136" s="451">
        <f ca="1">+AB82-AB109</f>
        <v>1438.397275989232</v>
      </c>
      <c r="AC136" s="451">
        <f ca="1">+AC82-AC109</f>
        <v>1074.2460668780341</v>
      </c>
      <c r="AD136" s="451"/>
      <c r="AE136" s="451"/>
      <c r="AF136" s="451"/>
      <c r="AG136" s="451"/>
      <c r="AH136" s="451"/>
      <c r="AI136" s="451"/>
      <c r="AJ136" s="451"/>
      <c r="AK136" s="451"/>
      <c r="AL136" s="451"/>
      <c r="AM136" s="451"/>
      <c r="AN136" s="451"/>
    </row>
    <row r="137" spans="2:40" hidden="1" outlineLevel="1">
      <c r="B137" s="444" t="s">
        <v>41</v>
      </c>
      <c r="S137" s="451"/>
      <c r="T137" s="451"/>
      <c r="U137" s="451"/>
      <c r="V137" s="451"/>
      <c r="W137" s="451"/>
      <c r="X137" s="451"/>
      <c r="Y137" s="451"/>
      <c r="Z137" s="451"/>
      <c r="AA137" s="451"/>
      <c r="AB137" s="451">
        <f ca="1">+AB83-AB110</f>
        <v>1645.7374035785106</v>
      </c>
      <c r="AC137" s="451">
        <f ca="1">+AC83-AC110</f>
        <v>1313.2652008353771</v>
      </c>
      <c r="AD137" s="451"/>
      <c r="AE137" s="451"/>
      <c r="AF137" s="451"/>
      <c r="AG137" s="451"/>
      <c r="AH137" s="451"/>
      <c r="AI137" s="451"/>
      <c r="AJ137" s="451"/>
      <c r="AK137" s="451"/>
      <c r="AL137" s="451"/>
      <c r="AM137" s="451"/>
      <c r="AN137" s="451"/>
    </row>
    <row r="138" spans="2:40" hidden="1" outlineLevel="1">
      <c r="B138" s="444" t="s">
        <v>112</v>
      </c>
      <c r="S138" s="451"/>
      <c r="T138" s="451"/>
      <c r="U138" s="451"/>
      <c r="V138" s="451"/>
      <c r="W138" s="451"/>
      <c r="X138" s="451"/>
      <c r="Y138" s="451"/>
      <c r="Z138" s="451"/>
      <c r="AA138" s="451"/>
      <c r="AB138" s="451"/>
      <c r="AC138" s="451">
        <f ca="1">+AC84-AC111</f>
        <v>1438.4303508189794</v>
      </c>
      <c r="AD138" s="451"/>
      <c r="AE138" s="451"/>
      <c r="AF138" s="451"/>
      <c r="AG138" s="451"/>
      <c r="AH138" s="451"/>
      <c r="AI138" s="451"/>
      <c r="AJ138" s="451"/>
      <c r="AK138" s="451"/>
      <c r="AL138" s="451"/>
      <c r="AM138" s="451"/>
      <c r="AN138" s="451"/>
    </row>
    <row r="139" spans="2:40" collapsed="1"/>
    <row r="140" spans="2:40">
      <c r="B140" s="447" t="s">
        <v>651</v>
      </c>
      <c r="C140" s="448"/>
    </row>
    <row r="142" spans="2:40">
      <c r="B142" s="449" t="s">
        <v>652</v>
      </c>
    </row>
    <row r="143" spans="2:40">
      <c r="B143" s="444" t="s">
        <v>668</v>
      </c>
      <c r="D143" s="464">
        <v>0.89119999999999999</v>
      </c>
      <c r="E143" s="464">
        <v>1.5410999999999999</v>
      </c>
      <c r="F143" s="464">
        <v>1.5270999999999999</v>
      </c>
      <c r="G143" s="464">
        <v>3.9868999999999999</v>
      </c>
      <c r="H143" s="464">
        <v>4.0368000000000004</v>
      </c>
      <c r="I143" s="464">
        <v>4.0674000000000001</v>
      </c>
      <c r="J143" s="464">
        <v>4.0493000000000006</v>
      </c>
      <c r="K143" s="464">
        <v>3.9831999999999996</v>
      </c>
      <c r="L143" s="464">
        <v>4.0114000000000001</v>
      </c>
      <c r="M143" s="464">
        <v>3.9918</v>
      </c>
      <c r="N143" s="464">
        <v>3.9426000000000001</v>
      </c>
      <c r="O143" s="464">
        <v>6.4882</v>
      </c>
      <c r="P143" s="464">
        <v>7.6618000000000004</v>
      </c>
      <c r="Q143" s="464">
        <v>7.6219999999999999</v>
      </c>
    </row>
    <row r="144" spans="2:40">
      <c r="B144" s="444" t="s">
        <v>653</v>
      </c>
      <c r="D144" s="464">
        <v>145.96600000000001</v>
      </c>
      <c r="E144" s="464">
        <v>172.8725</v>
      </c>
      <c r="F144" s="464">
        <v>197.4118</v>
      </c>
      <c r="G144" s="464">
        <v>229.18270000000001</v>
      </c>
      <c r="H144" s="464">
        <v>269.16390000000001</v>
      </c>
      <c r="I144" s="464">
        <v>296.80190000000005</v>
      </c>
      <c r="J144" s="464">
        <v>304.40449999999998</v>
      </c>
      <c r="K144" s="464">
        <v>379.13459999999998</v>
      </c>
      <c r="L144" s="464">
        <v>418.71429999999998</v>
      </c>
      <c r="M144" s="464">
        <v>438.07499999999999</v>
      </c>
      <c r="N144" s="464">
        <v>522.44740000000002</v>
      </c>
      <c r="O144" s="464">
        <v>576.59780000000001</v>
      </c>
      <c r="P144" s="464">
        <v>637.04690000000005</v>
      </c>
      <c r="Q144" s="464">
        <v>817.82299999999998</v>
      </c>
    </row>
    <row r="145" spans="2:29">
      <c r="B145" s="444" t="s">
        <v>666</v>
      </c>
      <c r="D145" s="464">
        <v>913.15519999999992</v>
      </c>
      <c r="E145" s="464">
        <v>1057.5887</v>
      </c>
      <c r="F145" s="464">
        <v>1279.8932</v>
      </c>
      <c r="G145" s="464">
        <v>1413.9198000000001</v>
      </c>
      <c r="H145" s="464">
        <v>1754.1702</v>
      </c>
      <c r="I145" s="464">
        <v>1893.4896000000001</v>
      </c>
      <c r="J145" s="464">
        <v>2042.8677</v>
      </c>
      <c r="K145" s="464">
        <v>2487.7522999999997</v>
      </c>
      <c r="L145" s="464">
        <v>2728.7602000000002</v>
      </c>
      <c r="M145" s="464">
        <v>2886.623</v>
      </c>
      <c r="N145" s="464">
        <v>3607.0057000000002</v>
      </c>
      <c r="O145" s="464">
        <v>3984.7492000000002</v>
      </c>
      <c r="P145" s="464">
        <v>4295.9425999999994</v>
      </c>
      <c r="Q145" s="464">
        <v>5384.9856</v>
      </c>
    </row>
    <row r="146" spans="2:29">
      <c r="B146" s="444" t="s">
        <v>667</v>
      </c>
      <c r="D146" s="464">
        <v>14.8566</v>
      </c>
      <c r="E146" s="464">
        <v>16.9693</v>
      </c>
      <c r="F146" s="464">
        <v>20.067900000000002</v>
      </c>
      <c r="G146" s="464">
        <v>22.062000000000001</v>
      </c>
      <c r="H146" s="464">
        <v>27.960799999999999</v>
      </c>
      <c r="I146" s="464">
        <v>30.7</v>
      </c>
      <c r="J146" s="464">
        <v>34.729599999999998</v>
      </c>
      <c r="K146" s="464">
        <v>42.391500000000001</v>
      </c>
      <c r="L146" s="464">
        <v>48.382199999999997</v>
      </c>
      <c r="M146" s="464">
        <v>54.611400000000003</v>
      </c>
      <c r="N146" s="464">
        <v>68.862700000000004</v>
      </c>
      <c r="O146" s="464">
        <v>76.154200000000003</v>
      </c>
      <c r="P146" s="464">
        <v>85.028000000000006</v>
      </c>
      <c r="Q146" s="464">
        <v>99.825100000000006</v>
      </c>
    </row>
    <row r="147" spans="2:29">
      <c r="B147" s="444" t="s">
        <v>676</v>
      </c>
      <c r="D147" s="464">
        <v>0.7016</v>
      </c>
      <c r="E147" s="464">
        <v>0.79149999999999998</v>
      </c>
      <c r="F147" s="464">
        <v>0.76679999999999993</v>
      </c>
      <c r="G147" s="464">
        <v>0.80449999999999999</v>
      </c>
      <c r="H147" s="464">
        <v>0.84120000000000006</v>
      </c>
      <c r="I147" s="464">
        <v>7.0999999999999995E-3</v>
      </c>
      <c r="J147" s="464">
        <v>0</v>
      </c>
      <c r="K147" s="464">
        <v>0</v>
      </c>
      <c r="L147" s="464">
        <v>0</v>
      </c>
      <c r="M147" s="464">
        <v>0</v>
      </c>
      <c r="N147" s="464">
        <v>0</v>
      </c>
      <c r="O147" s="464">
        <v>0</v>
      </c>
      <c r="P147" s="464">
        <v>0</v>
      </c>
      <c r="Q147" s="464">
        <v>0</v>
      </c>
    </row>
    <row r="148" spans="2:29" ht="13.5">
      <c r="B148" s="444" t="s">
        <v>654</v>
      </c>
      <c r="D148" s="463">
        <v>86.151600000000002</v>
      </c>
      <c r="E148" s="463">
        <v>116.864</v>
      </c>
      <c r="F148" s="463">
        <v>119.06399999999999</v>
      </c>
      <c r="G148" s="463">
        <v>272.17379999999997</v>
      </c>
      <c r="H148" s="463">
        <v>109.3347</v>
      </c>
      <c r="I148" s="463">
        <v>192.11150000000001</v>
      </c>
      <c r="J148" s="463">
        <v>387.19970000000001</v>
      </c>
      <c r="K148" s="463">
        <v>167.3535</v>
      </c>
      <c r="L148" s="463">
        <v>172.911</v>
      </c>
      <c r="M148" s="463">
        <v>528.29509999999993</v>
      </c>
      <c r="N148" s="463">
        <v>223.96539999999999</v>
      </c>
      <c r="O148" s="463">
        <v>593.15569999999991</v>
      </c>
      <c r="P148" s="463">
        <v>1336.8426000000002</v>
      </c>
      <c r="Q148" s="463">
        <v>908.28980000000001</v>
      </c>
    </row>
    <row r="149" spans="2:29" s="440" customFormat="1">
      <c r="B149" s="455" t="s">
        <v>669</v>
      </c>
      <c r="D149" s="456">
        <f>SUM(D143:D148)</f>
        <v>1161.7221999999999</v>
      </c>
      <c r="E149" s="456">
        <f>SUM(E143:E148)</f>
        <v>1366.6271000000002</v>
      </c>
      <c r="F149" s="456">
        <f>SUM(F143:F148)</f>
        <v>1618.7308000000003</v>
      </c>
      <c r="G149" s="456">
        <f>SUM(G143:G148)</f>
        <v>1942.1297</v>
      </c>
      <c r="H149" s="456">
        <f t="shared" ref="H149:Q149" si="22">SUM(H143:H148)</f>
        <v>2165.5075999999999</v>
      </c>
      <c r="I149" s="456">
        <f t="shared" si="22"/>
        <v>2417.1774999999998</v>
      </c>
      <c r="J149" s="456">
        <f t="shared" si="22"/>
        <v>2773.2508000000003</v>
      </c>
      <c r="K149" s="456">
        <f t="shared" si="22"/>
        <v>3080.6151</v>
      </c>
      <c r="L149" s="456">
        <f t="shared" si="22"/>
        <v>3372.7791000000002</v>
      </c>
      <c r="M149" s="456">
        <f t="shared" si="22"/>
        <v>3911.5962999999997</v>
      </c>
      <c r="N149" s="456">
        <f t="shared" si="22"/>
        <v>4426.2237999999998</v>
      </c>
      <c r="O149" s="456">
        <f t="shared" si="22"/>
        <v>5237.1451000000006</v>
      </c>
      <c r="P149" s="456">
        <f t="shared" si="22"/>
        <v>6362.5218999999997</v>
      </c>
      <c r="Q149" s="456">
        <f t="shared" si="22"/>
        <v>7218.5455000000002</v>
      </c>
      <c r="R149" s="456">
        <f ca="1">+R156</f>
        <v>8198.4524070688312</v>
      </c>
      <c r="S149" s="456">
        <f t="shared" ref="S149:AC149" ca="1" si="23">+S156</f>
        <v>9430.4297403115925</v>
      </c>
      <c r="T149" s="456">
        <f t="shared" ca="1" si="23"/>
        <v>10909.541926300693</v>
      </c>
      <c r="U149" s="456">
        <f t="shared" ca="1" si="23"/>
        <v>12638.530330698219</v>
      </c>
      <c r="V149" s="456">
        <f t="shared" ca="1" si="23"/>
        <v>14631.744728534142</v>
      </c>
      <c r="W149" s="456">
        <f t="shared" ca="1" si="23"/>
        <v>16788.965239044795</v>
      </c>
      <c r="X149" s="456">
        <f t="shared" ca="1" si="23"/>
        <v>19067.139092563866</v>
      </c>
      <c r="Y149" s="456">
        <f t="shared" ca="1" si="23"/>
        <v>21392.681260006011</v>
      </c>
      <c r="Z149" s="456">
        <f t="shared" ca="1" si="23"/>
        <v>23683.04715019192</v>
      </c>
      <c r="AA149" s="456">
        <f t="shared" ca="1" si="23"/>
        <v>25854.466812392053</v>
      </c>
      <c r="AB149" s="456">
        <f t="shared" ca="1" si="23"/>
        <v>27830.960980810571</v>
      </c>
      <c r="AC149" s="456">
        <f t="shared" ca="1" si="23"/>
        <v>29551.03320476543</v>
      </c>
    </row>
    <row r="150" spans="2:29" s="440" customFormat="1">
      <c r="B150" s="459" t="s">
        <v>655</v>
      </c>
      <c r="D150" s="460">
        <f>+D149-D148-D147-D143</f>
        <v>1073.9777999999999</v>
      </c>
      <c r="E150" s="460">
        <f t="shared" ref="E150:Q150" si="24">+E149-E148-E147-E143</f>
        <v>1247.4305000000002</v>
      </c>
      <c r="F150" s="460">
        <f t="shared" si="24"/>
        <v>1497.3729000000001</v>
      </c>
      <c r="G150" s="460">
        <f t="shared" si="24"/>
        <v>1665.1644999999999</v>
      </c>
      <c r="H150" s="460">
        <f t="shared" si="24"/>
        <v>2051.2949000000003</v>
      </c>
      <c r="I150" s="460">
        <f t="shared" si="24"/>
        <v>2220.9915000000001</v>
      </c>
      <c r="J150" s="460">
        <f t="shared" si="24"/>
        <v>2382.0018</v>
      </c>
      <c r="K150" s="460">
        <f t="shared" si="24"/>
        <v>2909.2783999999997</v>
      </c>
      <c r="L150" s="460">
        <f t="shared" si="24"/>
        <v>3195.8567000000003</v>
      </c>
      <c r="M150" s="460">
        <f t="shared" si="24"/>
        <v>3379.3094000000001</v>
      </c>
      <c r="N150" s="460">
        <f t="shared" si="24"/>
        <v>4198.3157999999994</v>
      </c>
      <c r="O150" s="460">
        <f t="shared" si="24"/>
        <v>4637.5012000000006</v>
      </c>
      <c r="P150" s="460">
        <f t="shared" si="24"/>
        <v>5018.0174999999999</v>
      </c>
      <c r="Q150" s="460">
        <f t="shared" si="24"/>
        <v>6302.6336999999994</v>
      </c>
      <c r="R150" s="460">
        <f t="shared" ref="R150:AC150" ca="1" si="25">+Q150+R19</f>
        <v>7193.7994365829418</v>
      </c>
      <c r="S150" s="460">
        <f t="shared" ca="1" si="25"/>
        <v>8313.084165452965</v>
      </c>
      <c r="T150" s="460">
        <f t="shared" ca="1" si="25"/>
        <v>9656.368862255913</v>
      </c>
      <c r="U150" s="460">
        <f t="shared" ca="1" si="25"/>
        <v>11226.437423596068</v>
      </c>
      <c r="V150" s="460">
        <f t="shared" ca="1" si="25"/>
        <v>13036.524827171732</v>
      </c>
      <c r="W150" s="460">
        <f t="shared" ca="1" si="25"/>
        <v>14996.771747624605</v>
      </c>
      <c r="X150" s="460">
        <f t="shared" ca="1" si="25"/>
        <v>17068.640842326869</v>
      </c>
      <c r="Y150" s="460">
        <f t="shared" ca="1" si="25"/>
        <v>19186.060569286816</v>
      </c>
      <c r="Z150" s="460">
        <f t="shared" ca="1" si="25"/>
        <v>21274.801492074545</v>
      </c>
      <c r="AA150" s="460">
        <f t="shared" ca="1" si="25"/>
        <v>23259.425581730575</v>
      </c>
      <c r="AB150" s="460">
        <f t="shared" ca="1" si="25"/>
        <v>25071.399086680653</v>
      </c>
      <c r="AC150" s="460">
        <f t="shared" ca="1" si="25"/>
        <v>26655.125432531851</v>
      </c>
    </row>
    <row r="151" spans="2:29" s="440" customFormat="1">
      <c r="B151" s="455"/>
      <c r="O151" s="456"/>
      <c r="P151" s="456"/>
      <c r="Q151" s="456"/>
    </row>
    <row r="152" spans="2:29" s="440" customFormat="1">
      <c r="B152" s="444" t="s">
        <v>670</v>
      </c>
      <c r="D152" s="451"/>
      <c r="E152" s="451">
        <f>+D149</f>
        <v>1161.7221999999999</v>
      </c>
      <c r="F152" s="451">
        <f t="shared" ref="F152:Q152" si="26">+E149</f>
        <v>1366.6271000000002</v>
      </c>
      <c r="G152" s="451">
        <f t="shared" si="26"/>
        <v>1618.7308000000003</v>
      </c>
      <c r="H152" s="451">
        <f t="shared" si="26"/>
        <v>1942.1297</v>
      </c>
      <c r="I152" s="451">
        <f t="shared" si="26"/>
        <v>2165.5075999999999</v>
      </c>
      <c r="J152" s="451">
        <f t="shared" si="26"/>
        <v>2417.1774999999998</v>
      </c>
      <c r="K152" s="451">
        <f t="shared" si="26"/>
        <v>2773.2508000000003</v>
      </c>
      <c r="L152" s="451">
        <f t="shared" si="26"/>
        <v>3080.6151</v>
      </c>
      <c r="M152" s="451">
        <f t="shared" si="26"/>
        <v>3372.7791000000002</v>
      </c>
      <c r="N152" s="451">
        <f t="shared" si="26"/>
        <v>3911.5962999999997</v>
      </c>
      <c r="O152" s="451">
        <f t="shared" si="26"/>
        <v>4426.2237999999998</v>
      </c>
      <c r="P152" s="451">
        <f t="shared" si="26"/>
        <v>5237.1451000000006</v>
      </c>
      <c r="Q152" s="451">
        <f t="shared" si="26"/>
        <v>6362.5218999999997</v>
      </c>
      <c r="R152" s="451">
        <f>+Q156</f>
        <v>7218.5455000000002</v>
      </c>
      <c r="S152" s="451">
        <f t="shared" ref="S152:AC152" ca="1" si="27">+R156</f>
        <v>8198.4524070688312</v>
      </c>
      <c r="T152" s="451">
        <f t="shared" ca="1" si="27"/>
        <v>9430.4297403115925</v>
      </c>
      <c r="U152" s="451">
        <f t="shared" ca="1" si="27"/>
        <v>10909.541926300693</v>
      </c>
      <c r="V152" s="451">
        <f t="shared" ca="1" si="27"/>
        <v>12638.530330698219</v>
      </c>
      <c r="W152" s="451">
        <f t="shared" ca="1" si="27"/>
        <v>14631.744728534142</v>
      </c>
      <c r="X152" s="451">
        <f t="shared" ca="1" si="27"/>
        <v>16788.965239044795</v>
      </c>
      <c r="Y152" s="451">
        <f t="shared" ca="1" si="27"/>
        <v>19067.139092563866</v>
      </c>
      <c r="Z152" s="451">
        <f t="shared" ca="1" si="27"/>
        <v>21392.681260006011</v>
      </c>
      <c r="AA152" s="451">
        <f t="shared" ca="1" si="27"/>
        <v>23683.04715019192</v>
      </c>
      <c r="AB152" s="451">
        <f t="shared" ca="1" si="27"/>
        <v>25854.466812392053</v>
      </c>
      <c r="AC152" s="451">
        <f t="shared" ca="1" si="27"/>
        <v>27830.960980810571</v>
      </c>
    </row>
    <row r="153" spans="2:29" s="440" customFormat="1">
      <c r="B153" s="444" t="s">
        <v>640</v>
      </c>
      <c r="D153" s="464"/>
      <c r="E153" s="474">
        <f>F153/F152*E152</f>
        <v>219.05254781499644</v>
      </c>
      <c r="F153" s="464">
        <v>257.6891</v>
      </c>
      <c r="G153" s="464">
        <v>333.80220000000003</v>
      </c>
      <c r="H153" s="464">
        <v>224.01870000000002</v>
      </c>
      <c r="I153" s="464">
        <v>219.30339999999998</v>
      </c>
      <c r="J153" s="464">
        <v>365.82759999999996</v>
      </c>
      <c r="K153" s="464">
        <v>322.4939</v>
      </c>
      <c r="L153" s="464">
        <v>300.02440000000001</v>
      </c>
      <c r="M153" s="464">
        <v>564.28300000000002</v>
      </c>
      <c r="N153" s="464">
        <v>525.72069999999997</v>
      </c>
      <c r="O153" s="464">
        <v>835.4063000000001</v>
      </c>
      <c r="P153" s="464">
        <v>1139.8921</v>
      </c>
      <c r="Q153" s="464">
        <v>897.51880000000006</v>
      </c>
      <c r="R153" s="451">
        <f t="shared" ref="R153:AC154" ca="1" si="28">+R15</f>
        <v>990.18415175882456</v>
      </c>
      <c r="S153" s="451">
        <f t="shared" ca="1" si="28"/>
        <v>1243.6496987444702</v>
      </c>
      <c r="T153" s="451">
        <f t="shared" ca="1" si="28"/>
        <v>1492.5385520032753</v>
      </c>
      <c r="U153" s="451">
        <f t="shared" ca="1" si="28"/>
        <v>1744.5206237112839</v>
      </c>
      <c r="V153" s="451">
        <f t="shared" ca="1" si="28"/>
        <v>2011.2082261951823</v>
      </c>
      <c r="W153" s="451">
        <f t="shared" ca="1" si="28"/>
        <v>2178.0521338365261</v>
      </c>
      <c r="X153" s="451">
        <f t="shared" ca="1" si="28"/>
        <v>2302.0767718914035</v>
      </c>
      <c r="Y153" s="451">
        <f t="shared" ca="1" si="28"/>
        <v>2352.6885855110522</v>
      </c>
      <c r="Z153" s="451">
        <f t="shared" ca="1" si="28"/>
        <v>2320.8232475419222</v>
      </c>
      <c r="AA153" s="451">
        <f t="shared" ca="1" si="28"/>
        <v>2205.1378773955876</v>
      </c>
      <c r="AB153" s="451">
        <f t="shared" ca="1" si="28"/>
        <v>2013.3038943889749</v>
      </c>
      <c r="AC153" s="451">
        <f t="shared" ca="1" si="28"/>
        <v>1759.6959398346662</v>
      </c>
    </row>
    <row r="154" spans="2:29" s="440" customFormat="1">
      <c r="B154" s="444" t="s">
        <v>641</v>
      </c>
      <c r="D154" s="464"/>
      <c r="E154" s="474">
        <f>F154/F152*E152</f>
        <v>-2.3146426544446541</v>
      </c>
      <c r="F154" s="464">
        <v>-2.7229000000000001</v>
      </c>
      <c r="G154" s="464">
        <v>-3.7131999999999996</v>
      </c>
      <c r="H154" s="464">
        <v>-2.8826999999999998</v>
      </c>
      <c r="I154" s="464">
        <v>-6.7846000000000002</v>
      </c>
      <c r="J154" s="464">
        <v>-3.5768</v>
      </c>
      <c r="K154" s="464">
        <v>-9.9677999999999987</v>
      </c>
      <c r="L154" s="464">
        <v>-7.1741999999999999</v>
      </c>
      <c r="M154" s="464">
        <v>-18.5839</v>
      </c>
      <c r="N154" s="464">
        <v>-7.1728999999999994</v>
      </c>
      <c r="O154" s="464">
        <v>-26.566700000000001</v>
      </c>
      <c r="P154" s="464">
        <v>-27.792400000000001</v>
      </c>
      <c r="Q154" s="464">
        <v>-32.436700000000002</v>
      </c>
      <c r="R154" s="456">
        <f t="shared" si="28"/>
        <v>0</v>
      </c>
      <c r="S154" s="456">
        <f t="shared" si="28"/>
        <v>0</v>
      </c>
      <c r="T154" s="456">
        <f t="shared" si="28"/>
        <v>0</v>
      </c>
      <c r="U154" s="456">
        <f t="shared" si="28"/>
        <v>0</v>
      </c>
      <c r="V154" s="456">
        <f t="shared" si="28"/>
        <v>0</v>
      </c>
      <c r="W154" s="456">
        <f t="shared" si="28"/>
        <v>0</v>
      </c>
      <c r="X154" s="456">
        <f t="shared" si="28"/>
        <v>0</v>
      </c>
      <c r="Y154" s="456">
        <f t="shared" si="28"/>
        <v>0</v>
      </c>
      <c r="Z154" s="456">
        <f t="shared" si="28"/>
        <v>0</v>
      </c>
      <c r="AA154" s="456">
        <f t="shared" si="28"/>
        <v>0</v>
      </c>
      <c r="AB154" s="456">
        <f t="shared" si="28"/>
        <v>0</v>
      </c>
      <c r="AC154" s="456">
        <f t="shared" si="28"/>
        <v>0</v>
      </c>
    </row>
    <row r="155" spans="2:29" s="440" customFormat="1" ht="13.5">
      <c r="B155" s="444" t="s">
        <v>19</v>
      </c>
      <c r="D155" s="453"/>
      <c r="E155" s="453">
        <f t="shared" ref="E155:Q155" si="29">+E156-SUM(E152:E154)</f>
        <v>-11.833005160551465</v>
      </c>
      <c r="F155" s="453">
        <f t="shared" si="29"/>
        <v>-2.8624999999999545</v>
      </c>
      <c r="G155" s="453">
        <f t="shared" si="29"/>
        <v>-6.6901000000004842</v>
      </c>
      <c r="H155" s="453">
        <f t="shared" si="29"/>
        <v>2.2418999999999869</v>
      </c>
      <c r="I155" s="453">
        <f t="shared" si="29"/>
        <v>39.151100000000042</v>
      </c>
      <c r="J155" s="453">
        <f t="shared" si="29"/>
        <v>-6.1774999999997817</v>
      </c>
      <c r="K155" s="453">
        <f t="shared" si="29"/>
        <v>-5.1618000000003121</v>
      </c>
      <c r="L155" s="453">
        <f t="shared" si="29"/>
        <v>-0.68620000000009895</v>
      </c>
      <c r="M155" s="453">
        <f t="shared" si="29"/>
        <v>-6.8819000000003143</v>
      </c>
      <c r="N155" s="453">
        <f t="shared" si="29"/>
        <v>-3.9203000000006796</v>
      </c>
      <c r="O155" s="453">
        <f t="shared" si="29"/>
        <v>2.0817000000006374</v>
      </c>
      <c r="P155" s="453">
        <f t="shared" si="29"/>
        <v>13.277099999999336</v>
      </c>
      <c r="Q155" s="453">
        <f t="shared" si="29"/>
        <v>-9.0584999999991851</v>
      </c>
      <c r="R155" s="454">
        <f>+Q155/Q152*R152</f>
        <v>-10.277244689993777</v>
      </c>
      <c r="S155" s="454">
        <f t="shared" ref="S155:AC155" ca="1" si="30">+R155/R152*S152</f>
        <v>-11.672365501708736</v>
      </c>
      <c r="T155" s="454">
        <f t="shared" ca="1" si="30"/>
        <v>-13.426366014175112</v>
      </c>
      <c r="U155" s="454">
        <f t="shared" ca="1" si="30"/>
        <v>-15.532219313757636</v>
      </c>
      <c r="V155" s="454">
        <f t="shared" ca="1" si="30"/>
        <v>-17.993828359257908</v>
      </c>
      <c r="W155" s="454">
        <f t="shared" ca="1" si="30"/>
        <v>-20.831623325872496</v>
      </c>
      <c r="X155" s="454">
        <f t="shared" ca="1" si="30"/>
        <v>-23.902918372331825</v>
      </c>
      <c r="Y155" s="454">
        <f t="shared" ca="1" si="30"/>
        <v>-27.146418068906645</v>
      </c>
      <c r="Z155" s="454">
        <f t="shared" ca="1" si="30"/>
        <v>-30.457357356011144</v>
      </c>
      <c r="AA155" s="454">
        <f t="shared" ca="1" si="30"/>
        <v>-33.718215195454839</v>
      </c>
      <c r="AB155" s="454">
        <f t="shared" ca="1" si="30"/>
        <v>-36.809725970457144</v>
      </c>
      <c r="AC155" s="454">
        <f t="shared" ca="1" si="30"/>
        <v>-39.623715879807008</v>
      </c>
    </row>
    <row r="156" spans="2:29" s="440" customFormat="1">
      <c r="B156" s="455" t="s">
        <v>669</v>
      </c>
      <c r="D156" s="456"/>
      <c r="E156" s="456">
        <f t="shared" ref="E156:Q156" si="31">+E149</f>
        <v>1366.6271000000002</v>
      </c>
      <c r="F156" s="456">
        <f t="shared" si="31"/>
        <v>1618.7308000000003</v>
      </c>
      <c r="G156" s="456">
        <f t="shared" si="31"/>
        <v>1942.1297</v>
      </c>
      <c r="H156" s="456">
        <f t="shared" si="31"/>
        <v>2165.5075999999999</v>
      </c>
      <c r="I156" s="456">
        <f t="shared" si="31"/>
        <v>2417.1774999999998</v>
      </c>
      <c r="J156" s="456">
        <f t="shared" si="31"/>
        <v>2773.2508000000003</v>
      </c>
      <c r="K156" s="456">
        <f t="shared" si="31"/>
        <v>3080.6151</v>
      </c>
      <c r="L156" s="456">
        <f t="shared" si="31"/>
        <v>3372.7791000000002</v>
      </c>
      <c r="M156" s="456">
        <f t="shared" si="31"/>
        <v>3911.5962999999997</v>
      </c>
      <c r="N156" s="456">
        <f t="shared" si="31"/>
        <v>4426.2237999999998</v>
      </c>
      <c r="O156" s="456">
        <f t="shared" si="31"/>
        <v>5237.1451000000006</v>
      </c>
      <c r="P156" s="456">
        <f t="shared" si="31"/>
        <v>6362.5218999999997</v>
      </c>
      <c r="Q156" s="456">
        <f t="shared" si="31"/>
        <v>7218.5455000000002</v>
      </c>
      <c r="R156" s="456">
        <f ca="1">SUM(R152:R155)</f>
        <v>8198.4524070688312</v>
      </c>
      <c r="S156" s="456">
        <f t="shared" ref="S156:AC156" ca="1" si="32">SUM(S152:S155)</f>
        <v>9430.4297403115925</v>
      </c>
      <c r="T156" s="456">
        <f t="shared" ca="1" si="32"/>
        <v>10909.541926300693</v>
      </c>
      <c r="U156" s="456">
        <f t="shared" ca="1" si="32"/>
        <v>12638.530330698219</v>
      </c>
      <c r="V156" s="456">
        <f t="shared" ca="1" si="32"/>
        <v>14631.744728534142</v>
      </c>
      <c r="W156" s="456">
        <f t="shared" ca="1" si="32"/>
        <v>16788.965239044795</v>
      </c>
      <c r="X156" s="456">
        <f t="shared" ca="1" si="32"/>
        <v>19067.139092563866</v>
      </c>
      <c r="Y156" s="456">
        <f t="shared" ca="1" si="32"/>
        <v>21392.681260006011</v>
      </c>
      <c r="Z156" s="456">
        <f t="shared" ca="1" si="32"/>
        <v>23683.04715019192</v>
      </c>
      <c r="AA156" s="456">
        <f t="shared" ca="1" si="32"/>
        <v>25854.466812392053</v>
      </c>
      <c r="AB156" s="456">
        <f t="shared" ca="1" si="32"/>
        <v>27830.960980810571</v>
      </c>
      <c r="AC156" s="456">
        <f t="shared" ca="1" si="32"/>
        <v>29551.03320476543</v>
      </c>
    </row>
    <row r="157" spans="2:29">
      <c r="M157" s="451"/>
      <c r="N157" s="451"/>
      <c r="O157" s="451"/>
      <c r="P157" s="451"/>
    </row>
    <row r="158" spans="2:29">
      <c r="B158" s="449" t="s">
        <v>656</v>
      </c>
    </row>
    <row r="159" spans="2:29" s="440" customFormat="1">
      <c r="B159" s="440" t="s">
        <v>672</v>
      </c>
      <c r="D159" s="465">
        <v>773.27819999999997</v>
      </c>
      <c r="E159" s="465">
        <v>876.2521999999999</v>
      </c>
      <c r="F159" s="465">
        <v>1001.1686</v>
      </c>
      <c r="G159" s="465">
        <v>1149.4638</v>
      </c>
      <c r="H159" s="465">
        <v>1347.3088</v>
      </c>
      <c r="I159" s="465">
        <v>1563.7072000000001</v>
      </c>
      <c r="J159" s="465">
        <v>1775.4731000000002</v>
      </c>
      <c r="K159" s="465">
        <v>2018.0728000000001</v>
      </c>
      <c r="L159" s="465">
        <v>2300.7287999999999</v>
      </c>
      <c r="M159" s="465">
        <v>2559.2824000000001</v>
      </c>
      <c r="N159" s="465">
        <v>2871.6378999999997</v>
      </c>
      <c r="O159" s="465">
        <v>3262.0311000000002</v>
      </c>
      <c r="P159" s="465">
        <v>3668.7062000000001</v>
      </c>
      <c r="Q159" s="465">
        <v>4154.1212000000005</v>
      </c>
      <c r="R159" s="456">
        <f ca="1">+R164</f>
        <v>4765.6907048474313</v>
      </c>
      <c r="S159" s="456">
        <f t="shared" ref="S159:AC159" ca="1" si="33">+S164</f>
        <v>5516.5370931672442</v>
      </c>
      <c r="T159" s="456">
        <f t="shared" ca="1" si="33"/>
        <v>6339.5464727518147</v>
      </c>
      <c r="U159" s="456">
        <f t="shared" ca="1" si="33"/>
        <v>7342.1509545683602</v>
      </c>
      <c r="V159" s="456">
        <f t="shared" ca="1" si="33"/>
        <v>8567.4417873724833</v>
      </c>
      <c r="W159" s="456">
        <f t="shared" ca="1" si="33"/>
        <v>9895.1625231222661</v>
      </c>
      <c r="X159" s="456">
        <f t="shared" ca="1" si="33"/>
        <v>11414.8693982076</v>
      </c>
      <c r="Y159" s="456">
        <f t="shared" ca="1" si="33"/>
        <v>13097.381104779521</v>
      </c>
      <c r="Z159" s="456">
        <f t="shared" ca="1" si="33"/>
        <v>14901.60798745897</v>
      </c>
      <c r="AA159" s="456">
        <f t="shared" ca="1" si="33"/>
        <v>16772.504117339653</v>
      </c>
      <c r="AB159" s="456">
        <f t="shared" ca="1" si="33"/>
        <v>18640.843438642642</v>
      </c>
      <c r="AC159" s="456">
        <f t="shared" ca="1" si="33"/>
        <v>20442.671421605934</v>
      </c>
    </row>
    <row r="161" spans="2:29">
      <c r="B161" s="444" t="s">
        <v>671</v>
      </c>
      <c r="D161" s="451"/>
      <c r="E161" s="451">
        <f>+D159</f>
        <v>773.27819999999997</v>
      </c>
      <c r="F161" s="451">
        <f t="shared" ref="F161:Q161" si="34">+E164</f>
        <v>876.2521999999999</v>
      </c>
      <c r="G161" s="451">
        <f t="shared" si="34"/>
        <v>1001.1686</v>
      </c>
      <c r="H161" s="451">
        <f t="shared" si="34"/>
        <v>1149.4638</v>
      </c>
      <c r="I161" s="451">
        <f t="shared" si="34"/>
        <v>1347.3088</v>
      </c>
      <c r="J161" s="451">
        <f t="shared" si="34"/>
        <v>1563.7072000000001</v>
      </c>
      <c r="K161" s="451">
        <f t="shared" si="34"/>
        <v>1775.4731000000002</v>
      </c>
      <c r="L161" s="451">
        <f t="shared" si="34"/>
        <v>2018.0728000000001</v>
      </c>
      <c r="M161" s="451">
        <f t="shared" si="34"/>
        <v>2300.7287999999999</v>
      </c>
      <c r="N161" s="451">
        <f t="shared" si="34"/>
        <v>2559.2824000000001</v>
      </c>
      <c r="O161" s="451">
        <f t="shared" si="34"/>
        <v>2871.6378999999997</v>
      </c>
      <c r="P161" s="451">
        <f t="shared" si="34"/>
        <v>3262.0311000000002</v>
      </c>
      <c r="Q161" s="451">
        <f t="shared" si="34"/>
        <v>3668.7062000000001</v>
      </c>
      <c r="R161" s="451">
        <f>+Q164</f>
        <v>4154.1212000000005</v>
      </c>
      <c r="S161" s="451">
        <f t="shared" ref="S161:AC161" ca="1" si="35">+R164</f>
        <v>4765.6907048474313</v>
      </c>
      <c r="T161" s="451">
        <f t="shared" ca="1" si="35"/>
        <v>5516.5370931672442</v>
      </c>
      <c r="U161" s="451">
        <f t="shared" ca="1" si="35"/>
        <v>6339.5464727518147</v>
      </c>
      <c r="V161" s="451">
        <f t="shared" ca="1" si="35"/>
        <v>7342.1509545683602</v>
      </c>
      <c r="W161" s="451">
        <f t="shared" ca="1" si="35"/>
        <v>8567.4417873724833</v>
      </c>
      <c r="X161" s="451">
        <f t="shared" ca="1" si="35"/>
        <v>9895.1625231222661</v>
      </c>
      <c r="Y161" s="451">
        <f t="shared" ca="1" si="35"/>
        <v>11414.8693982076</v>
      </c>
      <c r="Z161" s="451">
        <f t="shared" ca="1" si="35"/>
        <v>13097.381104779521</v>
      </c>
      <c r="AA161" s="451">
        <f t="shared" ca="1" si="35"/>
        <v>14901.60798745897</v>
      </c>
      <c r="AB161" s="451">
        <f t="shared" ca="1" si="35"/>
        <v>16772.504117339653</v>
      </c>
      <c r="AC161" s="451">
        <f t="shared" ca="1" si="35"/>
        <v>18640.843438642642</v>
      </c>
    </row>
    <row r="162" spans="2:29">
      <c r="B162" s="444" t="s">
        <v>657</v>
      </c>
      <c r="D162" s="464"/>
      <c r="E162" s="464">
        <v>105.32719999999999</v>
      </c>
      <c r="F162" s="464">
        <v>129.16849999999999</v>
      </c>
      <c r="G162" s="464">
        <v>153.97979999999998</v>
      </c>
      <c r="H162" s="464">
        <v>197.64520000000002</v>
      </c>
      <c r="I162" s="464">
        <v>219.30339999999998</v>
      </c>
      <c r="J162" s="464">
        <v>220.08500000000001</v>
      </c>
      <c r="K162" s="464">
        <v>255.79599999999999</v>
      </c>
      <c r="L162" s="464">
        <v>288.12490000000003</v>
      </c>
      <c r="M162" s="464">
        <v>278.76490000000001</v>
      </c>
      <c r="N162" s="464">
        <v>321.8211</v>
      </c>
      <c r="O162" s="464">
        <v>411.48390000000001</v>
      </c>
      <c r="P162" s="464">
        <v>425.41629999999998</v>
      </c>
      <c r="Q162" s="464">
        <v>519.46619999999996</v>
      </c>
      <c r="R162" s="451">
        <f t="shared" ref="R162:AC162" ca="1" si="36">+R47</f>
        <v>650.12609785164591</v>
      </c>
      <c r="S162" s="451">
        <f t="shared" ca="1" si="36"/>
        <v>795.07928092072518</v>
      </c>
      <c r="T162" s="451">
        <f t="shared" ca="1" si="36"/>
        <v>874.21127410173199</v>
      </c>
      <c r="U162" s="451">
        <f t="shared" ca="1" si="36"/>
        <v>1061.4451610873375</v>
      </c>
      <c r="V162" s="451">
        <f t="shared" ca="1" si="36"/>
        <v>1293.4372138319081</v>
      </c>
      <c r="W162" s="451">
        <f t="shared" ca="1" si="36"/>
        <v>1407.2396881778022</v>
      </c>
      <c r="X162" s="451">
        <f t="shared" ca="1" si="36"/>
        <v>1611.5491049448246</v>
      </c>
      <c r="Y162" s="451">
        <f t="shared" ca="1" si="36"/>
        <v>1788.4591386263726</v>
      </c>
      <c r="Z162" s="451">
        <f t="shared" ca="1" si="36"/>
        <v>1925.7905945610571</v>
      </c>
      <c r="AA162" s="451">
        <f t="shared" ca="1" si="36"/>
        <v>2009.2058244271027</v>
      </c>
      <c r="AB162" s="451">
        <f t="shared" ca="1" si="36"/>
        <v>2024.0137910112362</v>
      </c>
      <c r="AC162" s="451">
        <f t="shared" ca="1" si="36"/>
        <v>1974.8434967424832</v>
      </c>
    </row>
    <row r="163" spans="2:29" ht="13.5">
      <c r="B163" s="444" t="s">
        <v>19</v>
      </c>
      <c r="D163" s="453"/>
      <c r="E163" s="453">
        <f t="shared" ref="E163:Q163" si="37">+E164-SUM(E161:E162)</f>
        <v>-2.3532000000000153</v>
      </c>
      <c r="F163" s="453">
        <f t="shared" si="37"/>
        <v>-4.2520999999999276</v>
      </c>
      <c r="G163" s="453">
        <f t="shared" si="37"/>
        <v>-5.6846000000000458</v>
      </c>
      <c r="H163" s="453">
        <f t="shared" si="37"/>
        <v>0.19980000000009568</v>
      </c>
      <c r="I163" s="453">
        <f t="shared" si="37"/>
        <v>-2.9049999999999727</v>
      </c>
      <c r="J163" s="453">
        <f t="shared" si="37"/>
        <v>-8.3190999999999349</v>
      </c>
      <c r="K163" s="453">
        <f t="shared" si="37"/>
        <v>-13.196300000000065</v>
      </c>
      <c r="L163" s="453">
        <f t="shared" si="37"/>
        <v>-5.4689000000003034</v>
      </c>
      <c r="M163" s="453">
        <f t="shared" si="37"/>
        <v>-20.211299999999937</v>
      </c>
      <c r="N163" s="453">
        <f t="shared" si="37"/>
        <v>-9.4656000000004497</v>
      </c>
      <c r="O163" s="453">
        <f t="shared" si="37"/>
        <v>-21.090699999999742</v>
      </c>
      <c r="P163" s="453">
        <f t="shared" si="37"/>
        <v>-18.741199999999935</v>
      </c>
      <c r="Q163" s="453">
        <f t="shared" si="37"/>
        <v>-34.051199999999881</v>
      </c>
      <c r="R163" s="454">
        <f>+Q163/Q161*R161</f>
        <v>-38.556593004214811</v>
      </c>
      <c r="S163" s="454">
        <f t="shared" ref="S163:AC163" ca="1" si="38">+R163/R161*S161</f>
        <v>-44.232892600912081</v>
      </c>
      <c r="T163" s="454">
        <f t="shared" ca="1" si="38"/>
        <v>-51.201894517161335</v>
      </c>
      <c r="U163" s="454">
        <f t="shared" ca="1" si="38"/>
        <v>-58.840679270791924</v>
      </c>
      <c r="V163" s="454">
        <f t="shared" ca="1" si="38"/>
        <v>-68.146381027785011</v>
      </c>
      <c r="W163" s="454">
        <f t="shared" ca="1" si="38"/>
        <v>-79.518952428018594</v>
      </c>
      <c r="X163" s="454">
        <f t="shared" ca="1" si="38"/>
        <v>-91.842229859490985</v>
      </c>
      <c r="Y163" s="454">
        <f t="shared" ca="1" si="38"/>
        <v>-105.94743205445158</v>
      </c>
      <c r="Z163" s="454">
        <f t="shared" ca="1" si="38"/>
        <v>-121.56371188160742</v>
      </c>
      <c r="AA163" s="454">
        <f t="shared" ca="1" si="38"/>
        <v>-138.30969454642104</v>
      </c>
      <c r="AB163" s="454">
        <f t="shared" ca="1" si="38"/>
        <v>-155.67446970824591</v>
      </c>
      <c r="AC163" s="454">
        <f t="shared" ca="1" si="38"/>
        <v>-173.01551377919171</v>
      </c>
    </row>
    <row r="164" spans="2:29" s="440" customFormat="1">
      <c r="B164" s="455" t="s">
        <v>672</v>
      </c>
      <c r="D164" s="456"/>
      <c r="E164" s="456">
        <f t="shared" ref="E164:Q164" si="39">+E159</f>
        <v>876.2521999999999</v>
      </c>
      <c r="F164" s="456">
        <f t="shared" si="39"/>
        <v>1001.1686</v>
      </c>
      <c r="G164" s="456">
        <f t="shared" si="39"/>
        <v>1149.4638</v>
      </c>
      <c r="H164" s="456">
        <f t="shared" si="39"/>
        <v>1347.3088</v>
      </c>
      <c r="I164" s="456">
        <f t="shared" si="39"/>
        <v>1563.7072000000001</v>
      </c>
      <c r="J164" s="456">
        <f t="shared" si="39"/>
        <v>1775.4731000000002</v>
      </c>
      <c r="K164" s="456">
        <f t="shared" si="39"/>
        <v>2018.0728000000001</v>
      </c>
      <c r="L164" s="456">
        <f t="shared" si="39"/>
        <v>2300.7287999999999</v>
      </c>
      <c r="M164" s="456">
        <f t="shared" si="39"/>
        <v>2559.2824000000001</v>
      </c>
      <c r="N164" s="456">
        <f t="shared" si="39"/>
        <v>2871.6378999999997</v>
      </c>
      <c r="O164" s="456">
        <f t="shared" si="39"/>
        <v>3262.0311000000002</v>
      </c>
      <c r="P164" s="456">
        <f t="shared" si="39"/>
        <v>3668.7062000000001</v>
      </c>
      <c r="Q164" s="456">
        <f t="shared" si="39"/>
        <v>4154.1212000000005</v>
      </c>
      <c r="R164" s="456">
        <f ca="1">SUM(R161:R163)</f>
        <v>4765.6907048474313</v>
      </c>
      <c r="S164" s="456">
        <f t="shared" ref="S164:AC164" ca="1" si="40">SUM(S161:S163)</f>
        <v>5516.5370931672442</v>
      </c>
      <c r="T164" s="456">
        <f t="shared" ca="1" si="40"/>
        <v>6339.5464727518147</v>
      </c>
      <c r="U164" s="456">
        <f t="shared" ca="1" si="40"/>
        <v>7342.1509545683602</v>
      </c>
      <c r="V164" s="456">
        <f t="shared" ca="1" si="40"/>
        <v>8567.4417873724833</v>
      </c>
      <c r="W164" s="456">
        <f t="shared" ca="1" si="40"/>
        <v>9895.1625231222661</v>
      </c>
      <c r="X164" s="456">
        <f t="shared" ca="1" si="40"/>
        <v>11414.8693982076</v>
      </c>
      <c r="Y164" s="456">
        <f t="shared" ca="1" si="40"/>
        <v>13097.381104779521</v>
      </c>
      <c r="Z164" s="456">
        <f t="shared" ca="1" si="40"/>
        <v>14901.60798745897</v>
      </c>
      <c r="AA164" s="456">
        <f t="shared" ca="1" si="40"/>
        <v>16772.504117339653</v>
      </c>
      <c r="AB164" s="456">
        <f t="shared" ca="1" si="40"/>
        <v>18640.843438642642</v>
      </c>
      <c r="AC164" s="456">
        <f t="shared" ca="1" si="40"/>
        <v>20442.671421605934</v>
      </c>
    </row>
    <row r="165" spans="2:29">
      <c r="B165" s="459"/>
      <c r="D165" s="466"/>
      <c r="E165" s="466"/>
      <c r="F165" s="466"/>
      <c r="G165" s="466"/>
      <c r="H165" s="466"/>
      <c r="I165" s="466"/>
      <c r="J165" s="466"/>
      <c r="K165" s="466"/>
      <c r="L165" s="466"/>
      <c r="M165" s="466"/>
      <c r="N165" s="466"/>
      <c r="O165" s="466"/>
      <c r="P165" s="466"/>
      <c r="Q165" s="466"/>
    </row>
    <row r="166" spans="2:29">
      <c r="B166" s="449" t="s">
        <v>534</v>
      </c>
    </row>
    <row r="167" spans="2:29">
      <c r="B167" s="444" t="s">
        <v>669</v>
      </c>
      <c r="D167" s="451">
        <f t="shared" ref="D167:AC167" si="41">+D149</f>
        <v>1161.7221999999999</v>
      </c>
      <c r="E167" s="451">
        <f t="shared" si="41"/>
        <v>1366.6271000000002</v>
      </c>
      <c r="F167" s="451">
        <f t="shared" si="41"/>
        <v>1618.7308000000003</v>
      </c>
      <c r="G167" s="451">
        <f t="shared" si="41"/>
        <v>1942.1297</v>
      </c>
      <c r="H167" s="451">
        <f t="shared" si="41"/>
        <v>2165.5075999999999</v>
      </c>
      <c r="I167" s="451">
        <f t="shared" si="41"/>
        <v>2417.1774999999998</v>
      </c>
      <c r="J167" s="451">
        <f t="shared" si="41"/>
        <v>2773.2508000000003</v>
      </c>
      <c r="K167" s="451">
        <f t="shared" si="41"/>
        <v>3080.6151</v>
      </c>
      <c r="L167" s="451">
        <f t="shared" si="41"/>
        <v>3372.7791000000002</v>
      </c>
      <c r="M167" s="451">
        <f t="shared" si="41"/>
        <v>3911.5962999999997</v>
      </c>
      <c r="N167" s="451">
        <f t="shared" si="41"/>
        <v>4426.2237999999998</v>
      </c>
      <c r="O167" s="451">
        <f t="shared" si="41"/>
        <v>5237.1451000000006</v>
      </c>
      <c r="P167" s="451">
        <f t="shared" si="41"/>
        <v>6362.5218999999997</v>
      </c>
      <c r="Q167" s="451">
        <f t="shared" si="41"/>
        <v>7218.5455000000002</v>
      </c>
      <c r="R167" s="451">
        <f t="shared" ca="1" si="41"/>
        <v>8198.4524070688312</v>
      </c>
      <c r="S167" s="451">
        <f t="shared" ca="1" si="41"/>
        <v>9430.4297403115925</v>
      </c>
      <c r="T167" s="451">
        <f t="shared" ca="1" si="41"/>
        <v>10909.541926300693</v>
      </c>
      <c r="U167" s="451">
        <f t="shared" ca="1" si="41"/>
        <v>12638.530330698219</v>
      </c>
      <c r="V167" s="451">
        <f t="shared" ca="1" si="41"/>
        <v>14631.744728534142</v>
      </c>
      <c r="W167" s="451">
        <f t="shared" ca="1" si="41"/>
        <v>16788.965239044795</v>
      </c>
      <c r="X167" s="451">
        <f t="shared" ca="1" si="41"/>
        <v>19067.139092563866</v>
      </c>
      <c r="Y167" s="451">
        <f t="shared" ca="1" si="41"/>
        <v>21392.681260006011</v>
      </c>
      <c r="Z167" s="451">
        <f t="shared" ca="1" si="41"/>
        <v>23683.04715019192</v>
      </c>
      <c r="AA167" s="451">
        <f t="shared" ca="1" si="41"/>
        <v>25854.466812392053</v>
      </c>
      <c r="AB167" s="451">
        <f t="shared" ca="1" si="41"/>
        <v>27830.960980810571</v>
      </c>
      <c r="AC167" s="451">
        <f t="shared" ca="1" si="41"/>
        <v>29551.03320476543</v>
      </c>
    </row>
    <row r="168" spans="2:29" ht="13.5">
      <c r="B168" s="444" t="s">
        <v>672</v>
      </c>
      <c r="D168" s="453">
        <f t="shared" ref="D168:AC168" si="42">-D159</f>
        <v>-773.27819999999997</v>
      </c>
      <c r="E168" s="453">
        <f t="shared" si="42"/>
        <v>-876.2521999999999</v>
      </c>
      <c r="F168" s="453">
        <f t="shared" si="42"/>
        <v>-1001.1686</v>
      </c>
      <c r="G168" s="453">
        <f t="shared" si="42"/>
        <v>-1149.4638</v>
      </c>
      <c r="H168" s="453">
        <f t="shared" si="42"/>
        <v>-1347.3088</v>
      </c>
      <c r="I168" s="453">
        <f t="shared" si="42"/>
        <v>-1563.7072000000001</v>
      </c>
      <c r="J168" s="453">
        <f t="shared" si="42"/>
        <v>-1775.4731000000002</v>
      </c>
      <c r="K168" s="453">
        <f t="shared" si="42"/>
        <v>-2018.0728000000001</v>
      </c>
      <c r="L168" s="453">
        <f t="shared" si="42"/>
        <v>-2300.7287999999999</v>
      </c>
      <c r="M168" s="453">
        <f t="shared" si="42"/>
        <v>-2559.2824000000001</v>
      </c>
      <c r="N168" s="453">
        <f t="shared" si="42"/>
        <v>-2871.6378999999997</v>
      </c>
      <c r="O168" s="453">
        <f t="shared" si="42"/>
        <v>-3262.0311000000002</v>
      </c>
      <c r="P168" s="453">
        <f t="shared" si="42"/>
        <v>-3668.7062000000001</v>
      </c>
      <c r="Q168" s="453">
        <f t="shared" si="42"/>
        <v>-4154.1212000000005</v>
      </c>
      <c r="R168" s="453">
        <f t="shared" ca="1" si="42"/>
        <v>-4765.6907048474313</v>
      </c>
      <c r="S168" s="453">
        <f t="shared" ca="1" si="42"/>
        <v>-5516.5370931672442</v>
      </c>
      <c r="T168" s="453">
        <f t="shared" ca="1" si="42"/>
        <v>-6339.5464727518147</v>
      </c>
      <c r="U168" s="453">
        <f t="shared" ca="1" si="42"/>
        <v>-7342.1509545683602</v>
      </c>
      <c r="V168" s="453">
        <f t="shared" ca="1" si="42"/>
        <v>-8567.4417873724833</v>
      </c>
      <c r="W168" s="453">
        <f t="shared" ca="1" si="42"/>
        <v>-9895.1625231222661</v>
      </c>
      <c r="X168" s="453">
        <f t="shared" ca="1" si="42"/>
        <v>-11414.8693982076</v>
      </c>
      <c r="Y168" s="453">
        <f t="shared" ca="1" si="42"/>
        <v>-13097.381104779521</v>
      </c>
      <c r="Z168" s="453">
        <f t="shared" ca="1" si="42"/>
        <v>-14901.60798745897</v>
      </c>
      <c r="AA168" s="453">
        <f t="shared" ca="1" si="42"/>
        <v>-16772.504117339653</v>
      </c>
      <c r="AB168" s="453">
        <f t="shared" ca="1" si="42"/>
        <v>-18640.843438642642</v>
      </c>
      <c r="AC168" s="453">
        <f t="shared" ca="1" si="42"/>
        <v>-20442.671421605934</v>
      </c>
    </row>
    <row r="169" spans="2:29" s="440" customFormat="1">
      <c r="B169" s="455" t="s">
        <v>673</v>
      </c>
      <c r="D169" s="456">
        <f t="shared" ref="D169:AC169" si="43">SUM(D167:D168)</f>
        <v>388.44399999999996</v>
      </c>
      <c r="E169" s="456">
        <f t="shared" si="43"/>
        <v>490.37490000000025</v>
      </c>
      <c r="F169" s="456">
        <f t="shared" si="43"/>
        <v>617.5622000000003</v>
      </c>
      <c r="G169" s="456">
        <f t="shared" si="43"/>
        <v>792.66589999999997</v>
      </c>
      <c r="H169" s="456">
        <f t="shared" si="43"/>
        <v>818.19879999999989</v>
      </c>
      <c r="I169" s="456">
        <f t="shared" si="43"/>
        <v>853.47029999999972</v>
      </c>
      <c r="J169" s="456">
        <f t="shared" si="43"/>
        <v>997.7777000000001</v>
      </c>
      <c r="K169" s="456">
        <f t="shared" si="43"/>
        <v>1062.5422999999998</v>
      </c>
      <c r="L169" s="456">
        <f t="shared" si="43"/>
        <v>1072.0503000000003</v>
      </c>
      <c r="M169" s="456">
        <f t="shared" si="43"/>
        <v>1352.3138999999996</v>
      </c>
      <c r="N169" s="456">
        <f t="shared" si="43"/>
        <v>1554.5859</v>
      </c>
      <c r="O169" s="456">
        <f t="shared" si="43"/>
        <v>1975.1140000000005</v>
      </c>
      <c r="P169" s="456">
        <f t="shared" si="43"/>
        <v>2693.8156999999997</v>
      </c>
      <c r="Q169" s="456">
        <f t="shared" si="43"/>
        <v>3064.4242999999997</v>
      </c>
      <c r="R169" s="456">
        <f t="shared" ca="1" si="43"/>
        <v>3432.7617022213999</v>
      </c>
      <c r="S169" s="456">
        <f t="shared" ca="1" si="43"/>
        <v>3913.8926471443483</v>
      </c>
      <c r="T169" s="456">
        <f t="shared" ca="1" si="43"/>
        <v>4569.9954535488787</v>
      </c>
      <c r="U169" s="456">
        <f t="shared" ca="1" si="43"/>
        <v>5296.3793761298584</v>
      </c>
      <c r="V169" s="456">
        <f t="shared" ca="1" si="43"/>
        <v>6064.302941161659</v>
      </c>
      <c r="W169" s="456">
        <f t="shared" ca="1" si="43"/>
        <v>6893.8027159225294</v>
      </c>
      <c r="X169" s="456">
        <f t="shared" ca="1" si="43"/>
        <v>7652.269694356266</v>
      </c>
      <c r="Y169" s="456">
        <f t="shared" ca="1" si="43"/>
        <v>8295.3001552264905</v>
      </c>
      <c r="Z169" s="456">
        <f t="shared" ca="1" si="43"/>
        <v>8781.4391627329496</v>
      </c>
      <c r="AA169" s="456">
        <f t="shared" ca="1" si="43"/>
        <v>9081.9626950523998</v>
      </c>
      <c r="AB169" s="456">
        <f t="shared" ca="1" si="43"/>
        <v>9190.1175421679291</v>
      </c>
      <c r="AC169" s="456">
        <f t="shared" ca="1" si="43"/>
        <v>9108.3617831594966</v>
      </c>
    </row>
    <row r="171" spans="2:29">
      <c r="B171" s="444" t="s">
        <v>674</v>
      </c>
      <c r="D171" s="451"/>
      <c r="E171" s="451">
        <f t="shared" ref="E171:AC171" si="44">+D169</f>
        <v>388.44399999999996</v>
      </c>
      <c r="F171" s="451">
        <f t="shared" si="44"/>
        <v>490.37490000000025</v>
      </c>
      <c r="G171" s="451">
        <f t="shared" si="44"/>
        <v>617.5622000000003</v>
      </c>
      <c r="H171" s="451">
        <f t="shared" si="44"/>
        <v>792.66589999999997</v>
      </c>
      <c r="I171" s="451">
        <f t="shared" si="44"/>
        <v>818.19879999999989</v>
      </c>
      <c r="J171" s="451">
        <f t="shared" si="44"/>
        <v>853.47029999999972</v>
      </c>
      <c r="K171" s="451">
        <f t="shared" si="44"/>
        <v>997.7777000000001</v>
      </c>
      <c r="L171" s="451">
        <f t="shared" si="44"/>
        <v>1062.5422999999998</v>
      </c>
      <c r="M171" s="451">
        <f t="shared" si="44"/>
        <v>1072.0503000000003</v>
      </c>
      <c r="N171" s="451">
        <f t="shared" si="44"/>
        <v>1352.3138999999996</v>
      </c>
      <c r="O171" s="451">
        <f t="shared" si="44"/>
        <v>1554.5859</v>
      </c>
      <c r="P171" s="451">
        <f t="shared" si="44"/>
        <v>1975.1140000000005</v>
      </c>
      <c r="Q171" s="451">
        <f t="shared" si="44"/>
        <v>2693.8156999999997</v>
      </c>
      <c r="R171" s="451">
        <f t="shared" si="44"/>
        <v>3064.4242999999997</v>
      </c>
      <c r="S171" s="451">
        <f t="shared" ca="1" si="44"/>
        <v>3432.7617022213999</v>
      </c>
      <c r="T171" s="451">
        <f t="shared" ca="1" si="44"/>
        <v>3913.8926471443483</v>
      </c>
      <c r="U171" s="451">
        <f t="shared" ca="1" si="44"/>
        <v>4569.9954535488787</v>
      </c>
      <c r="V171" s="451">
        <f t="shared" ca="1" si="44"/>
        <v>5296.3793761298584</v>
      </c>
      <c r="W171" s="451">
        <f t="shared" ca="1" si="44"/>
        <v>6064.302941161659</v>
      </c>
      <c r="X171" s="451">
        <f t="shared" ca="1" si="44"/>
        <v>6893.8027159225294</v>
      </c>
      <c r="Y171" s="451">
        <f t="shared" ca="1" si="44"/>
        <v>7652.269694356266</v>
      </c>
      <c r="Z171" s="451">
        <f t="shared" ca="1" si="44"/>
        <v>8295.3001552264905</v>
      </c>
      <c r="AA171" s="451">
        <f t="shared" ca="1" si="44"/>
        <v>8781.4391627329496</v>
      </c>
      <c r="AB171" s="451">
        <f t="shared" ca="1" si="44"/>
        <v>9081.9626950523998</v>
      </c>
      <c r="AC171" s="451">
        <f t="shared" ca="1" si="44"/>
        <v>9190.1175421679291</v>
      </c>
    </row>
    <row r="172" spans="2:29">
      <c r="B172" s="444" t="s">
        <v>640</v>
      </c>
      <c r="D172" s="451"/>
      <c r="E172" s="451">
        <f t="shared" ref="E172:AC173" si="45">+E153</f>
        <v>219.05254781499644</v>
      </c>
      <c r="F172" s="451">
        <f t="shared" si="45"/>
        <v>257.6891</v>
      </c>
      <c r="G172" s="451">
        <f t="shared" si="45"/>
        <v>333.80220000000003</v>
      </c>
      <c r="H172" s="451">
        <f t="shared" si="45"/>
        <v>224.01870000000002</v>
      </c>
      <c r="I172" s="451">
        <f t="shared" si="45"/>
        <v>219.30339999999998</v>
      </c>
      <c r="J172" s="451">
        <f t="shared" si="45"/>
        <v>365.82759999999996</v>
      </c>
      <c r="K172" s="451">
        <f t="shared" si="45"/>
        <v>322.4939</v>
      </c>
      <c r="L172" s="451">
        <f t="shared" si="45"/>
        <v>300.02440000000001</v>
      </c>
      <c r="M172" s="451">
        <f t="shared" si="45"/>
        <v>564.28300000000002</v>
      </c>
      <c r="N172" s="451">
        <f t="shared" si="45"/>
        <v>525.72069999999997</v>
      </c>
      <c r="O172" s="451">
        <f t="shared" si="45"/>
        <v>835.4063000000001</v>
      </c>
      <c r="P172" s="451">
        <f t="shared" si="45"/>
        <v>1139.8921</v>
      </c>
      <c r="Q172" s="451">
        <f t="shared" si="45"/>
        <v>897.51880000000006</v>
      </c>
      <c r="R172" s="451">
        <f t="shared" ca="1" si="45"/>
        <v>990.18415175882456</v>
      </c>
      <c r="S172" s="451">
        <f t="shared" ca="1" si="45"/>
        <v>1243.6496987444702</v>
      </c>
      <c r="T172" s="451">
        <f t="shared" ca="1" si="45"/>
        <v>1492.5385520032753</v>
      </c>
      <c r="U172" s="451">
        <f t="shared" ca="1" si="45"/>
        <v>1744.5206237112839</v>
      </c>
      <c r="V172" s="451">
        <f t="shared" ca="1" si="45"/>
        <v>2011.2082261951823</v>
      </c>
      <c r="W172" s="451">
        <f t="shared" ca="1" si="45"/>
        <v>2178.0521338365261</v>
      </c>
      <c r="X172" s="451">
        <f t="shared" ca="1" si="45"/>
        <v>2302.0767718914035</v>
      </c>
      <c r="Y172" s="451">
        <f t="shared" ca="1" si="45"/>
        <v>2352.6885855110522</v>
      </c>
      <c r="Z172" s="451">
        <f t="shared" ca="1" si="45"/>
        <v>2320.8232475419222</v>
      </c>
      <c r="AA172" s="451">
        <f t="shared" ca="1" si="45"/>
        <v>2205.1378773955876</v>
      </c>
      <c r="AB172" s="451">
        <f t="shared" ca="1" si="45"/>
        <v>2013.3038943889749</v>
      </c>
      <c r="AC172" s="451">
        <f t="shared" ca="1" si="45"/>
        <v>1759.6959398346662</v>
      </c>
    </row>
    <row r="173" spans="2:29">
      <c r="B173" s="444" t="s">
        <v>641</v>
      </c>
      <c r="D173" s="451"/>
      <c r="E173" s="451">
        <f t="shared" si="45"/>
        <v>-2.3146426544446541</v>
      </c>
      <c r="F173" s="451">
        <f t="shared" si="45"/>
        <v>-2.7229000000000001</v>
      </c>
      <c r="G173" s="451">
        <f t="shared" si="45"/>
        <v>-3.7131999999999996</v>
      </c>
      <c r="H173" s="451">
        <f t="shared" si="45"/>
        <v>-2.8826999999999998</v>
      </c>
      <c r="I173" s="451">
        <f t="shared" si="45"/>
        <v>-6.7846000000000002</v>
      </c>
      <c r="J173" s="451">
        <f t="shared" si="45"/>
        <v>-3.5768</v>
      </c>
      <c r="K173" s="451">
        <f t="shared" si="45"/>
        <v>-9.9677999999999987</v>
      </c>
      <c r="L173" s="451">
        <f t="shared" si="45"/>
        <v>-7.1741999999999999</v>
      </c>
      <c r="M173" s="451">
        <f t="shared" si="45"/>
        <v>-18.5839</v>
      </c>
      <c r="N173" s="451">
        <f t="shared" si="45"/>
        <v>-7.1728999999999994</v>
      </c>
      <c r="O173" s="451">
        <f t="shared" si="45"/>
        <v>-26.566700000000001</v>
      </c>
      <c r="P173" s="451">
        <f t="shared" si="45"/>
        <v>-27.792400000000001</v>
      </c>
      <c r="Q173" s="451">
        <f t="shared" si="45"/>
        <v>-32.436700000000002</v>
      </c>
      <c r="R173" s="451">
        <f t="shared" si="45"/>
        <v>0</v>
      </c>
      <c r="S173" s="451">
        <f t="shared" si="45"/>
        <v>0</v>
      </c>
      <c r="T173" s="451">
        <f t="shared" si="45"/>
        <v>0</v>
      </c>
      <c r="U173" s="451">
        <f t="shared" si="45"/>
        <v>0</v>
      </c>
      <c r="V173" s="451">
        <f t="shared" si="45"/>
        <v>0</v>
      </c>
      <c r="W173" s="451">
        <f t="shared" si="45"/>
        <v>0</v>
      </c>
      <c r="X173" s="451">
        <f t="shared" si="45"/>
        <v>0</v>
      </c>
      <c r="Y173" s="451">
        <f t="shared" si="45"/>
        <v>0</v>
      </c>
      <c r="Z173" s="451">
        <f t="shared" si="45"/>
        <v>0</v>
      </c>
      <c r="AA173" s="451">
        <f t="shared" si="45"/>
        <v>0</v>
      </c>
      <c r="AB173" s="451">
        <f t="shared" si="45"/>
        <v>0</v>
      </c>
      <c r="AC173" s="451">
        <f t="shared" si="45"/>
        <v>0</v>
      </c>
    </row>
    <row r="174" spans="2:29">
      <c r="B174" s="444" t="s">
        <v>657</v>
      </c>
      <c r="D174" s="451"/>
      <c r="E174" s="478">
        <f>-E162</f>
        <v>-105.32719999999999</v>
      </c>
      <c r="F174" s="478">
        <f t="shared" ref="F174:AC174" si="46">-F162</f>
        <v>-129.16849999999999</v>
      </c>
      <c r="G174" s="478">
        <f t="shared" si="46"/>
        <v>-153.97979999999998</v>
      </c>
      <c r="H174" s="478">
        <f t="shared" si="46"/>
        <v>-197.64520000000002</v>
      </c>
      <c r="I174" s="478">
        <f t="shared" si="46"/>
        <v>-219.30339999999998</v>
      </c>
      <c r="J174" s="478">
        <f t="shared" si="46"/>
        <v>-220.08500000000001</v>
      </c>
      <c r="K174" s="478">
        <f t="shared" si="46"/>
        <v>-255.79599999999999</v>
      </c>
      <c r="L174" s="478">
        <f t="shared" si="46"/>
        <v>-288.12490000000003</v>
      </c>
      <c r="M174" s="478">
        <f t="shared" si="46"/>
        <v>-278.76490000000001</v>
      </c>
      <c r="N174" s="478">
        <f t="shared" si="46"/>
        <v>-321.8211</v>
      </c>
      <c r="O174" s="478">
        <f t="shared" si="46"/>
        <v>-411.48390000000001</v>
      </c>
      <c r="P174" s="478">
        <f t="shared" si="46"/>
        <v>-425.41629999999998</v>
      </c>
      <c r="Q174" s="478">
        <f t="shared" si="46"/>
        <v>-519.46619999999996</v>
      </c>
      <c r="R174" s="478">
        <f t="shared" ca="1" si="46"/>
        <v>-650.12609785164591</v>
      </c>
      <c r="S174" s="478">
        <f t="shared" ca="1" si="46"/>
        <v>-795.07928092072518</v>
      </c>
      <c r="T174" s="478">
        <f t="shared" ca="1" si="46"/>
        <v>-874.21127410173199</v>
      </c>
      <c r="U174" s="478">
        <f t="shared" ca="1" si="46"/>
        <v>-1061.4451610873375</v>
      </c>
      <c r="V174" s="478">
        <f t="shared" ca="1" si="46"/>
        <v>-1293.4372138319081</v>
      </c>
      <c r="W174" s="478">
        <f t="shared" ca="1" si="46"/>
        <v>-1407.2396881778022</v>
      </c>
      <c r="X174" s="478">
        <f t="shared" ca="1" si="46"/>
        <v>-1611.5491049448246</v>
      </c>
      <c r="Y174" s="478">
        <f t="shared" ca="1" si="46"/>
        <v>-1788.4591386263726</v>
      </c>
      <c r="Z174" s="478">
        <f t="shared" ca="1" si="46"/>
        <v>-1925.7905945610571</v>
      </c>
      <c r="AA174" s="478">
        <f t="shared" ca="1" si="46"/>
        <v>-2009.2058244271027</v>
      </c>
      <c r="AB174" s="478">
        <f t="shared" ca="1" si="46"/>
        <v>-2024.0137910112362</v>
      </c>
      <c r="AC174" s="478">
        <f t="shared" ca="1" si="46"/>
        <v>-1974.8434967424832</v>
      </c>
    </row>
    <row r="175" spans="2:29" ht="13.5">
      <c r="B175" s="444" t="s">
        <v>19</v>
      </c>
      <c r="D175" s="453"/>
      <c r="E175" s="453">
        <f t="shared" ref="E175:AC175" si="47">+E176-SUM(E171:E174)</f>
        <v>-9.4798051605513933</v>
      </c>
      <c r="F175" s="453">
        <f t="shared" si="47"/>
        <v>1.3895999999999731</v>
      </c>
      <c r="G175" s="453">
        <f t="shared" si="47"/>
        <v>-1.0055000000004384</v>
      </c>
      <c r="H175" s="453">
        <f t="shared" si="47"/>
        <v>2.0420999999998912</v>
      </c>
      <c r="I175" s="453">
        <f t="shared" si="47"/>
        <v>42.056099999999788</v>
      </c>
      <c r="J175" s="453">
        <f t="shared" si="47"/>
        <v>2.1416000000006079</v>
      </c>
      <c r="K175" s="453">
        <f t="shared" si="47"/>
        <v>8.0344999999997526</v>
      </c>
      <c r="L175" s="453">
        <f t="shared" si="47"/>
        <v>4.7827000000004318</v>
      </c>
      <c r="M175" s="453">
        <f t="shared" si="47"/>
        <v>13.329399999999623</v>
      </c>
      <c r="N175" s="453">
        <f t="shared" si="47"/>
        <v>5.5453000000006796</v>
      </c>
      <c r="O175" s="453">
        <f t="shared" si="47"/>
        <v>23.172400000000152</v>
      </c>
      <c r="P175" s="453">
        <f t="shared" si="47"/>
        <v>32.018299999998817</v>
      </c>
      <c r="Q175" s="453">
        <f t="shared" si="47"/>
        <v>24.992699999999786</v>
      </c>
      <c r="R175" s="453">
        <f t="shared" ca="1" si="47"/>
        <v>28.279348314221352</v>
      </c>
      <c r="S175" s="453">
        <f t="shared" ca="1" si="47"/>
        <v>32.560527099203682</v>
      </c>
      <c r="T175" s="453">
        <f t="shared" ca="1" si="47"/>
        <v>37.775528502987072</v>
      </c>
      <c r="U175" s="453">
        <f t="shared" ca="1" si="47"/>
        <v>43.308459957032937</v>
      </c>
      <c r="V175" s="453">
        <f t="shared" ca="1" si="47"/>
        <v>50.152552668527278</v>
      </c>
      <c r="W175" s="453">
        <f t="shared" ca="1" si="47"/>
        <v>58.687329102147487</v>
      </c>
      <c r="X175" s="453">
        <f t="shared" ca="1" si="47"/>
        <v>67.939311487158193</v>
      </c>
      <c r="Y175" s="453">
        <f t="shared" ca="1" si="47"/>
        <v>78.801013985545069</v>
      </c>
      <c r="Z175" s="453">
        <f t="shared" ca="1" si="47"/>
        <v>91.106354525592906</v>
      </c>
      <c r="AA175" s="453">
        <f t="shared" ca="1" si="47"/>
        <v>104.59147935096553</v>
      </c>
      <c r="AB175" s="453">
        <f t="shared" ca="1" si="47"/>
        <v>118.86474373779129</v>
      </c>
      <c r="AC175" s="453">
        <f t="shared" ca="1" si="47"/>
        <v>133.39179789938498</v>
      </c>
    </row>
    <row r="176" spans="2:29" s="440" customFormat="1">
      <c r="B176" s="455" t="s">
        <v>673</v>
      </c>
      <c r="D176" s="456"/>
      <c r="E176" s="456">
        <f t="shared" ref="E176:AC176" si="48">+E169</f>
        <v>490.37490000000025</v>
      </c>
      <c r="F176" s="456">
        <f t="shared" si="48"/>
        <v>617.5622000000003</v>
      </c>
      <c r="G176" s="456">
        <f t="shared" si="48"/>
        <v>792.66589999999997</v>
      </c>
      <c r="H176" s="456">
        <f t="shared" si="48"/>
        <v>818.19879999999989</v>
      </c>
      <c r="I176" s="456">
        <f t="shared" si="48"/>
        <v>853.47029999999972</v>
      </c>
      <c r="J176" s="456">
        <f t="shared" si="48"/>
        <v>997.7777000000001</v>
      </c>
      <c r="K176" s="456">
        <f t="shared" si="48"/>
        <v>1062.5422999999998</v>
      </c>
      <c r="L176" s="456">
        <f t="shared" si="48"/>
        <v>1072.0503000000003</v>
      </c>
      <c r="M176" s="456">
        <f t="shared" si="48"/>
        <v>1352.3138999999996</v>
      </c>
      <c r="N176" s="456">
        <f t="shared" si="48"/>
        <v>1554.5859</v>
      </c>
      <c r="O176" s="456">
        <f t="shared" si="48"/>
        <v>1975.1140000000005</v>
      </c>
      <c r="P176" s="456">
        <f t="shared" si="48"/>
        <v>2693.8156999999997</v>
      </c>
      <c r="Q176" s="456">
        <f t="shared" si="48"/>
        <v>3064.4242999999997</v>
      </c>
      <c r="R176" s="456">
        <f t="shared" ca="1" si="48"/>
        <v>3432.7617022213999</v>
      </c>
      <c r="S176" s="456">
        <f t="shared" ca="1" si="48"/>
        <v>3913.8926471443483</v>
      </c>
      <c r="T176" s="456">
        <f t="shared" ca="1" si="48"/>
        <v>4569.9954535488787</v>
      </c>
      <c r="U176" s="456">
        <f t="shared" ca="1" si="48"/>
        <v>5296.3793761298584</v>
      </c>
      <c r="V176" s="456">
        <f t="shared" ca="1" si="48"/>
        <v>6064.302941161659</v>
      </c>
      <c r="W176" s="456">
        <f t="shared" ca="1" si="48"/>
        <v>6893.8027159225294</v>
      </c>
      <c r="X176" s="456">
        <f t="shared" ca="1" si="48"/>
        <v>7652.269694356266</v>
      </c>
      <c r="Y176" s="456">
        <f t="shared" ca="1" si="48"/>
        <v>8295.3001552264905</v>
      </c>
      <c r="Z176" s="456">
        <f t="shared" ca="1" si="48"/>
        <v>8781.4391627329496</v>
      </c>
      <c r="AA176" s="456">
        <f t="shared" ca="1" si="48"/>
        <v>9081.9626950523998</v>
      </c>
      <c r="AB176" s="456">
        <f t="shared" ca="1" si="48"/>
        <v>9190.1175421679291</v>
      </c>
      <c r="AC176" s="456">
        <f t="shared" ca="1" si="48"/>
        <v>9108.3617831594966</v>
      </c>
    </row>
    <row r="177" spans="2:29" s="440" customFormat="1">
      <c r="B177" s="455"/>
      <c r="D177" s="456"/>
      <c r="E177" s="456"/>
      <c r="F177" s="456"/>
      <c r="G177" s="456"/>
      <c r="H177" s="456"/>
      <c r="I177" s="456"/>
      <c r="J177" s="456"/>
      <c r="K177" s="456"/>
      <c r="L177" s="456"/>
      <c r="M177" s="456"/>
      <c r="N177" s="456"/>
      <c r="O177" s="456"/>
      <c r="P177" s="456"/>
      <c r="Q177" s="456"/>
    </row>
    <row r="178" spans="2:29" s="440" customFormat="1">
      <c r="B178" s="449" t="s">
        <v>658</v>
      </c>
      <c r="D178" s="456"/>
      <c r="E178" s="456"/>
      <c r="F178" s="456"/>
      <c r="G178" s="456"/>
      <c r="H178" s="456"/>
      <c r="I178" s="456"/>
      <c r="J178" s="456"/>
      <c r="K178" s="456"/>
      <c r="L178" s="456"/>
      <c r="M178" s="456"/>
      <c r="N178" s="456"/>
      <c r="O178" s="456"/>
      <c r="P178" s="456"/>
      <c r="Q178" s="456"/>
    </row>
    <row r="179" spans="2:29" s="440" customFormat="1">
      <c r="B179" s="450" t="s">
        <v>665</v>
      </c>
      <c r="D179" s="467"/>
      <c r="E179" s="467">
        <v>20</v>
      </c>
      <c r="F179" s="467">
        <v>20</v>
      </c>
      <c r="G179" s="467">
        <v>20</v>
      </c>
      <c r="H179" s="467">
        <v>20</v>
      </c>
      <c r="I179" s="467">
        <v>20</v>
      </c>
      <c r="J179" s="467">
        <v>20</v>
      </c>
      <c r="K179" s="467">
        <v>20</v>
      </c>
      <c r="L179" s="467">
        <v>20</v>
      </c>
      <c r="M179" s="467">
        <v>20</v>
      </c>
      <c r="N179" s="467">
        <v>20</v>
      </c>
      <c r="O179" s="467">
        <v>20</v>
      </c>
      <c r="P179" s="467">
        <v>20</v>
      </c>
      <c r="Q179" s="467">
        <v>20</v>
      </c>
    </row>
    <row r="180" spans="2:29" s="440" customFormat="1">
      <c r="B180" s="450" t="s">
        <v>653</v>
      </c>
      <c r="D180" s="468"/>
      <c r="E180" s="471" t="s">
        <v>675</v>
      </c>
      <c r="F180" s="471" t="s">
        <v>675</v>
      </c>
      <c r="G180" s="471" t="s">
        <v>675</v>
      </c>
      <c r="H180" s="471" t="s">
        <v>675</v>
      </c>
      <c r="I180" s="471" t="s">
        <v>675</v>
      </c>
      <c r="J180" s="471" t="s">
        <v>677</v>
      </c>
      <c r="K180" s="471" t="s">
        <v>675</v>
      </c>
      <c r="L180" s="471" t="s">
        <v>675</v>
      </c>
      <c r="M180" s="471" t="s">
        <v>675</v>
      </c>
      <c r="N180" s="471" t="s">
        <v>675</v>
      </c>
      <c r="O180" s="471" t="s">
        <v>675</v>
      </c>
      <c r="P180" s="471" t="s">
        <v>675</v>
      </c>
      <c r="Q180" s="471" t="s">
        <v>675</v>
      </c>
    </row>
    <row r="181" spans="2:29" s="440" customFormat="1">
      <c r="B181" s="450" t="s">
        <v>666</v>
      </c>
      <c r="D181" s="468"/>
      <c r="E181" s="468" t="s">
        <v>659</v>
      </c>
      <c r="F181" s="468" t="s">
        <v>659</v>
      </c>
      <c r="G181" s="468" t="s">
        <v>659</v>
      </c>
      <c r="H181" s="468" t="s">
        <v>659</v>
      </c>
      <c r="I181" s="468" t="s">
        <v>660</v>
      </c>
      <c r="J181" s="468" t="s">
        <v>660</v>
      </c>
      <c r="K181" s="468" t="s">
        <v>660</v>
      </c>
      <c r="L181" s="468" t="s">
        <v>660</v>
      </c>
      <c r="M181" s="468">
        <v>5</v>
      </c>
      <c r="N181" s="468">
        <v>5</v>
      </c>
      <c r="O181" s="468">
        <v>5</v>
      </c>
      <c r="P181" s="468">
        <v>5</v>
      </c>
      <c r="Q181" s="468">
        <v>5</v>
      </c>
    </row>
    <row r="182" spans="2:29" s="440" customFormat="1">
      <c r="B182" s="450" t="s">
        <v>667</v>
      </c>
      <c r="D182" s="468"/>
      <c r="E182" s="468" t="s">
        <v>678</v>
      </c>
      <c r="F182" s="468" t="s">
        <v>678</v>
      </c>
      <c r="G182" s="468" t="s">
        <v>678</v>
      </c>
      <c r="H182" s="468" t="s">
        <v>678</v>
      </c>
      <c r="I182" s="468" t="s">
        <v>678</v>
      </c>
      <c r="J182" s="468" t="s">
        <v>678</v>
      </c>
      <c r="K182" s="468" t="s">
        <v>659</v>
      </c>
      <c r="L182" s="468" t="s">
        <v>659</v>
      </c>
      <c r="M182" s="468">
        <v>5</v>
      </c>
      <c r="N182" s="468">
        <v>5</v>
      </c>
      <c r="O182" s="468">
        <v>5</v>
      </c>
      <c r="P182" s="468">
        <v>5</v>
      </c>
      <c r="Q182" s="468">
        <v>5</v>
      </c>
    </row>
    <row r="183" spans="2:29">
      <c r="P183" s="469"/>
    </row>
    <row r="184" spans="2:29">
      <c r="B184" s="449" t="s">
        <v>661</v>
      </c>
    </row>
    <row r="185" spans="2:29">
      <c r="B185" s="444" t="s">
        <v>662</v>
      </c>
      <c r="E185" s="470">
        <f>+E149/E162</f>
        <v>12.975063421414415</v>
      </c>
      <c r="F185" s="470">
        <f>+F149/F162</f>
        <v>12.531931546778049</v>
      </c>
      <c r="G185" s="470">
        <f>+G149/G162</f>
        <v>12.612886235727025</v>
      </c>
      <c r="H185" s="470">
        <f t="shared" ref="H185:AC185" si="49">+H149/H162</f>
        <v>10.956540305557635</v>
      </c>
      <c r="I185" s="470">
        <f t="shared" si="49"/>
        <v>11.022070337258793</v>
      </c>
      <c r="J185" s="470">
        <f t="shared" si="49"/>
        <v>12.600816957084763</v>
      </c>
      <c r="K185" s="470">
        <f t="shared" si="49"/>
        <v>12.043249698978874</v>
      </c>
      <c r="L185" s="470">
        <f t="shared" si="49"/>
        <v>11.705961893609334</v>
      </c>
      <c r="M185" s="470">
        <f t="shared" si="49"/>
        <v>14.031882421352185</v>
      </c>
      <c r="N185" s="470">
        <f t="shared" si="49"/>
        <v>13.753678052806357</v>
      </c>
      <c r="O185" s="470">
        <f t="shared" si="49"/>
        <v>12.727460539768385</v>
      </c>
      <c r="P185" s="470">
        <f t="shared" si="49"/>
        <v>14.95598993268476</v>
      </c>
      <c r="Q185" s="470">
        <f>+Q149/Q162</f>
        <v>13.896083133031564</v>
      </c>
      <c r="R185" s="470">
        <f ca="1">+R149/R162</f>
        <v>12.61055729674716</v>
      </c>
      <c r="S185" s="470">
        <f t="shared" ca="1" si="49"/>
        <v>11.86099294323313</v>
      </c>
      <c r="T185" s="470">
        <f t="shared" ca="1" si="49"/>
        <v>12.479296766688861</v>
      </c>
      <c r="U185" s="470">
        <f t="shared" ca="1" si="49"/>
        <v>11.906908424502488</v>
      </c>
      <c r="V185" s="470">
        <f t="shared" ca="1" si="49"/>
        <v>11.312296083693512</v>
      </c>
      <c r="W185" s="470">
        <f t="shared" ca="1" si="49"/>
        <v>11.930423352957297</v>
      </c>
      <c r="X185" s="470">
        <f t="shared" ca="1" si="49"/>
        <v>11.8315594815317</v>
      </c>
      <c r="Y185" s="470">
        <f t="shared" ca="1" si="49"/>
        <v>11.961515249622463</v>
      </c>
      <c r="Z185" s="470">
        <f t="shared" ca="1" si="49"/>
        <v>12.297830936073279</v>
      </c>
      <c r="AA185" s="470">
        <f t="shared" ca="1" si="49"/>
        <v>12.86800311748255</v>
      </c>
      <c r="AB185" s="470">
        <f t="shared" ca="1" si="49"/>
        <v>13.750381101358844</v>
      </c>
      <c r="AC185" s="470">
        <f t="shared" ca="1" si="49"/>
        <v>14.963734216665799</v>
      </c>
    </row>
    <row r="186" spans="2:29">
      <c r="B186" s="444" t="s">
        <v>663</v>
      </c>
      <c r="E186" s="470">
        <f>+E150/E162</f>
        <v>11.84338423503141</v>
      </c>
      <c r="F186" s="470">
        <f>+F150/F162</f>
        <v>11.592399849808585</v>
      </c>
      <c r="G186" s="470">
        <f>+G150/G162</f>
        <v>10.814174976198178</v>
      </c>
      <c r="H186" s="470">
        <f t="shared" ref="H186:AC186" si="50">+H150/H162</f>
        <v>10.378672995853176</v>
      </c>
      <c r="I186" s="470">
        <f t="shared" si="50"/>
        <v>10.127483203634783</v>
      </c>
      <c r="J186" s="470">
        <f t="shared" si="50"/>
        <v>10.823099257105209</v>
      </c>
      <c r="K186" s="470">
        <f t="shared" si="50"/>
        <v>11.373431953588014</v>
      </c>
      <c r="L186" s="470">
        <f t="shared" si="50"/>
        <v>11.091914305219715</v>
      </c>
      <c r="M186" s="470">
        <f t="shared" si="50"/>
        <v>12.122435069838419</v>
      </c>
      <c r="N186" s="470">
        <f t="shared" si="50"/>
        <v>13.045495773894253</v>
      </c>
      <c r="O186" s="470">
        <f t="shared" si="50"/>
        <v>11.270188699971008</v>
      </c>
      <c r="P186" s="470">
        <f t="shared" si="50"/>
        <v>11.795545915847606</v>
      </c>
      <c r="Q186" s="470">
        <f t="shared" si="50"/>
        <v>12.132904316007471</v>
      </c>
      <c r="R186" s="470">
        <f ca="1">+R150/R162</f>
        <v>11.065237129158465</v>
      </c>
      <c r="S186" s="470">
        <f t="shared" ca="1" si="50"/>
        <v>10.455666956666471</v>
      </c>
      <c r="T186" s="470">
        <f t="shared" ca="1" si="50"/>
        <v>11.045806829908489</v>
      </c>
      <c r="U186" s="470">
        <f t="shared" ca="1" si="50"/>
        <v>10.576559049075865</v>
      </c>
      <c r="V186" s="470">
        <f t="shared" ca="1" si="50"/>
        <v>10.078977694286385</v>
      </c>
      <c r="W186" s="470">
        <f t="shared" ca="1" si="50"/>
        <v>10.656870946443766</v>
      </c>
      <c r="X186" s="470">
        <f t="shared" ca="1" si="50"/>
        <v>10.59144942586857</v>
      </c>
      <c r="Y186" s="470">
        <f t="shared" ca="1" si="50"/>
        <v>10.72770417557467</v>
      </c>
      <c r="Z186" s="470">
        <f t="shared" ca="1" si="50"/>
        <v>11.047307818492946</v>
      </c>
      <c r="AA186" s="470">
        <f t="shared" ca="1" si="50"/>
        <v>11.576427511284304</v>
      </c>
      <c r="AB186" s="470">
        <f t="shared" ca="1" si="50"/>
        <v>12.386970483118349</v>
      </c>
      <c r="AC186" s="470">
        <f t="shared" ca="1" si="50"/>
        <v>13.497335599757474</v>
      </c>
    </row>
    <row r="187" spans="2:29">
      <c r="B187" s="444" t="s">
        <v>664</v>
      </c>
      <c r="E187" s="470">
        <f>+E169/E162</f>
        <v>4.655729004473681</v>
      </c>
      <c r="F187" s="470">
        <f>+F169/F162</f>
        <v>4.7810588494872999</v>
      </c>
      <c r="G187" s="470">
        <f>+G169/G162</f>
        <v>5.1478564071391189</v>
      </c>
      <c r="H187" s="470">
        <f t="shared" ref="H187:AC187" si="51">+H169/H162</f>
        <v>4.1397352427481158</v>
      </c>
      <c r="I187" s="470">
        <f t="shared" si="51"/>
        <v>3.8917330967052939</v>
      </c>
      <c r="J187" s="470">
        <f t="shared" si="51"/>
        <v>4.5336015630324651</v>
      </c>
      <c r="K187" s="470">
        <f t="shared" si="51"/>
        <v>4.1538659713208954</v>
      </c>
      <c r="L187" s="470">
        <f t="shared" si="51"/>
        <v>3.7207832436557906</v>
      </c>
      <c r="M187" s="470">
        <f t="shared" si="51"/>
        <v>4.8510910089469643</v>
      </c>
      <c r="N187" s="470">
        <f t="shared" si="51"/>
        <v>4.8305903497315743</v>
      </c>
      <c r="O187" s="470">
        <f t="shared" si="51"/>
        <v>4.7999788084053847</v>
      </c>
      <c r="P187" s="470">
        <f t="shared" si="51"/>
        <v>6.3321873186335358</v>
      </c>
      <c r="Q187" s="470">
        <f t="shared" si="51"/>
        <v>5.8991793883798405</v>
      </c>
      <c r="R187" s="470">
        <f t="shared" ca="1" si="51"/>
        <v>5.2801475184045472</v>
      </c>
      <c r="S187" s="470">
        <f t="shared" ca="1" si="51"/>
        <v>4.9226444973033958</v>
      </c>
      <c r="T187" s="470">
        <f t="shared" ca="1" si="51"/>
        <v>5.2275640785399755</v>
      </c>
      <c r="U187" s="470">
        <f t="shared" ca="1" si="51"/>
        <v>4.9897814510777758</v>
      </c>
      <c r="V187" s="470">
        <f t="shared" ca="1" si="51"/>
        <v>4.6885174450762017</v>
      </c>
      <c r="W187" s="470">
        <f t="shared" ca="1" si="51"/>
        <v>4.8988120316938568</v>
      </c>
      <c r="X187" s="470">
        <f t="shared" ca="1" si="51"/>
        <v>4.7483937479015017</v>
      </c>
      <c r="Y187" s="470">
        <f t="shared" ca="1" si="51"/>
        <v>4.6382385686472558</v>
      </c>
      <c r="Z187" s="470">
        <f t="shared" ca="1" si="51"/>
        <v>4.559913828395497</v>
      </c>
      <c r="AA187" s="470">
        <f t="shared" ca="1" si="51"/>
        <v>4.5201753770756641</v>
      </c>
      <c r="AB187" s="470">
        <f t="shared" ca="1" si="51"/>
        <v>4.540540970116794</v>
      </c>
      <c r="AC187" s="470">
        <f t="shared" ca="1" si="51"/>
        <v>4.6121942311802409</v>
      </c>
    </row>
    <row r="188" spans="2:29">
      <c r="E188" s="470"/>
      <c r="F188" s="470"/>
      <c r="G188" s="470"/>
      <c r="H188" s="470"/>
      <c r="I188" s="470"/>
      <c r="J188" s="470"/>
      <c r="K188" s="470"/>
      <c r="L188" s="470"/>
      <c r="M188" s="470"/>
      <c r="N188" s="470"/>
      <c r="O188" s="470"/>
      <c r="P188" s="470"/>
      <c r="Q188" s="470"/>
      <c r="R188" s="470"/>
      <c r="S188" s="470"/>
      <c r="T188" s="470"/>
      <c r="U188" s="470"/>
      <c r="V188" s="470"/>
      <c r="W188" s="470"/>
      <c r="X188" s="470"/>
      <c r="Y188" s="470"/>
      <c r="Z188" s="470"/>
      <c r="AA188" s="470"/>
      <c r="AB188" s="470"/>
      <c r="AC188" s="470"/>
    </row>
  </sheetData>
  <pageMargins left="0.3" right="0.3" top="0.3" bottom="0.3" header="0.3" footer="0.3"/>
  <pageSetup scale="59" fitToHeight="0" orientation="landscape" r:id="rId1"/>
  <headerFooter>
    <oddFooter>Page &amp;P of &amp;N</oddFooter>
  </headerFooter>
  <rowBreaks count="1" manualBreakCount="1">
    <brk id="139" min="1" max="28" man="1"/>
  </rowBreaks>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B1B3-050C-48F6-9064-E4C40FA43C63}">
  <sheetPr>
    <tabColor theme="7" tint="0.39997558519241921"/>
  </sheetPr>
  <dimension ref="A1:XFD221"/>
  <sheetViews>
    <sheetView view="pageBreakPreview" zoomScale="85" zoomScaleNormal="100" zoomScaleSheetLayoutView="85" workbookViewId="0">
      <pane xSplit="3" ySplit="7" topLeftCell="D106" activePane="bottomRight" state="frozen"/>
      <selection pane="topRight"/>
      <selection pane="bottomLeft"/>
      <selection pane="bottomRight" activeCell="E122" sqref="E122"/>
    </sheetView>
  </sheetViews>
  <sheetFormatPr defaultColWidth="9.140625" defaultRowHeight="11.25" customHeight="1" outlineLevelRow="1"/>
  <cols>
    <col min="1" max="1" width="2.7109375" style="2" customWidth="1"/>
    <col min="2" max="2" width="22.140625" style="2" customWidth="1"/>
    <col min="3" max="3" width="2.42578125" style="2" customWidth="1"/>
    <col min="4" max="21" width="8" style="2" customWidth="1"/>
    <col min="22" max="22" width="2.7109375" style="2" customWidth="1"/>
    <col min="23" max="23" width="9.5703125" style="2" bestFit="1" customWidth="1"/>
    <col min="24" max="16384" width="9.140625" style="2"/>
  </cols>
  <sheetData>
    <row r="1" spans="1:25" ht="11.25" customHeight="1">
      <c r="B1" s="125">
        <f ca="1">F116</f>
        <v>0.10906456112861632</v>
      </c>
      <c r="D1" s="27">
        <v>1000</v>
      </c>
      <c r="I1" s="90" t="s">
        <v>105</v>
      </c>
      <c r="J1" s="90" t="s">
        <v>42</v>
      </c>
      <c r="K1" s="90" t="s">
        <v>77</v>
      </c>
      <c r="L1" s="90" t="s">
        <v>106</v>
      </c>
      <c r="M1" s="90" t="s">
        <v>107</v>
      </c>
      <c r="N1" s="90" t="s">
        <v>109</v>
      </c>
    </row>
    <row r="2" spans="1:25" ht="11.25" customHeight="1">
      <c r="A2" s="2" t="s">
        <v>292</v>
      </c>
      <c r="B2" s="55" t="s">
        <v>114</v>
      </c>
      <c r="D2" s="3"/>
      <c r="E2" s="3"/>
      <c r="F2" s="3"/>
      <c r="G2" s="3"/>
      <c r="H2" s="3"/>
      <c r="I2" s="3"/>
      <c r="J2" s="3"/>
      <c r="K2" s="3"/>
      <c r="L2" s="3"/>
      <c r="M2" s="3"/>
      <c r="N2" s="3"/>
      <c r="O2" s="3"/>
      <c r="P2" s="3"/>
      <c r="Q2" s="3"/>
      <c r="R2" s="3"/>
      <c r="S2" s="3"/>
      <c r="U2" s="124">
        <f ca="1">TODAY()</f>
        <v>45796</v>
      </c>
      <c r="V2" s="3"/>
      <c r="W2"/>
      <c r="X2"/>
    </row>
    <row r="3" spans="1:25" ht="11.25" customHeight="1">
      <c r="A3" s="64" t="s">
        <v>447</v>
      </c>
      <c r="B3" s="5" t="str">
        <f>"Simple Model – Case "&amp;$A$3</f>
        <v>Simple Model – Case C (High)</v>
      </c>
    </row>
    <row r="4" spans="1:25" ht="11.25" customHeight="1">
      <c r="B4" s="7" t="s">
        <v>111</v>
      </c>
      <c r="C4" s="123"/>
      <c r="D4" s="123"/>
      <c r="E4" s="123"/>
      <c r="F4" s="123"/>
      <c r="G4" s="123"/>
      <c r="H4" s="235"/>
      <c r="I4" s="123"/>
      <c r="J4" s="123"/>
      <c r="K4" s="123"/>
      <c r="L4" s="123"/>
      <c r="M4" s="123"/>
      <c r="N4" s="123"/>
      <c r="O4" s="123"/>
      <c r="P4" s="123"/>
      <c r="Q4" s="123"/>
      <c r="R4" s="123"/>
      <c r="S4" s="123"/>
      <c r="T4" s="123"/>
      <c r="U4" s="565" t="s">
        <v>850</v>
      </c>
    </row>
    <row r="5" spans="1:25" ht="11.25" customHeight="1">
      <c r="B5" s="6"/>
      <c r="J5" s="58"/>
      <c r="K5" s="58"/>
      <c r="L5" s="58"/>
      <c r="M5" s="58"/>
      <c r="N5" s="58"/>
      <c r="O5" s="58"/>
      <c r="P5" s="58"/>
      <c r="Q5" s="58"/>
      <c r="R5" s="58"/>
      <c r="S5" s="58"/>
      <c r="T5" s="58"/>
      <c r="U5" s="58"/>
    </row>
    <row r="6" spans="1:25" ht="13.5" customHeight="1">
      <c r="B6" s="39"/>
      <c r="D6" s="22" t="s">
        <v>0</v>
      </c>
      <c r="E6" s="22"/>
      <c r="F6" s="22"/>
      <c r="G6" s="22"/>
      <c r="H6" s="22"/>
      <c r="I6" s="22"/>
      <c r="J6" s="22"/>
      <c r="K6" s="22"/>
      <c r="L6" s="22"/>
      <c r="M6" s="22"/>
      <c r="N6" s="22"/>
      <c r="O6" s="22"/>
      <c r="P6" s="22"/>
      <c r="Q6" s="22"/>
      <c r="R6" s="22"/>
      <c r="S6" s="22"/>
      <c r="T6" s="22"/>
      <c r="U6" s="22"/>
      <c r="W6" s="89" t="s">
        <v>445</v>
      </c>
      <c r="X6" s="87"/>
      <c r="Y6" s="566" t="s">
        <v>851</v>
      </c>
    </row>
    <row r="7" spans="1:25" ht="13.5" customHeight="1">
      <c r="B7" s="198"/>
      <c r="D7" s="8" t="s">
        <v>1</v>
      </c>
      <c r="E7" s="8" t="s">
        <v>2</v>
      </c>
      <c r="F7" s="8" t="s">
        <v>3</v>
      </c>
      <c r="G7" s="8" t="s">
        <v>4</v>
      </c>
      <c r="H7" s="8" t="s">
        <v>5</v>
      </c>
      <c r="I7" s="8" t="s">
        <v>68</v>
      </c>
      <c r="J7" s="8" t="s">
        <v>6</v>
      </c>
      <c r="K7" s="8" t="s">
        <v>22</v>
      </c>
      <c r="L7" s="8" t="s">
        <v>23</v>
      </c>
      <c r="M7" s="8" t="s">
        <v>24</v>
      </c>
      <c r="N7" s="8" t="s">
        <v>25</v>
      </c>
      <c r="O7" s="8" t="s">
        <v>26</v>
      </c>
      <c r="P7" s="8" t="s">
        <v>27</v>
      </c>
      <c r="Q7" s="8" t="s">
        <v>38</v>
      </c>
      <c r="R7" s="8" t="s">
        <v>39</v>
      </c>
      <c r="S7" s="8" t="s">
        <v>40</v>
      </c>
      <c r="T7" s="8" t="s">
        <v>41</v>
      </c>
      <c r="U7" s="8" t="s">
        <v>112</v>
      </c>
      <c r="V7" s="8"/>
      <c r="W7" s="156" t="s">
        <v>407</v>
      </c>
      <c r="X7" s="156" t="s">
        <v>446</v>
      </c>
      <c r="Y7" s="156" t="s">
        <v>852</v>
      </c>
    </row>
    <row r="8" spans="1:25" ht="13.5" customHeight="1">
      <c r="B8" s="186"/>
      <c r="D8" s="230"/>
      <c r="E8" s="230"/>
      <c r="F8" s="230"/>
      <c r="G8" s="230"/>
      <c r="H8" s="230"/>
      <c r="I8" s="230"/>
      <c r="J8" s="230"/>
      <c r="K8" s="230"/>
      <c r="L8" s="230"/>
      <c r="M8" s="230"/>
      <c r="N8" s="230"/>
      <c r="O8" s="230"/>
      <c r="P8" s="230"/>
      <c r="Q8" s="230"/>
      <c r="R8" s="230"/>
      <c r="S8" s="230"/>
      <c r="T8" s="230"/>
      <c r="U8" s="230"/>
      <c r="V8" s="8"/>
      <c r="W8" s="156"/>
      <c r="X8" s="88"/>
    </row>
    <row r="9" spans="1:25" ht="11.25" customHeight="1">
      <c r="B9" s="30" t="s">
        <v>242</v>
      </c>
      <c r="C9" s="18"/>
      <c r="D9" s="273">
        <f>('Historical Financials'!AX10/1000)*1000</f>
        <v>466.45228000000003</v>
      </c>
      <c r="E9" s="273">
        <f>('Historical Financials'!AY10/1000)*1000</f>
        <v>523.61286300000006</v>
      </c>
      <c r="F9" s="273">
        <f>('Historical Financials'!AZ10/1000)*1000</f>
        <v>645.30361300000004</v>
      </c>
      <c r="G9" s="273">
        <f>('Historical Financials'!BA10/1000)*1000</f>
        <v>695.09119099999998</v>
      </c>
      <c r="H9" s="273">
        <f>('Historical Financials'!BB10/1000)*1000</f>
        <v>888.87924999999996</v>
      </c>
      <c r="I9" s="273">
        <f>('Historical Financials'!BC10/1000)*1000</f>
        <v>814.91399999999999</v>
      </c>
      <c r="J9" s="273">
        <f ca="1">('Historical Financials'!BD10/1000)*1000</f>
        <v>998.38513517135789</v>
      </c>
      <c r="K9" s="231"/>
      <c r="L9" s="231"/>
      <c r="M9" s="231"/>
      <c r="N9" s="231"/>
      <c r="O9" s="231"/>
      <c r="P9" s="231"/>
      <c r="Q9" s="231"/>
      <c r="R9" s="231"/>
      <c r="S9" s="231"/>
      <c r="T9" s="231"/>
      <c r="U9" s="231"/>
      <c r="V9" s="8"/>
      <c r="W9" s="156"/>
      <c r="X9" s="88"/>
    </row>
    <row r="10" spans="1:25" ht="11.25" customHeight="1">
      <c r="B10" s="30" t="s">
        <v>241</v>
      </c>
      <c r="C10" s="18"/>
      <c r="D10" s="273">
        <f>('Historical Financials'!AX11/1000)*1000</f>
        <v>341.91019499999999</v>
      </c>
      <c r="E10" s="273">
        <f>('Historical Financials'!AY11/1000)*1000</f>
        <v>315.82231100000001</v>
      </c>
      <c r="F10" s="273">
        <f>('Historical Financials'!AZ11/1000)*1000</f>
        <v>439.80998399999999</v>
      </c>
      <c r="G10" s="273">
        <f>('Historical Financials'!BA11/1000)*1000</f>
        <v>587.78014399999995</v>
      </c>
      <c r="H10" s="273">
        <f>('Historical Financials'!BB11/1000)*1000</f>
        <v>932.38372900000002</v>
      </c>
      <c r="I10" s="273">
        <f>('Historical Financials'!BC11/1000)*1000</f>
        <v>934.76900000000001</v>
      </c>
      <c r="J10" s="273">
        <f>('Historical Financials'!BD11/1000)*1000</f>
        <v>1459.167782</v>
      </c>
      <c r="K10" s="231"/>
      <c r="L10" s="231"/>
      <c r="M10" s="231"/>
      <c r="N10" s="231"/>
      <c r="O10" s="231"/>
      <c r="P10" s="231"/>
      <c r="Q10" s="231"/>
      <c r="R10" s="231"/>
      <c r="S10" s="231"/>
      <c r="T10" s="231"/>
      <c r="U10" s="231"/>
      <c r="V10" s="8"/>
      <c r="W10" s="156"/>
      <c r="X10" s="88"/>
    </row>
    <row r="11" spans="1:25" ht="11.25" customHeight="1">
      <c r="B11" s="30" t="s">
        <v>323</v>
      </c>
      <c r="C11" s="18"/>
      <c r="D11" s="273">
        <f>(SUM('Historical Financials'!AX12:AX15)/1000)*1000</f>
        <v>223.11108200000001</v>
      </c>
      <c r="E11" s="273">
        <f>(SUM('Historical Financials'!AY12:AY15)/1000)*1000</f>
        <v>230.55027399999997</v>
      </c>
      <c r="F11" s="273">
        <f>(SUM('Historical Financials'!AZ12:AZ15)/1000)*1000</f>
        <v>254.14121399999999</v>
      </c>
      <c r="G11" s="273">
        <f>(SUM('Historical Financials'!BA12:BA15)/1000)*1000</f>
        <v>304.543702</v>
      </c>
      <c r="H11" s="273">
        <f>(SUM('Historical Financials'!BB12:BB15)/1000)*1000</f>
        <v>442.62831299999999</v>
      </c>
      <c r="I11" s="273">
        <f>(SUM('Historical Financials'!BC12:BC15)/1000)*1000</f>
        <v>412.053</v>
      </c>
      <c r="J11" s="273">
        <f>(SUM('Historical Financials'!BD12:BD15)/1000)*1000</f>
        <v>429.43726900000001</v>
      </c>
      <c r="K11" s="234"/>
      <c r="L11" s="234"/>
      <c r="M11" s="234"/>
      <c r="N11" s="234"/>
      <c r="O11" s="234"/>
      <c r="P11" s="234"/>
      <c r="Q11" s="234"/>
      <c r="R11" s="234"/>
      <c r="S11" s="234"/>
      <c r="T11" s="234"/>
      <c r="U11" s="234"/>
      <c r="V11" s="8"/>
      <c r="W11" s="156"/>
      <c r="X11" s="88"/>
    </row>
    <row r="12" spans="1:25" s="5" customFormat="1" ht="11.25" customHeight="1">
      <c r="B12" s="182" t="s">
        <v>132</v>
      </c>
      <c r="C12" s="147"/>
      <c r="D12" s="150">
        <f>SUM(D9:D11)</f>
        <v>1031.473557</v>
      </c>
      <c r="E12" s="150">
        <f t="shared" ref="E12:I12" si="0">SUM(E9:E11)</f>
        <v>1069.9854480000001</v>
      </c>
      <c r="F12" s="150">
        <f t="shared" si="0"/>
        <v>1339.254811</v>
      </c>
      <c r="G12" s="150">
        <f t="shared" si="0"/>
        <v>1587.4150369999998</v>
      </c>
      <c r="H12" s="150">
        <f t="shared" si="0"/>
        <v>2263.8912920000002</v>
      </c>
      <c r="I12" s="150">
        <f t="shared" si="0"/>
        <v>2161.7359999999999</v>
      </c>
      <c r="J12" s="150">
        <f ca="1">SUM(J9:J11)</f>
        <v>2886.9901861713579</v>
      </c>
      <c r="K12" s="149">
        <f ca="1">K138</f>
        <v>3522.3544233979655</v>
      </c>
      <c r="L12" s="149">
        <f t="shared" ref="L12:U12" ca="1" si="1">L138</f>
        <v>4071.5784141531299</v>
      </c>
      <c r="M12" s="149">
        <f t="shared" ca="1" si="1"/>
        <v>4673.7282765535729</v>
      </c>
      <c r="N12" s="149">
        <f t="shared" ca="1" si="1"/>
        <v>5259.273583717868</v>
      </c>
      <c r="O12" s="149">
        <f t="shared" ca="1" si="1"/>
        <v>5863.6530378203024</v>
      </c>
      <c r="P12" s="149">
        <f t="shared" ca="1" si="1"/>
        <v>6502.5291860824609</v>
      </c>
      <c r="Q12" s="149">
        <f t="shared" ca="1" si="1"/>
        <v>7143.8767207010524</v>
      </c>
      <c r="R12" s="149">
        <f t="shared" ca="1" si="1"/>
        <v>7795.2931658196112</v>
      </c>
      <c r="S12" s="149">
        <f t="shared" ca="1" si="1"/>
        <v>8455.5426723317669</v>
      </c>
      <c r="T12" s="149">
        <f t="shared" ca="1" si="1"/>
        <v>9123.3873639434059</v>
      </c>
      <c r="U12" s="149">
        <f t="shared" ca="1" si="1"/>
        <v>9796.8958605262906</v>
      </c>
      <c r="V12" s="44"/>
    </row>
    <row r="13" spans="1:25" ht="11.25" customHeight="1">
      <c r="B13" s="41" t="s">
        <v>249</v>
      </c>
      <c r="D13" s="140">
        <f>'Historical Financials'!AX17</f>
        <v>5.5273131944750142E-2</v>
      </c>
      <c r="E13" s="34">
        <f t="shared" ref="E13:I13" si="2">IFERROR(E12/D12-1,"n/a")</f>
        <v>3.7336770039951839E-2</v>
      </c>
      <c r="F13" s="34">
        <f t="shared" si="2"/>
        <v>0.25165703281601992</v>
      </c>
      <c r="G13" s="34">
        <f t="shared" si="2"/>
        <v>0.18529724437928463</v>
      </c>
      <c r="H13" s="34">
        <f t="shared" si="2"/>
        <v>0.42614958232879618</v>
      </c>
      <c r="I13" s="34">
        <f t="shared" si="2"/>
        <v>-4.5123762064455342E-2</v>
      </c>
      <c r="J13" s="34">
        <f ca="1">IFERROR(J12/I12-1,"n/a")</f>
        <v>0.33549618740279019</v>
      </c>
      <c r="K13" s="34">
        <f t="shared" ref="K13:U13" ca="1" si="3">IFERROR(K12/J12-1,"n/a")</f>
        <v>0.22007841947991147</v>
      </c>
      <c r="L13" s="34">
        <f t="shared" ca="1" si="3"/>
        <v>0.15592524906262439</v>
      </c>
      <c r="M13" s="34">
        <f t="shared" ca="1" si="3"/>
        <v>0.14789101452825326</v>
      </c>
      <c r="N13" s="34">
        <f t="shared" ca="1" si="3"/>
        <v>0.12528441375202903</v>
      </c>
      <c r="O13" s="34">
        <f t="shared" ca="1" si="3"/>
        <v>0.11491690715111802</v>
      </c>
      <c r="P13" s="34">
        <f t="shared" ca="1" si="3"/>
        <v>0.10895531235245937</v>
      </c>
      <c r="Q13" s="34">
        <f t="shared" ca="1" si="3"/>
        <v>9.8630473814909525E-2</v>
      </c>
      <c r="R13" s="34">
        <f t="shared" ca="1" si="3"/>
        <v>9.1185286446912928E-2</v>
      </c>
      <c r="S13" s="34">
        <f t="shared" ca="1" si="3"/>
        <v>8.469848310608552E-2</v>
      </c>
      <c r="T13" s="34">
        <f t="shared" ca="1" si="3"/>
        <v>7.8983066787299272E-2</v>
      </c>
      <c r="U13" s="34">
        <f t="shared" ca="1" si="3"/>
        <v>7.3822196703459353E-2</v>
      </c>
      <c r="V13" s="47"/>
      <c r="W13" s="202">
        <f ca="1">(J12/D12)^(1/6)-1</f>
        <v>0.18712887362560804</v>
      </c>
      <c r="X13" s="202">
        <f ca="1">(U12/J12)^(1/11)-1</f>
        <v>0.11748136458882374</v>
      </c>
      <c r="Y13" s="271"/>
    </row>
    <row r="14" spans="1:25" ht="11.25" customHeight="1">
      <c r="B14" s="41" t="s">
        <v>332</v>
      </c>
      <c r="D14" s="140">
        <f>'Historical Financials'!AX19</f>
        <v>6.5088757396449815E-2</v>
      </c>
      <c r="E14" s="140">
        <f>'Historical Financials'!AY19</f>
        <v>1.2573099415204668E-2</v>
      </c>
      <c r="F14" s="140">
        <f>'Historical Financials'!AZ19</f>
        <v>0.31417845798440641</v>
      </c>
      <c r="G14" s="140">
        <f>'Historical Financials'!BA19</f>
        <v>0.2485168094924193</v>
      </c>
      <c r="H14" s="140">
        <f>'Historical Financials'!BB19</f>
        <v>0.33544526575149586</v>
      </c>
      <c r="I14" s="140">
        <f>'Historical Financials'!BC19</f>
        <v>-8.6715867158671564E-2</v>
      </c>
      <c r="J14" s="140">
        <f ca="1">'Historical Financials'!BD19</f>
        <v>0.29527961611876108</v>
      </c>
      <c r="K14" s="34">
        <f ca="1">K13+K15</f>
        <v>0.20423170504925126</v>
      </c>
      <c r="L14" s="34">
        <f t="shared" ref="L14:U14" ca="1" si="4">L13+L15</f>
        <v>0.15592524906262439</v>
      </c>
      <c r="M14" s="34">
        <f t="shared" ca="1" si="4"/>
        <v>0.14789101452825326</v>
      </c>
      <c r="N14" s="34">
        <f t="shared" ca="1" si="4"/>
        <v>0.12528441375202903</v>
      </c>
      <c r="O14" s="34">
        <f t="shared" ca="1" si="4"/>
        <v>0.11491690715111802</v>
      </c>
      <c r="P14" s="34">
        <f t="shared" ca="1" si="4"/>
        <v>0.10895531235245937</v>
      </c>
      <c r="Q14" s="34">
        <f t="shared" ca="1" si="4"/>
        <v>9.8630473814909525E-2</v>
      </c>
      <c r="R14" s="34">
        <f t="shared" ca="1" si="4"/>
        <v>9.1185286446912928E-2</v>
      </c>
      <c r="S14" s="34">
        <f t="shared" ca="1" si="4"/>
        <v>8.469848310608552E-2</v>
      </c>
      <c r="T14" s="34">
        <f t="shared" ca="1" si="4"/>
        <v>7.8983066787299272E-2</v>
      </c>
      <c r="U14" s="34">
        <f t="shared" ca="1" si="4"/>
        <v>7.3822196703459353E-2</v>
      </c>
      <c r="V14" s="47"/>
      <c r="W14" s="202"/>
      <c r="X14" s="202"/>
    </row>
    <row r="15" spans="1:25" ht="11.25" hidden="1" customHeight="1" outlineLevel="1">
      <c r="B15" s="539" t="s">
        <v>777</v>
      </c>
      <c r="D15" s="140">
        <f>FX!AX15/FX!AW15-1</f>
        <v>9.1220335725639146E-3</v>
      </c>
      <c r="E15" s="140">
        <f>FX!AY15/FX!AX15-1</f>
        <v>-2.4296342932516035E-2</v>
      </c>
      <c r="F15" s="140">
        <f>FX!AZ15/FX!AY15-1</f>
        <v>4.8981893089085071E-2</v>
      </c>
      <c r="G15" s="140">
        <f>FX!BA15/FX!AZ15-1</f>
        <v>5.4218743861880192E-2</v>
      </c>
      <c r="H15" s="140">
        <f>FX!BB15/FX!BA15-1</f>
        <v>-6.2374057290440987E-2</v>
      </c>
      <c r="I15" s="140">
        <f>FX!BC15/FX!BB15-1</f>
        <v>-4.3652633641973693E-2</v>
      </c>
      <c r="J15" s="140">
        <f>FX!BD15/FX!BC15-1</f>
        <v>-3.0035397447024548E-2</v>
      </c>
      <c r="K15" s="140">
        <f>FX!BE15/FX!BD15-1</f>
        <v>-1.5846714430660214E-2</v>
      </c>
      <c r="L15" s="140">
        <f>FX!BF15/FX!BE15-1</f>
        <v>0</v>
      </c>
      <c r="M15" s="140">
        <f>FX!BG15/FX!BF15-1</f>
        <v>0</v>
      </c>
      <c r="N15" s="140">
        <f>FX!BH15/FX!BG15-1</f>
        <v>0</v>
      </c>
      <c r="O15" s="140">
        <f>FX!BI15/FX!BH15-1</f>
        <v>0</v>
      </c>
      <c r="P15" s="140">
        <f>FX!BJ15/FX!BI15-1</f>
        <v>0</v>
      </c>
      <c r="Q15" s="140">
        <f>FX!BK15/FX!BJ15-1</f>
        <v>0</v>
      </c>
      <c r="R15" s="140">
        <f>FX!BL15/FX!BK15-1</f>
        <v>0</v>
      </c>
      <c r="S15" s="140">
        <f>FX!BM15/FX!BL15-1</f>
        <v>0</v>
      </c>
      <c r="T15" s="140">
        <f>FX!BN15/FX!BM15-1</f>
        <v>0</v>
      </c>
      <c r="U15" s="140">
        <f>FX!BO15/FX!BN15-1</f>
        <v>0</v>
      </c>
      <c r="V15" s="47"/>
      <c r="W15" s="202"/>
      <c r="X15" s="202"/>
    </row>
    <row r="16" spans="1:25" ht="11.25" customHeight="1" collapsed="1">
      <c r="A16" s="2" t="s">
        <v>293</v>
      </c>
      <c r="B16" s="36" t="s">
        <v>64</v>
      </c>
      <c r="D16" s="43"/>
      <c r="E16" s="34"/>
      <c r="F16" s="34"/>
      <c r="G16" s="34"/>
      <c r="H16" s="34"/>
      <c r="I16" s="95"/>
      <c r="J16" s="95">
        <f>_xll.VAData($A$2,J$1,$A16, "vaactuals.consensus", "CD", "IMPL","","")/1000</f>
        <v>2894.3077000000003</v>
      </c>
      <c r="K16" s="95">
        <f>_xll.VAData($A$2,K$1,$A16, "vaactuals.consensus", "CD", "IMPL","","")/1000</f>
        <v>3670.0190106823843</v>
      </c>
      <c r="L16" s="95">
        <f>_xll.VAData($A$2,L$1,$A16, "vaactuals.consensus", "CD", "IMPL","","")/1000</f>
        <v>4276.1701939550476</v>
      </c>
      <c r="M16" s="95"/>
      <c r="N16" s="95"/>
      <c r="O16" s="34"/>
      <c r="P16" s="34"/>
      <c r="Q16" s="34"/>
      <c r="R16" s="34"/>
      <c r="S16" s="34"/>
      <c r="T16" s="119"/>
      <c r="U16" s="119"/>
      <c r="V16" s="47"/>
      <c r="W16" s="58"/>
    </row>
    <row r="17" spans="1:25" ht="11.25" customHeight="1">
      <c r="B17" s="9"/>
      <c r="E17" s="43"/>
      <c r="F17" s="43"/>
      <c r="G17" s="43"/>
      <c r="H17" s="43"/>
      <c r="I17" s="43"/>
      <c r="J17" s="43"/>
      <c r="K17" s="43"/>
      <c r="L17" s="43"/>
      <c r="M17" s="43"/>
      <c r="N17" s="43"/>
      <c r="O17" s="43"/>
      <c r="P17" s="43"/>
      <c r="Q17" s="43"/>
      <c r="R17" s="43"/>
      <c r="S17" s="43"/>
      <c r="T17" s="43"/>
      <c r="U17" s="43"/>
      <c r="V17" s="43"/>
    </row>
    <row r="18" spans="1:25" ht="11.25" hidden="1" customHeight="1" outlineLevel="1">
      <c r="B18" s="13" t="s">
        <v>122</v>
      </c>
      <c r="D18" s="19">
        <f>D12-D19</f>
        <v>533.6</v>
      </c>
      <c r="E18" s="19">
        <f t="shared" ref="E18:U18" si="5">E12-E19</f>
        <v>577.28300000000002</v>
      </c>
      <c r="F18" s="19">
        <f t="shared" si="5"/>
        <v>628.125</v>
      </c>
      <c r="G18" s="19">
        <f t="shared" si="5"/>
        <v>767.87800000000004</v>
      </c>
      <c r="H18" s="19">
        <f t="shared" si="5"/>
        <v>915.53600000000006</v>
      </c>
      <c r="I18" s="19">
        <f t="shared" si="5"/>
        <v>986.625</v>
      </c>
      <c r="J18" s="19">
        <f t="shared" ca="1" si="5"/>
        <v>1275.5513994319699</v>
      </c>
      <c r="K18" s="19">
        <f t="shared" ca="1" si="5"/>
        <v>1458.2130776584363</v>
      </c>
      <c r="L18" s="19">
        <f t="shared" ca="1" si="5"/>
        <v>1671.7467632186522</v>
      </c>
      <c r="M18" s="19">
        <f t="shared" ca="1" si="5"/>
        <v>1903.0979388459355</v>
      </c>
      <c r="N18" s="19">
        <f t="shared" ca="1" si="5"/>
        <v>2123.651137600174</v>
      </c>
      <c r="O18" s="19">
        <f t="shared" ca="1" si="5"/>
        <v>2347.765071939793</v>
      </c>
      <c r="P18" s="19">
        <f t="shared" ca="1" si="5"/>
        <v>2581.4656390212122</v>
      </c>
      <c r="Q18" s="19">
        <f t="shared" ca="1" si="5"/>
        <v>2811.7960852811057</v>
      </c>
      <c r="R18" s="19">
        <f t="shared" ca="1" si="5"/>
        <v>3041.6957383136914</v>
      </c>
      <c r="S18" s="19">
        <f t="shared" ca="1" si="5"/>
        <v>3270.583907441428</v>
      </c>
      <c r="T18" s="19">
        <f t="shared" ca="1" si="5"/>
        <v>3497.8959264674177</v>
      </c>
      <c r="U18" s="19">
        <f t="shared" ca="1" si="5"/>
        <v>3722.8204269999896</v>
      </c>
      <c r="V18" s="43"/>
    </row>
    <row r="19" spans="1:25" s="5" customFormat="1" ht="11.25" customHeight="1" collapsed="1">
      <c r="A19" s="2"/>
      <c r="B19" s="182" t="s">
        <v>137</v>
      </c>
      <c r="C19" s="147"/>
      <c r="D19" s="148">
        <f>('Historical Financials'!AX29/1000)*1000</f>
        <v>497.87355700000001</v>
      </c>
      <c r="E19" s="148">
        <f>('Historical Financials'!AY29/1000)*1000</f>
        <v>492.70244800000012</v>
      </c>
      <c r="F19" s="148">
        <f>('Historical Financials'!AZ29/1000)*1000</f>
        <v>711.12981100000002</v>
      </c>
      <c r="G19" s="148">
        <f>('Historical Financials'!BA29/1000)*1000</f>
        <v>819.53703699999971</v>
      </c>
      <c r="H19" s="148">
        <f>('Historical Financials'!BB29/1000)*1000</f>
        <v>1348.3552920000002</v>
      </c>
      <c r="I19" s="148">
        <f>('Historical Financials'!BC29/1000)*1000</f>
        <v>1175.1109999999999</v>
      </c>
      <c r="J19" s="148">
        <f ca="1">('Historical Financials'!BD29/1000)*1000</f>
        <v>1611.438786739388</v>
      </c>
      <c r="K19" s="149">
        <f ca="1">K29+K25</f>
        <v>2064.1413457395292</v>
      </c>
      <c r="L19" s="149">
        <f t="shared" ref="L19:U19" ca="1" si="6">L29+L25</f>
        <v>2399.8316509344777</v>
      </c>
      <c r="M19" s="149">
        <f t="shared" ca="1" si="6"/>
        <v>2770.6303377076374</v>
      </c>
      <c r="N19" s="149">
        <f t="shared" ca="1" si="6"/>
        <v>3135.6224461176939</v>
      </c>
      <c r="O19" s="149">
        <f t="shared" ca="1" si="6"/>
        <v>3515.8879658805095</v>
      </c>
      <c r="P19" s="149">
        <f t="shared" ca="1" si="6"/>
        <v>3921.0635470612488</v>
      </c>
      <c r="Q19" s="149">
        <f t="shared" ca="1" si="6"/>
        <v>4332.0806354199467</v>
      </c>
      <c r="R19" s="149">
        <f t="shared" ca="1" si="6"/>
        <v>4753.5974275059198</v>
      </c>
      <c r="S19" s="149">
        <f t="shared" ca="1" si="6"/>
        <v>5184.9587648903389</v>
      </c>
      <c r="T19" s="149">
        <f t="shared" ca="1" si="6"/>
        <v>5625.4914374759883</v>
      </c>
      <c r="U19" s="149">
        <f t="shared" ca="1" si="6"/>
        <v>6074.0754335263009</v>
      </c>
      <c r="V19" s="44"/>
      <c r="W19" s="113"/>
      <c r="X19" s="112"/>
    </row>
    <row r="20" spans="1:25" s="18" customFormat="1" ht="11.25" customHeight="1">
      <c r="B20" s="36" t="s">
        <v>249</v>
      </c>
      <c r="D20" s="274">
        <f>'Historical Financials'!AX30</f>
        <v>6.1588457356729354E-3</v>
      </c>
      <c r="E20" s="211">
        <f>IF(AND(E19&gt;0,D19&gt;0),E19/D19-1,"n/m")</f>
        <v>-1.0386390133187762E-2</v>
      </c>
      <c r="F20" s="211">
        <f t="shared" ref="F20:U20" si="7">IF(AND(F19&gt;0,E19&gt;0),F19/E19-1,"n/m")</f>
        <v>0.44332510196904851</v>
      </c>
      <c r="G20" s="211">
        <f t="shared" si="7"/>
        <v>0.1524436527946369</v>
      </c>
      <c r="H20" s="211">
        <f t="shared" si="7"/>
        <v>0.64526462029805809</v>
      </c>
      <c r="I20" s="211">
        <f t="shared" si="7"/>
        <v>-0.12848563952534275</v>
      </c>
      <c r="J20" s="211">
        <f t="shared" ca="1" si="7"/>
        <v>0.37130772049567073</v>
      </c>
      <c r="K20" s="211">
        <f t="shared" ca="1" si="7"/>
        <v>0.28093065819530572</v>
      </c>
      <c r="L20" s="211">
        <f t="shared" ca="1" si="7"/>
        <v>0.16262951463465747</v>
      </c>
      <c r="M20" s="211">
        <f t="shared" ca="1" si="7"/>
        <v>0.1545102910151106</v>
      </c>
      <c r="N20" s="211">
        <f t="shared" ca="1" si="7"/>
        <v>0.13173612641231802</v>
      </c>
      <c r="O20" s="211">
        <f t="shared" ca="1" si="7"/>
        <v>0.12127273812369643</v>
      </c>
      <c r="P20" s="211">
        <f t="shared" ca="1" si="7"/>
        <v>0.11524132313450108</v>
      </c>
      <c r="Q20" s="211">
        <f t="shared" ca="1" si="7"/>
        <v>0.10482285824384219</v>
      </c>
      <c r="R20" s="211">
        <f t="shared" ca="1" si="7"/>
        <v>9.7301234108979617E-2</v>
      </c>
      <c r="S20" s="211">
        <f t="shared" ca="1" si="7"/>
        <v>9.0744187736306214E-2</v>
      </c>
      <c r="T20" s="211">
        <f t="shared" ca="1" si="7"/>
        <v>8.4963582655409375E-2</v>
      </c>
      <c r="U20" s="211">
        <f t="shared" ca="1" si="7"/>
        <v>7.9741299233330842E-2</v>
      </c>
      <c r="V20" s="67"/>
      <c r="W20" s="54"/>
      <c r="X20" s="54"/>
    </row>
    <row r="21" spans="1:25" s="18" customFormat="1" ht="11.25" customHeight="1">
      <c r="B21" s="36" t="s">
        <v>17</v>
      </c>
      <c r="D21" s="120">
        <f>IFERROR(D19/D12,"n/a")</f>
        <v>0.48268184251668605</v>
      </c>
      <c r="E21" s="120">
        <f t="shared" ref="E21:U21" si="8">IFERROR(E19/E12,"n/a")</f>
        <v>0.46047584004151809</v>
      </c>
      <c r="F21" s="120">
        <f t="shared" si="8"/>
        <v>0.5309891778316711</v>
      </c>
      <c r="G21" s="120">
        <f t="shared" si="8"/>
        <v>0.51627143368177619</v>
      </c>
      <c r="H21" s="120">
        <f t="shared" si="8"/>
        <v>0.59559188940066832</v>
      </c>
      <c r="I21" s="120">
        <f t="shared" si="8"/>
        <v>0.54359598026771072</v>
      </c>
      <c r="J21" s="120">
        <f t="shared" ca="1" si="8"/>
        <v>0.5581725890368997</v>
      </c>
      <c r="K21" s="120">
        <f t="shared" ca="1" si="8"/>
        <v>0.58601182550740627</v>
      </c>
      <c r="L21" s="120">
        <f t="shared" ca="1" si="8"/>
        <v>0.58941064295666568</v>
      </c>
      <c r="M21" s="120">
        <f t="shared" ca="1" si="8"/>
        <v>0.59280946040592497</v>
      </c>
      <c r="N21" s="120">
        <f t="shared" ca="1" si="8"/>
        <v>0.59620827785518438</v>
      </c>
      <c r="O21" s="120">
        <f t="shared" ca="1" si="8"/>
        <v>0.59960709530444378</v>
      </c>
      <c r="P21" s="120">
        <f t="shared" ca="1" si="8"/>
        <v>0.60300591275370319</v>
      </c>
      <c r="Q21" s="120">
        <f t="shared" ca="1" si="8"/>
        <v>0.60640473020296259</v>
      </c>
      <c r="R21" s="120">
        <f t="shared" ca="1" si="8"/>
        <v>0.609803547652222</v>
      </c>
      <c r="S21" s="120">
        <f t="shared" ca="1" si="8"/>
        <v>0.61320236510148129</v>
      </c>
      <c r="T21" s="120">
        <f t="shared" ca="1" si="8"/>
        <v>0.61660118255074059</v>
      </c>
      <c r="U21" s="120">
        <f t="shared" ca="1" si="8"/>
        <v>0.62000000000000011</v>
      </c>
      <c r="V21" s="67"/>
      <c r="W21" s="54"/>
      <c r="X21" s="54"/>
    </row>
    <row r="22" spans="1:25" s="18" customFormat="1" ht="11.25" customHeight="1">
      <c r="B22" s="187" t="s">
        <v>295</v>
      </c>
      <c r="D22" s="120"/>
      <c r="E22" s="120">
        <f>IF(E12&gt;D12,(E19-D19)/(E12-D12),"n/a")</f>
        <v>-0.1342730482904585</v>
      </c>
      <c r="F22" s="120">
        <f t="shared" ref="F22:U22" si="9">IF(F12&gt;E12,(F19-E19)/(F12-E12),"n/a")</f>
        <v>0.81118535197039843</v>
      </c>
      <c r="G22" s="120">
        <f t="shared" si="9"/>
        <v>0.43684367856757111</v>
      </c>
      <c r="H22" s="120">
        <f t="shared" si="9"/>
        <v>0.78172478500372511</v>
      </c>
      <c r="I22" s="120" t="str">
        <f t="shared" si="9"/>
        <v>n/a</v>
      </c>
      <c r="J22" s="120">
        <f t="shared" ca="1" si="9"/>
        <v>0.60162050086574148</v>
      </c>
      <c r="K22" s="120">
        <f t="shared" ca="1" si="9"/>
        <v>0.71250871937049443</v>
      </c>
      <c r="L22" s="120">
        <f t="shared" ca="1" si="9"/>
        <v>0.61120837917765702</v>
      </c>
      <c r="M22" s="120">
        <f t="shared" ca="1" si="9"/>
        <v>0.61579136677867474</v>
      </c>
      <c r="N22" s="120">
        <f t="shared" ca="1" si="9"/>
        <v>0.62333709098900747</v>
      </c>
      <c r="O22" s="120">
        <f t="shared" ca="1" si="9"/>
        <v>0.62918339990155503</v>
      </c>
      <c r="P22" s="120">
        <f t="shared" ca="1" si="9"/>
        <v>0.63420051332778549</v>
      </c>
      <c r="Q22" s="120">
        <f t="shared" ca="1" si="9"/>
        <v>0.64086484499099117</v>
      </c>
      <c r="R22" s="120">
        <f t="shared" ca="1" si="9"/>
        <v>0.647077296320415</v>
      </c>
      <c r="S22" s="120">
        <f t="shared" ca="1" si="9"/>
        <v>0.65333079862965027</v>
      </c>
      <c r="T22" s="120">
        <f t="shared" ca="1" si="9"/>
        <v>0.65963341195773884</v>
      </c>
      <c r="U22" s="120">
        <f t="shared" ca="1" si="9"/>
        <v>0.6660405894302005</v>
      </c>
      <c r="W22" s="118">
        <f ca="1">(J19-D19)/(J12-D12)</f>
        <v>0.60013756397143547</v>
      </c>
      <c r="X22" s="118">
        <f ca="1">(U19-J19)/(U12-J12)</f>
        <v>0.64583177500516575</v>
      </c>
    </row>
    <row r="23" spans="1:25" s="18" customFormat="1" ht="11.25" customHeight="1">
      <c r="A23" s="18" t="s">
        <v>294</v>
      </c>
      <c r="B23" s="36" t="s">
        <v>64</v>
      </c>
      <c r="E23" s="67"/>
      <c r="F23" s="67"/>
      <c r="G23" s="67"/>
      <c r="H23" s="67"/>
      <c r="I23" s="144"/>
      <c r="J23" s="144">
        <f>_xll.VAData($A$2,J$1,$A23, "vaactuals.consensus", "CD", "IMPL","","")/1000</f>
        <v>1624.353564</v>
      </c>
      <c r="K23" s="144">
        <f>_xll.VAData($A$2,K$1,$A23, "vaactuals.consensus", "CD", "IMPL","","")/1000</f>
        <v>2130.4106971538022</v>
      </c>
      <c r="L23" s="144">
        <f>_xll.VAData($A$2,L$1,$A23, "vaactuals.consensus", "CD", "IMPL","","")/1000</f>
        <v>2441.8575743305523</v>
      </c>
      <c r="M23" s="144"/>
      <c r="N23" s="144"/>
      <c r="O23" s="136"/>
      <c r="P23" s="136"/>
      <c r="Q23" s="136"/>
      <c r="R23" s="136"/>
      <c r="S23" s="136"/>
      <c r="T23" s="142"/>
      <c r="U23" s="142"/>
      <c r="W23" s="143"/>
      <c r="X23" s="143"/>
    </row>
    <row r="24" spans="1:25" s="18" customFormat="1" ht="11.25" customHeight="1">
      <c r="B24" s="35"/>
      <c r="E24" s="67"/>
      <c r="F24" s="67"/>
      <c r="G24" s="67"/>
      <c r="H24" s="67"/>
      <c r="I24" s="144"/>
      <c r="J24" s="144"/>
      <c r="K24" s="144"/>
      <c r="L24" s="144"/>
      <c r="M24" s="144"/>
      <c r="N24" s="144"/>
      <c r="O24" s="136"/>
      <c r="P24" s="136"/>
      <c r="Q24" s="136"/>
      <c r="R24" s="136"/>
      <c r="S24" s="136"/>
      <c r="T24" s="142"/>
      <c r="U24" s="142"/>
      <c r="W24" s="143"/>
      <c r="X24" s="143"/>
    </row>
    <row r="25" spans="1:25" ht="11.25" customHeight="1">
      <c r="B25" s="13" t="s">
        <v>123</v>
      </c>
      <c r="D25" s="19">
        <f>D19-D29</f>
        <v>114.25</v>
      </c>
      <c r="E25" s="19">
        <f t="shared" ref="E25:I25" si="10">E19-E29</f>
        <v>120.00099999999998</v>
      </c>
      <c r="F25" s="19">
        <f t="shared" si="10"/>
        <v>144.346</v>
      </c>
      <c r="G25" s="19">
        <f t="shared" si="10"/>
        <v>169.55600000000004</v>
      </c>
      <c r="H25" s="19">
        <f t="shared" si="10"/>
        <v>227.07600000000002</v>
      </c>
      <c r="I25" s="19">
        <f t="shared" si="10"/>
        <v>253.64499999999998</v>
      </c>
      <c r="J25" s="19">
        <f ca="1">J19-J29</f>
        <v>306.05509985799245</v>
      </c>
      <c r="K25" s="19">
        <f ca="1">K12*K33</f>
        <v>373.41122250850589</v>
      </c>
      <c r="L25" s="19">
        <f t="shared" ref="L25:U25" ca="1" si="11">L12*L33</f>
        <v>425.11612007020949</v>
      </c>
      <c r="M25" s="19">
        <f t="shared" ca="1" si="11"/>
        <v>480.50348219638687</v>
      </c>
      <c r="N25" s="19">
        <f t="shared" ca="1" si="11"/>
        <v>532.28202217734952</v>
      </c>
      <c r="O25" s="19">
        <f t="shared" ca="1" si="11"/>
        <v>584.06144697035825</v>
      </c>
      <c r="P25" s="19">
        <f t="shared" ca="1" si="11"/>
        <v>637.28630808960611</v>
      </c>
      <c r="Q25" s="19">
        <f t="shared" ca="1" si="11"/>
        <v>688.70350786240977</v>
      </c>
      <c r="R25" s="19">
        <f t="shared" ca="1" si="11"/>
        <v>739.0214471088193</v>
      </c>
      <c r="S25" s="19">
        <f t="shared" ca="1" si="11"/>
        <v>788.0765752778201</v>
      </c>
      <c r="T25" s="19">
        <f t="shared" ca="1" si="11"/>
        <v>835.71307140570059</v>
      </c>
      <c r="U25" s="19">
        <f t="shared" ca="1" si="11"/>
        <v>881.72062744736616</v>
      </c>
      <c r="V25" s="43"/>
    </row>
    <row r="26" spans="1:25" ht="11.25" customHeight="1">
      <c r="B26" s="35" t="s">
        <v>249</v>
      </c>
      <c r="D26" s="274">
        <f>+'Historical Financials'!AX42</f>
        <v>4.5603887724564585E-2</v>
      </c>
      <c r="E26" s="211">
        <f>IF(AND(E25&gt;0,D25&gt;0),E25/D25-1,"n/m")</f>
        <v>5.0336980306345591E-2</v>
      </c>
      <c r="F26" s="211">
        <f t="shared" ref="F26:U26" si="12">IF(AND(F25&gt;0,E25&gt;0),F25/E25-1,"n/m")</f>
        <v>0.20287330938908865</v>
      </c>
      <c r="G26" s="211">
        <f t="shared" si="12"/>
        <v>0.17464979978662409</v>
      </c>
      <c r="H26" s="211">
        <f t="shared" si="12"/>
        <v>0.33923895350208766</v>
      </c>
      <c r="I26" s="211">
        <f t="shared" si="12"/>
        <v>0.11700487942362892</v>
      </c>
      <c r="J26" s="211">
        <f t="shared" ca="1" si="12"/>
        <v>0.20662776659501447</v>
      </c>
      <c r="K26" s="211">
        <f t="shared" ca="1" si="12"/>
        <v>0.22007841947991147</v>
      </c>
      <c r="L26" s="211">
        <f t="shared" ca="1" si="12"/>
        <v>0.13846637284857133</v>
      </c>
      <c r="M26" s="211">
        <f t="shared" ca="1" si="12"/>
        <v>0.1302876073413306</v>
      </c>
      <c r="N26" s="211">
        <f t="shared" ca="1" si="12"/>
        <v>0.10775892766537787</v>
      </c>
      <c r="O26" s="211">
        <f t="shared" ca="1" si="12"/>
        <v>9.7278177048325087E-2</v>
      </c>
      <c r="P26" s="211">
        <f t="shared" ca="1" si="12"/>
        <v>9.1128872476236467E-2</v>
      </c>
      <c r="Q26" s="211">
        <f t="shared" ca="1" si="12"/>
        <v>8.0681475688591187E-2</v>
      </c>
      <c r="R26" s="211">
        <f t="shared" ca="1" si="12"/>
        <v>7.3061830921387072E-2</v>
      </c>
      <c r="S26" s="211">
        <f t="shared" ca="1" si="12"/>
        <v>6.6378490584966032E-2</v>
      </c>
      <c r="T26" s="211">
        <f t="shared" ca="1" si="12"/>
        <v>6.0446532256192453E-2</v>
      </c>
      <c r="U26" s="211">
        <f t="shared" ca="1" si="12"/>
        <v>5.5051856451496128E-2</v>
      </c>
      <c r="V26" s="43"/>
    </row>
    <row r="27" spans="1:25" ht="11.25" customHeight="1">
      <c r="B27" s="35" t="s">
        <v>602</v>
      </c>
      <c r="D27" s="120">
        <f>IFERROR(D25/D12,"n/a")</f>
        <v>0.11076386711482125</v>
      </c>
      <c r="E27" s="120">
        <f t="shared" ref="E27:U27" si="13">IFERROR(E25/E12,"n/a")</f>
        <v>0.11215199255681836</v>
      </c>
      <c r="F27" s="120">
        <f t="shared" si="13"/>
        <v>0.10778083365048297</v>
      </c>
      <c r="G27" s="120">
        <f t="shared" si="13"/>
        <v>0.10681264574665868</v>
      </c>
      <c r="H27" s="120">
        <f t="shared" si="13"/>
        <v>0.10030340273069967</v>
      </c>
      <c r="I27" s="120">
        <f t="shared" si="13"/>
        <v>0.11733393901938072</v>
      </c>
      <c r="J27" s="120">
        <f t="shared" ca="1" si="13"/>
        <v>0.1060118255074063</v>
      </c>
      <c r="K27" s="120">
        <f t="shared" ca="1" si="13"/>
        <v>0.10601182550740632</v>
      </c>
      <c r="L27" s="120">
        <f t="shared" ca="1" si="13"/>
        <v>0.10441064295666568</v>
      </c>
      <c r="M27" s="120">
        <f t="shared" ca="1" si="13"/>
        <v>0.10280946040592505</v>
      </c>
      <c r="N27" s="120">
        <f t="shared" ca="1" si="13"/>
        <v>0.10120827785518442</v>
      </c>
      <c r="O27" s="120">
        <f t="shared" ca="1" si="13"/>
        <v>9.9607095304443796E-2</v>
      </c>
      <c r="P27" s="120">
        <f t="shared" ca="1" si="13"/>
        <v>9.800591275370317E-2</v>
      </c>
      <c r="Q27" s="120">
        <f t="shared" ca="1" si="13"/>
        <v>9.6404730202962544E-2</v>
      </c>
      <c r="R27" s="120">
        <f t="shared" ca="1" si="13"/>
        <v>9.4803547652221903E-2</v>
      </c>
      <c r="S27" s="120">
        <f t="shared" ca="1" si="13"/>
        <v>9.3202365101481291E-2</v>
      </c>
      <c r="T27" s="120">
        <f t="shared" ca="1" si="13"/>
        <v>9.1601182550740665E-2</v>
      </c>
      <c r="U27" s="120">
        <f t="shared" ca="1" si="13"/>
        <v>0.09</v>
      </c>
      <c r="V27" s="43"/>
    </row>
    <row r="28" spans="1:25" ht="11.25" customHeight="1">
      <c r="B28" s="35"/>
      <c r="D28" s="120"/>
      <c r="E28" s="120"/>
      <c r="F28" s="120"/>
      <c r="G28" s="120"/>
      <c r="H28" s="120"/>
      <c r="I28" s="120"/>
      <c r="J28" s="120"/>
      <c r="K28" s="120"/>
      <c r="L28" s="120"/>
      <c r="M28" s="120"/>
      <c r="N28" s="120"/>
      <c r="O28" s="120"/>
      <c r="P28" s="120"/>
      <c r="Q28" s="120"/>
      <c r="R28" s="120"/>
      <c r="S28" s="120"/>
      <c r="T28" s="120"/>
      <c r="U28" s="120"/>
      <c r="V28" s="43"/>
    </row>
    <row r="29" spans="1:25" s="5" customFormat="1" ht="11.25" customHeight="1">
      <c r="A29" s="2"/>
      <c r="B29" s="182" t="s">
        <v>250</v>
      </c>
      <c r="C29" s="147"/>
      <c r="D29" s="148">
        <f>('Historical Financials'!AX50/1000)*1000</f>
        <v>383.62355700000001</v>
      </c>
      <c r="E29" s="148">
        <f>('Historical Financials'!AY50/1000)*1000</f>
        <v>372.70144800000014</v>
      </c>
      <c r="F29" s="148">
        <f>('Historical Financials'!AZ50/1000)*1000</f>
        <v>566.78381100000001</v>
      </c>
      <c r="G29" s="148">
        <f>('Historical Financials'!BA50/1000)*1000</f>
        <v>649.98103699999967</v>
      </c>
      <c r="H29" s="148">
        <f>('Historical Financials'!BB50/1000)*1000</f>
        <v>1121.2792920000002</v>
      </c>
      <c r="I29" s="148">
        <f>('Historical Financials'!BC50/1000)*1000</f>
        <v>921.46599999999989</v>
      </c>
      <c r="J29" s="148">
        <f ca="1">('Historical Financials'!BD50/1000)*1000</f>
        <v>1305.3836868813955</v>
      </c>
      <c r="K29" s="149">
        <f ca="1">K141</f>
        <v>1690.7301232310231</v>
      </c>
      <c r="L29" s="149">
        <f t="shared" ref="L29:U29" ca="1" si="14">L141</f>
        <v>1974.715530864268</v>
      </c>
      <c r="M29" s="149">
        <f t="shared" ca="1" si="14"/>
        <v>2290.1268555112506</v>
      </c>
      <c r="N29" s="149">
        <f t="shared" ca="1" si="14"/>
        <v>2603.3404239403444</v>
      </c>
      <c r="O29" s="149">
        <f t="shared" ca="1" si="14"/>
        <v>2931.8265189101512</v>
      </c>
      <c r="P29" s="149">
        <f t="shared" ca="1" si="14"/>
        <v>3283.7772389716429</v>
      </c>
      <c r="Q29" s="149">
        <f t="shared" ca="1" si="14"/>
        <v>3643.3771275575368</v>
      </c>
      <c r="R29" s="149">
        <f t="shared" ca="1" si="14"/>
        <v>4014.5759803971</v>
      </c>
      <c r="S29" s="149">
        <f t="shared" ca="1" si="14"/>
        <v>4396.8821896125191</v>
      </c>
      <c r="T29" s="149">
        <f t="shared" ca="1" si="14"/>
        <v>4789.778366070288</v>
      </c>
      <c r="U29" s="149">
        <f t="shared" ca="1" si="14"/>
        <v>5192.3548060789344</v>
      </c>
      <c r="V29" s="44"/>
      <c r="W29" s="113"/>
      <c r="X29" s="112"/>
    </row>
    <row r="30" spans="1:25" s="18" customFormat="1" ht="11.25" customHeight="1">
      <c r="B30" s="36" t="s">
        <v>249</v>
      </c>
      <c r="D30" s="274">
        <f>'Historical Financials'!AX51/1000</f>
        <v>-5.019836134028566E-6</v>
      </c>
      <c r="E30" s="211">
        <f>IF(AND(E29&gt;0,D29&gt;0),E29/D29-1,"n/m")</f>
        <v>-2.8470902791821628E-2</v>
      </c>
      <c r="F30" s="211">
        <f t="shared" ref="F30:U30" si="15">IF(AND(F29&gt;0,E29&gt;0),F29/E29-1,"n/m")</f>
        <v>0.52074485903258361</v>
      </c>
      <c r="G30" s="211">
        <f t="shared" si="15"/>
        <v>0.14678828926537513</v>
      </c>
      <c r="H30" s="211">
        <f t="shared" si="15"/>
        <v>0.72509539228296083</v>
      </c>
      <c r="I30" s="211">
        <f t="shared" si="15"/>
        <v>-0.17820117915813627</v>
      </c>
      <c r="J30" s="211">
        <f t="shared" ca="1" si="15"/>
        <v>0.41663793008249428</v>
      </c>
      <c r="K30" s="211">
        <f t="shared" ca="1" si="15"/>
        <v>0.29519783357353946</v>
      </c>
      <c r="L30" s="211">
        <f t="shared" ca="1" si="15"/>
        <v>0.16796613707369357</v>
      </c>
      <c r="M30" s="211">
        <f t="shared" ca="1" si="15"/>
        <v>0.15972494251308067</v>
      </c>
      <c r="N30" s="211">
        <f t="shared" ca="1" si="15"/>
        <v>0.13676690776990674</v>
      </c>
      <c r="O30" s="211">
        <f t="shared" ca="1" si="15"/>
        <v>0.12617869409203863</v>
      </c>
      <c r="P30" s="211">
        <f t="shared" ca="1" si="15"/>
        <v>0.12004486547598403</v>
      </c>
      <c r="Q30" s="211">
        <f t="shared" ca="1" si="15"/>
        <v>0.10950800325862153</v>
      </c>
      <c r="R30" s="211">
        <f t="shared" ca="1" si="15"/>
        <v>0.10188318141207886</v>
      </c>
      <c r="S30" s="211">
        <f t="shared" ca="1" si="15"/>
        <v>9.5229536340125209E-2</v>
      </c>
      <c r="T30" s="211">
        <f t="shared" ca="1" si="15"/>
        <v>8.9357903967946184E-2</v>
      </c>
      <c r="U30" s="211">
        <f t="shared" ca="1" si="15"/>
        <v>8.4049074767301724E-2</v>
      </c>
      <c r="V30" s="67"/>
      <c r="W30" s="54"/>
      <c r="X30" s="54"/>
    </row>
    <row r="31" spans="1:25" s="18" customFormat="1" ht="11.25" customHeight="1">
      <c r="B31" s="36" t="s">
        <v>17</v>
      </c>
      <c r="D31" s="120">
        <f>IFERROR(D29/D12,"n/a")</f>
        <v>0.37191797540186483</v>
      </c>
      <c r="E31" s="120">
        <f t="shared" ref="E31:U31" si="16">IFERROR(E29/E12,"n/a")</f>
        <v>0.34832384748469969</v>
      </c>
      <c r="F31" s="120">
        <f t="shared" si="16"/>
        <v>0.42320834418118808</v>
      </c>
      <c r="G31" s="120">
        <f t="shared" si="16"/>
        <v>0.40945878793511753</v>
      </c>
      <c r="H31" s="120">
        <f t="shared" si="16"/>
        <v>0.49528848666996861</v>
      </c>
      <c r="I31" s="120">
        <f t="shared" si="16"/>
        <v>0.42626204124833</v>
      </c>
      <c r="J31" s="120">
        <f t="shared" ca="1" si="16"/>
        <v>0.45216076352949341</v>
      </c>
      <c r="K31" s="120">
        <f t="shared" ca="1" si="16"/>
        <v>0.47999999999999987</v>
      </c>
      <c r="L31" s="120">
        <f t="shared" ca="1" si="16"/>
        <v>0.48499999999999999</v>
      </c>
      <c r="M31" s="120">
        <f t="shared" ca="1" si="16"/>
        <v>0.49</v>
      </c>
      <c r="N31" s="120">
        <f t="shared" ca="1" si="16"/>
        <v>0.49499999999999994</v>
      </c>
      <c r="O31" s="120">
        <f t="shared" ca="1" si="16"/>
        <v>0.5</v>
      </c>
      <c r="P31" s="120">
        <f t="shared" ca="1" si="16"/>
        <v>0.505</v>
      </c>
      <c r="Q31" s="120">
        <f t="shared" ca="1" si="16"/>
        <v>0.51</v>
      </c>
      <c r="R31" s="120">
        <f t="shared" ca="1" si="16"/>
        <v>0.51500000000000001</v>
      </c>
      <c r="S31" s="120">
        <f t="shared" ca="1" si="16"/>
        <v>0.52</v>
      </c>
      <c r="T31" s="120">
        <f t="shared" ca="1" si="16"/>
        <v>0.52500000000000002</v>
      </c>
      <c r="U31" s="120">
        <f t="shared" ca="1" si="16"/>
        <v>0.53</v>
      </c>
      <c r="V31" s="67"/>
      <c r="W31" s="54"/>
      <c r="Y31" s="118" t="str">
        <f ca="1">TEXT(MIN(K31:U31),"#%")&amp;"-"&amp;TEXT(MAX(K31:U31),"#%")</f>
        <v>48%-53%</v>
      </c>
    </row>
    <row r="32" spans="1:25" s="18" customFormat="1" ht="11.25" customHeight="1">
      <c r="B32" s="187" t="s">
        <v>295</v>
      </c>
      <c r="D32" s="120"/>
      <c r="E32" s="120">
        <f>IF(E12&gt;D12,(E29-D29)/(E12-D12),"n/a")</f>
        <v>-0.28360354987502001</v>
      </c>
      <c r="F32" s="120">
        <f t="shared" ref="F32:U32" si="17">IF(F12&gt;E12,(F29-E29)/(F12-E12),"n/a")</f>
        <v>0.72077402656461875</v>
      </c>
      <c r="G32" s="120">
        <f t="shared" si="17"/>
        <v>0.33525608571939225</v>
      </c>
      <c r="H32" s="120">
        <f t="shared" si="17"/>
        <v>0.696695932069338</v>
      </c>
      <c r="I32" s="120" t="str">
        <f t="shared" si="17"/>
        <v>n/a</v>
      </c>
      <c r="J32" s="120">
        <f t="shared" ca="1" si="17"/>
        <v>0.52935604399350034</v>
      </c>
      <c r="K32" s="120">
        <f t="shared" ca="1" si="17"/>
        <v>0.60649689386308769</v>
      </c>
      <c r="L32" s="120">
        <f t="shared" ca="1" si="17"/>
        <v>0.51706664751256515</v>
      </c>
      <c r="M32" s="120">
        <f t="shared" ca="1" si="17"/>
        <v>0.523808680101013</v>
      </c>
      <c r="N32" s="120">
        <f t="shared" ca="1" si="17"/>
        <v>0.53490919421067251</v>
      </c>
      <c r="O32" s="120">
        <f t="shared" ca="1" si="17"/>
        <v>0.54350969865056442</v>
      </c>
      <c r="P32" s="120">
        <f t="shared" ca="1" si="17"/>
        <v>0.55089037369582794</v>
      </c>
      <c r="Q32" s="120">
        <f t="shared" ca="1" si="17"/>
        <v>0.5606942713200691</v>
      </c>
      <c r="R32" s="120">
        <f t="shared" ca="1" si="17"/>
        <v>0.56983340783176639</v>
      </c>
      <c r="S32" s="120">
        <f t="shared" ca="1" si="17"/>
        <v>0.57903293443564363</v>
      </c>
      <c r="T32" s="120">
        <f t="shared" ca="1" si="17"/>
        <v>0.58830470825430092</v>
      </c>
      <c r="U32" s="120">
        <f t="shared" ca="1" si="17"/>
        <v>0.59773030637498981</v>
      </c>
      <c r="W32" s="118">
        <f ca="1">(J29-D29)/(J12-D12)</f>
        <v>0.49676737755405509</v>
      </c>
      <c r="X32" s="118">
        <f ca="1">(U29-J29)/(U12-J12)</f>
        <v>0.56252158891595916</v>
      </c>
    </row>
    <row r="33" spans="1:24" s="18" customFormat="1" ht="11.25" customHeight="1">
      <c r="B33" s="36" t="s">
        <v>444</v>
      </c>
      <c r="D33" s="120">
        <f>D25/D12</f>
        <v>0.11076386711482125</v>
      </c>
      <c r="E33" s="120">
        <f t="shared" ref="E33:J33" si="18">E25/E12</f>
        <v>0.11215199255681836</v>
      </c>
      <c r="F33" s="120">
        <f t="shared" si="18"/>
        <v>0.10778083365048297</v>
      </c>
      <c r="G33" s="120">
        <f t="shared" si="18"/>
        <v>0.10681264574665868</v>
      </c>
      <c r="H33" s="120">
        <f t="shared" si="18"/>
        <v>0.10030340273069967</v>
      </c>
      <c r="I33" s="120">
        <f t="shared" si="18"/>
        <v>0.11733393901938072</v>
      </c>
      <c r="J33" s="120">
        <f t="shared" ca="1" si="18"/>
        <v>0.1060118255074063</v>
      </c>
      <c r="K33" s="142">
        <f ca="1">J33</f>
        <v>0.1060118255074063</v>
      </c>
      <c r="L33" s="142">
        <f t="shared" ref="L33:T33" ca="1" si="19">K33+(($U33-$K33)/COUNTA($L33:$U33))</f>
        <v>0.10441064295666568</v>
      </c>
      <c r="M33" s="142">
        <f t="shared" ca="1" si="19"/>
        <v>0.10280946040592505</v>
      </c>
      <c r="N33" s="142">
        <f t="shared" ca="1" si="19"/>
        <v>0.10120827785518442</v>
      </c>
      <c r="O33" s="142">
        <f t="shared" ca="1" si="19"/>
        <v>9.9607095304443796E-2</v>
      </c>
      <c r="P33" s="142">
        <f t="shared" ca="1" si="19"/>
        <v>9.800591275370317E-2</v>
      </c>
      <c r="Q33" s="142">
        <f t="shared" ca="1" si="19"/>
        <v>9.6404730202962544E-2</v>
      </c>
      <c r="R33" s="142">
        <f t="shared" ca="1" si="19"/>
        <v>9.4803547652221917E-2</v>
      </c>
      <c r="S33" s="142">
        <f t="shared" ca="1" si="19"/>
        <v>9.3202365101481291E-2</v>
      </c>
      <c r="T33" s="142">
        <f t="shared" ca="1" si="19"/>
        <v>9.1601182550740665E-2</v>
      </c>
      <c r="U33" s="233">
        <v>0.09</v>
      </c>
      <c r="W33" s="118"/>
      <c r="X33" s="118"/>
    </row>
    <row r="34" spans="1:24" s="18" customFormat="1" ht="11.25" customHeight="1">
      <c r="A34" s="18" t="s">
        <v>296</v>
      </c>
      <c r="B34" s="36" t="s">
        <v>64</v>
      </c>
      <c r="E34" s="67"/>
      <c r="F34" s="67"/>
      <c r="G34" s="67"/>
      <c r="H34" s="67"/>
      <c r="I34" s="144"/>
      <c r="J34" s="144">
        <f>_xll.VAData($A$2,J$1,$A34, "vaactuals.consensus", "CD", "IMPL","","")/1000</f>
        <v>1322.05305</v>
      </c>
      <c r="K34" s="144">
        <f>_xll.VAData($A$2,K$1,$A34, "vaactuals.consensus", "CD", "IMPL","","")/1000</f>
        <v>1755.7221274762885</v>
      </c>
      <c r="L34" s="144">
        <f>_xll.VAData($A$2,L$1,$A34, "vaactuals.consensus", "CD", "IMPL","","")/1000</f>
        <v>2007.8591717601887</v>
      </c>
      <c r="M34" s="144"/>
      <c r="N34" s="144"/>
      <c r="O34" s="136"/>
      <c r="P34" s="136"/>
      <c r="Q34" s="136"/>
      <c r="R34" s="136"/>
      <c r="S34" s="136"/>
      <c r="T34" s="142"/>
      <c r="U34" s="142"/>
      <c r="W34" s="143"/>
      <c r="X34" s="143"/>
    </row>
    <row r="35" spans="1:24" ht="11.25" customHeight="1">
      <c r="B35" s="12"/>
      <c r="D35" s="47"/>
      <c r="E35" s="47"/>
      <c r="J35" s="179"/>
      <c r="K35" s="47"/>
      <c r="L35" s="47"/>
      <c r="M35" s="47"/>
      <c r="N35" s="47"/>
      <c r="O35" s="47"/>
      <c r="P35" s="47"/>
      <c r="Q35" s="47"/>
      <c r="R35" s="47"/>
      <c r="S35" s="47"/>
      <c r="T35" s="47"/>
      <c r="U35" s="47"/>
      <c r="V35" s="47"/>
    </row>
    <row r="36" spans="1:24" ht="11.25" customHeight="1">
      <c r="B36" s="13" t="s">
        <v>297</v>
      </c>
      <c r="D36" s="49">
        <f>(-'Historical Financials'!AX56/1000)*1000</f>
        <v>-11.643000000000001</v>
      </c>
      <c r="E36" s="49">
        <f>(-'Historical Financials'!AY56/1000)*1000</f>
        <v>-12.939</v>
      </c>
      <c r="F36" s="49">
        <f>(-'Historical Financials'!AZ56/1000)*1000</f>
        <v>-6.9370000000000003</v>
      </c>
      <c r="G36" s="49">
        <f>(-'Historical Financials'!BA56/1000)*1000</f>
        <v>-0.29399999999999998</v>
      </c>
      <c r="H36" s="49">
        <f>(-'Historical Financials'!BB56/1000)*1000</f>
        <v>-10.672000000000001</v>
      </c>
      <c r="I36" s="49">
        <f>(-'Historical Financials'!BC56/1000)*1000</f>
        <v>-48.293999999999997</v>
      </c>
      <c r="J36" s="49">
        <f>(-'Historical Financials'!BD56/1000)*1000</f>
        <v>-77.548677962169123</v>
      </c>
      <c r="K36" s="69">
        <f t="shared" ref="K36:U36" ca="1" si="20">IFERROR(MAX(0,(AVERAGE(J84:K84)*K37)),"n/a")</f>
        <v>0</v>
      </c>
      <c r="L36" s="69">
        <f t="shared" ca="1" si="20"/>
        <v>0</v>
      </c>
      <c r="M36" s="69">
        <f t="shared" ca="1" si="20"/>
        <v>0</v>
      </c>
      <c r="N36" s="69">
        <f t="shared" ca="1" si="20"/>
        <v>0</v>
      </c>
      <c r="O36" s="69">
        <f t="shared" ca="1" si="20"/>
        <v>0</v>
      </c>
      <c r="P36" s="69">
        <f t="shared" ca="1" si="20"/>
        <v>0</v>
      </c>
      <c r="Q36" s="69">
        <f t="shared" ca="1" si="20"/>
        <v>0</v>
      </c>
      <c r="R36" s="69">
        <f t="shared" ca="1" si="20"/>
        <v>0</v>
      </c>
      <c r="S36" s="69">
        <f t="shared" ca="1" si="20"/>
        <v>0</v>
      </c>
      <c r="T36" s="69">
        <f t="shared" ca="1" si="20"/>
        <v>0</v>
      </c>
      <c r="U36" s="69">
        <f t="shared" ca="1" si="20"/>
        <v>0</v>
      </c>
      <c r="V36" s="47"/>
    </row>
    <row r="37" spans="1:24" ht="11.25" customHeight="1">
      <c r="B37" s="9" t="s">
        <v>299</v>
      </c>
      <c r="D37" s="109"/>
      <c r="E37" s="163">
        <f t="shared" ref="E37:J37" si="21">E36/(AVERAGE(D84:E84))</f>
        <v>2.8047380759613855E-2</v>
      </c>
      <c r="F37" s="163">
        <f t="shared" si="21"/>
        <v>1.6241356341726378E-2</v>
      </c>
      <c r="G37" s="163">
        <f t="shared" si="21"/>
        <v>6.4964551230846227E-4</v>
      </c>
      <c r="H37" s="163">
        <f t="shared" si="21"/>
        <v>1.8293832688226604E-2</v>
      </c>
      <c r="I37" s="163">
        <f t="shared" si="21"/>
        <v>6.560401225847115E-2</v>
      </c>
      <c r="J37" s="163">
        <f t="shared" ca="1" si="21"/>
        <v>7.2805733689611574E-2</v>
      </c>
      <c r="K37" s="164">
        <v>0.06</v>
      </c>
      <c r="L37" s="164">
        <f>K37</f>
        <v>0.06</v>
      </c>
      <c r="M37" s="164">
        <f t="shared" ref="M37:U37" si="22">L37</f>
        <v>0.06</v>
      </c>
      <c r="N37" s="164">
        <f t="shared" si="22"/>
        <v>0.06</v>
      </c>
      <c r="O37" s="164">
        <f t="shared" si="22"/>
        <v>0.06</v>
      </c>
      <c r="P37" s="164">
        <f t="shared" si="22"/>
        <v>0.06</v>
      </c>
      <c r="Q37" s="164">
        <f t="shared" si="22"/>
        <v>0.06</v>
      </c>
      <c r="R37" s="164">
        <f t="shared" si="22"/>
        <v>0.06</v>
      </c>
      <c r="S37" s="164">
        <f t="shared" si="22"/>
        <v>0.06</v>
      </c>
      <c r="T37" s="164">
        <f t="shared" si="22"/>
        <v>0.06</v>
      </c>
      <c r="U37" s="164">
        <f t="shared" si="22"/>
        <v>0.06</v>
      </c>
      <c r="V37" s="47"/>
    </row>
    <row r="38" spans="1:24" ht="11.25" customHeight="1">
      <c r="B38" s="9"/>
      <c r="D38" s="109"/>
      <c r="E38" s="109"/>
      <c r="F38" s="109"/>
      <c r="G38" s="109"/>
      <c r="H38" s="109"/>
      <c r="I38" s="109"/>
      <c r="J38" s="180"/>
      <c r="K38" s="93"/>
      <c r="L38" s="93"/>
      <c r="M38" s="93"/>
      <c r="N38" s="93"/>
      <c r="O38" s="93"/>
      <c r="P38" s="93"/>
      <c r="Q38" s="93"/>
      <c r="R38" s="93"/>
      <c r="S38" s="93"/>
      <c r="T38" s="93"/>
      <c r="U38" s="93"/>
      <c r="V38" s="47"/>
    </row>
    <row r="39" spans="1:24" ht="11.25" customHeight="1">
      <c r="B39" s="13" t="s">
        <v>298</v>
      </c>
      <c r="D39" s="49">
        <f>(-('Historical Financials'!AX55+'Historical Financials'!AX57)/1000)*1000</f>
        <v>-2.2429999999999999</v>
      </c>
      <c r="E39" s="49">
        <f>(-('Historical Financials'!AY55+'Historical Financials'!AY57)/1000)*1000</f>
        <v>-4.2050000000000001</v>
      </c>
      <c r="F39" s="49">
        <f>(-('Historical Financials'!AZ55+'Historical Financials'!AZ57)/1000)*1000</f>
        <v>-11.056000000000001</v>
      </c>
      <c r="G39" s="49">
        <f>(-('Historical Financials'!BA55+'Historical Financials'!BA57)/1000)*1000</f>
        <v>-12.850999999999999</v>
      </c>
      <c r="H39" s="49">
        <f>(-('Historical Financials'!BB55+'Historical Financials'!BB57)/1000)*1000</f>
        <v>-12.24</v>
      </c>
      <c r="I39" s="49">
        <f>(-('Historical Financials'!BC55+'Historical Financials'!BC57)/1000)*1000</f>
        <v>-9.4110000000000014</v>
      </c>
      <c r="J39" s="49">
        <f ca="1">(-('Historical Financials'!BD55+'Historical Financials'!BD57)/1000)*1000</f>
        <v>-7.5028913011865228</v>
      </c>
      <c r="K39" s="69">
        <f t="shared" ref="K39:U39" ca="1" si="23">K40*K12</f>
        <v>0</v>
      </c>
      <c r="L39" s="69">
        <f t="shared" ca="1" si="23"/>
        <v>0</v>
      </c>
      <c r="M39" s="69">
        <f t="shared" ca="1" si="23"/>
        <v>0</v>
      </c>
      <c r="N39" s="69">
        <f t="shared" ca="1" si="23"/>
        <v>0</v>
      </c>
      <c r="O39" s="69">
        <f t="shared" ca="1" si="23"/>
        <v>0</v>
      </c>
      <c r="P39" s="69">
        <f t="shared" ca="1" si="23"/>
        <v>0</v>
      </c>
      <c r="Q39" s="69">
        <f t="shared" ca="1" si="23"/>
        <v>0</v>
      </c>
      <c r="R39" s="69">
        <f t="shared" ca="1" si="23"/>
        <v>0</v>
      </c>
      <c r="S39" s="69">
        <f t="shared" ca="1" si="23"/>
        <v>0</v>
      </c>
      <c r="T39" s="69">
        <f t="shared" ca="1" si="23"/>
        <v>0</v>
      </c>
      <c r="U39" s="69">
        <f t="shared" ca="1" si="23"/>
        <v>0</v>
      </c>
      <c r="V39" s="47"/>
    </row>
    <row r="40" spans="1:24" ht="11.25" customHeight="1">
      <c r="B40" s="9" t="s">
        <v>259</v>
      </c>
      <c r="D40" s="163">
        <f t="shared" ref="D40:J40" si="24">D39/D12</f>
        <v>-2.1745588966174535E-3</v>
      </c>
      <c r="E40" s="163">
        <f t="shared" si="24"/>
        <v>-3.9299599895119318E-3</v>
      </c>
      <c r="F40" s="163">
        <f t="shared" si="24"/>
        <v>-8.2553371540585799E-3</v>
      </c>
      <c r="G40" s="163">
        <f t="shared" si="24"/>
        <v>-8.095551384146301E-3</v>
      </c>
      <c r="H40" s="163">
        <f t="shared" si="24"/>
        <v>-5.4066200277605907E-3</v>
      </c>
      <c r="I40" s="163">
        <f t="shared" si="24"/>
        <v>-4.3534455641206895E-3</v>
      </c>
      <c r="J40" s="163">
        <f t="shared" ca="1" si="24"/>
        <v>-2.5988627661864823E-3</v>
      </c>
      <c r="K40" s="316">
        <v>0</v>
      </c>
      <c r="L40" s="316">
        <f>K40</f>
        <v>0</v>
      </c>
      <c r="M40" s="316">
        <f t="shared" ref="M40:U40" si="25">L40</f>
        <v>0</v>
      </c>
      <c r="N40" s="316">
        <f t="shared" si="25"/>
        <v>0</v>
      </c>
      <c r="O40" s="316">
        <f t="shared" si="25"/>
        <v>0</v>
      </c>
      <c r="P40" s="316">
        <f t="shared" si="25"/>
        <v>0</v>
      </c>
      <c r="Q40" s="316">
        <f t="shared" si="25"/>
        <v>0</v>
      </c>
      <c r="R40" s="316">
        <f t="shared" si="25"/>
        <v>0</v>
      </c>
      <c r="S40" s="316">
        <f t="shared" si="25"/>
        <v>0</v>
      </c>
      <c r="T40" s="316">
        <f t="shared" si="25"/>
        <v>0</v>
      </c>
      <c r="U40" s="316">
        <f t="shared" si="25"/>
        <v>0</v>
      </c>
      <c r="V40" s="47"/>
    </row>
    <row r="41" spans="1:24" ht="11.25" customHeight="1">
      <c r="B41" s="9"/>
      <c r="D41" s="109"/>
      <c r="E41" s="109"/>
      <c r="F41" s="109"/>
      <c r="G41" s="109"/>
      <c r="H41" s="109"/>
      <c r="I41" s="109"/>
      <c r="J41" s="180"/>
      <c r="K41" s="93"/>
      <c r="L41" s="93"/>
      <c r="M41" s="93"/>
      <c r="N41" s="93"/>
      <c r="O41" s="93"/>
      <c r="P41" s="93"/>
      <c r="Q41" s="93"/>
      <c r="R41" s="93"/>
      <c r="S41" s="93"/>
      <c r="T41" s="93"/>
      <c r="U41" s="93"/>
      <c r="V41" s="47"/>
    </row>
    <row r="42" spans="1:24" ht="11.25" customHeight="1">
      <c r="B42" s="13" t="s">
        <v>254</v>
      </c>
      <c r="D42" s="49">
        <f>('Historical Financials'!AX59/1000)*1000</f>
        <v>59.626433550000002</v>
      </c>
      <c r="E42" s="49">
        <f>('Historical Financials'!AY59/1000)*1000</f>
        <v>58.476817200000021</v>
      </c>
      <c r="F42" s="49">
        <f>('Historical Financials'!AZ59/1000)*1000</f>
        <v>87.716521650000033</v>
      </c>
      <c r="G42" s="49">
        <f>('Historical Financials'!BA59/1000)*1000</f>
        <v>99.468905550000002</v>
      </c>
      <c r="H42" s="49">
        <f>('Historical Financials'!BB59/1000)*1000</f>
        <v>171.62869380000004</v>
      </c>
      <c r="I42" s="49">
        <f>('Historical Financials'!BC59/1000)*1000</f>
        <v>146.87564999999998</v>
      </c>
      <c r="J42" s="49">
        <f ca="1">('Historical Financials'!BD59/1000)*1000</f>
        <v>208.56528842171258</v>
      </c>
      <c r="K42" s="53">
        <f ca="1">(K29-K36-K39)*K43</f>
        <v>253.60951848465331</v>
      </c>
      <c r="L42" s="53">
        <f t="shared" ref="L42:U42" ca="1" si="26">(L29-L36-L39)*L43</f>
        <v>296.20732962964001</v>
      </c>
      <c r="M42" s="53">
        <f t="shared" ca="1" si="26"/>
        <v>343.51902832668736</v>
      </c>
      <c r="N42" s="53">
        <f t="shared" ca="1" si="26"/>
        <v>390.50106359105143</v>
      </c>
      <c r="O42" s="53">
        <f t="shared" ca="1" si="26"/>
        <v>439.77397783652242</v>
      </c>
      <c r="P42" s="53">
        <f t="shared" ca="1" si="26"/>
        <v>492.56658584574615</v>
      </c>
      <c r="Q42" s="53">
        <f t="shared" ca="1" si="26"/>
        <v>546.50656913363025</v>
      </c>
      <c r="R42" s="53">
        <f t="shared" ca="1" si="26"/>
        <v>602.18639705956468</v>
      </c>
      <c r="S42" s="53">
        <f t="shared" ca="1" si="26"/>
        <v>659.53232844187744</v>
      </c>
      <c r="T42" s="53">
        <f t="shared" ca="1" si="26"/>
        <v>718.46675491054282</v>
      </c>
      <c r="U42" s="53">
        <f t="shared" ca="1" si="26"/>
        <v>778.85322091183968</v>
      </c>
      <c r="V42" s="47"/>
    </row>
    <row r="43" spans="1:24" ht="11.25" customHeight="1">
      <c r="B43" s="9" t="s">
        <v>300</v>
      </c>
      <c r="D43" s="211">
        <f t="shared" ref="D43:J43" si="27">D42/(D29-D36-D39)</f>
        <v>0.15</v>
      </c>
      <c r="E43" s="211">
        <f t="shared" si="27"/>
        <v>0.15</v>
      </c>
      <c r="F43" s="211">
        <f t="shared" si="27"/>
        <v>0.15000000000000005</v>
      </c>
      <c r="G43" s="211">
        <f t="shared" si="27"/>
        <v>0.15000000000000008</v>
      </c>
      <c r="H43" s="211">
        <f t="shared" si="27"/>
        <v>0.15</v>
      </c>
      <c r="I43" s="211">
        <f t="shared" si="27"/>
        <v>0.15</v>
      </c>
      <c r="J43" s="211">
        <f t="shared" ca="1" si="27"/>
        <v>0.14999999999999991</v>
      </c>
      <c r="K43" s="142">
        <f t="shared" ref="K43:U43" ca="1" si="28">J43</f>
        <v>0.14999999999999991</v>
      </c>
      <c r="L43" s="142">
        <f t="shared" ca="1" si="28"/>
        <v>0.14999999999999991</v>
      </c>
      <c r="M43" s="142">
        <f t="shared" ca="1" si="28"/>
        <v>0.14999999999999991</v>
      </c>
      <c r="N43" s="142">
        <f t="shared" ca="1" si="28"/>
        <v>0.14999999999999991</v>
      </c>
      <c r="O43" s="142">
        <f t="shared" ca="1" si="28"/>
        <v>0.14999999999999991</v>
      </c>
      <c r="P43" s="142">
        <f t="shared" ca="1" si="28"/>
        <v>0.14999999999999991</v>
      </c>
      <c r="Q43" s="142">
        <f t="shared" ca="1" si="28"/>
        <v>0.14999999999999991</v>
      </c>
      <c r="R43" s="142">
        <f t="shared" ca="1" si="28"/>
        <v>0.14999999999999991</v>
      </c>
      <c r="S43" s="142">
        <f t="shared" ca="1" si="28"/>
        <v>0.14999999999999991</v>
      </c>
      <c r="T43" s="142">
        <f t="shared" ca="1" si="28"/>
        <v>0.14999999999999991</v>
      </c>
      <c r="U43" s="142">
        <f t="shared" ca="1" si="28"/>
        <v>0.14999999999999991</v>
      </c>
      <c r="V43" s="47"/>
    </row>
    <row r="44" spans="1:24" s="18" customFormat="1" ht="11.25" customHeight="1">
      <c r="B44" s="35"/>
      <c r="E44" s="67"/>
      <c r="F44" s="67"/>
      <c r="G44" s="67"/>
      <c r="H44" s="67"/>
      <c r="I44" s="144"/>
      <c r="J44" s="144"/>
      <c r="K44" s="142"/>
      <c r="L44" s="136"/>
      <c r="M44" s="136"/>
      <c r="N44" s="136"/>
      <c r="O44" s="136"/>
      <c r="P44" s="136"/>
      <c r="Q44" s="136"/>
      <c r="R44" s="136"/>
      <c r="S44" s="136"/>
      <c r="T44" s="142"/>
      <c r="U44" s="142"/>
      <c r="W44" s="143"/>
      <c r="X44" s="143"/>
    </row>
    <row r="45" spans="1:24" ht="11.25" customHeight="1">
      <c r="B45" s="128" t="s">
        <v>301</v>
      </c>
      <c r="C45" s="5"/>
      <c r="D45" s="92">
        <f>D29-D36-D39-D42</f>
        <v>337.88312345000003</v>
      </c>
      <c r="E45" s="92">
        <f t="shared" ref="E45:U45" si="29">E29-E36-E39-E42</f>
        <v>331.36863080000012</v>
      </c>
      <c r="F45" s="92">
        <f t="shared" si="29"/>
        <v>497.06028935000006</v>
      </c>
      <c r="G45" s="92">
        <f t="shared" si="29"/>
        <v>563.65713144999961</v>
      </c>
      <c r="H45" s="92">
        <f t="shared" si="29"/>
        <v>972.56259820000014</v>
      </c>
      <c r="I45" s="92">
        <f t="shared" si="29"/>
        <v>832.29534999999987</v>
      </c>
      <c r="J45" s="92">
        <f t="shared" ca="1" si="29"/>
        <v>1181.8699677230388</v>
      </c>
      <c r="K45" s="92">
        <f t="shared" ca="1" si="29"/>
        <v>1437.1206047463697</v>
      </c>
      <c r="L45" s="92">
        <f t="shared" ca="1" si="29"/>
        <v>1678.5082012346279</v>
      </c>
      <c r="M45" s="92">
        <f t="shared" ca="1" si="29"/>
        <v>1946.6078271845631</v>
      </c>
      <c r="N45" s="92">
        <f t="shared" ca="1" si="29"/>
        <v>2212.8393603492932</v>
      </c>
      <c r="O45" s="92">
        <f t="shared" ca="1" si="29"/>
        <v>2492.0525410736286</v>
      </c>
      <c r="P45" s="92">
        <f t="shared" ca="1" si="29"/>
        <v>2791.2106531258969</v>
      </c>
      <c r="Q45" s="92">
        <f t="shared" ca="1" si="29"/>
        <v>3096.8705584239065</v>
      </c>
      <c r="R45" s="92">
        <f t="shared" ca="1" si="29"/>
        <v>3412.3895833375354</v>
      </c>
      <c r="S45" s="92">
        <f t="shared" ca="1" si="29"/>
        <v>3737.3498611706418</v>
      </c>
      <c r="T45" s="92">
        <f t="shared" ca="1" si="29"/>
        <v>4071.3116111597451</v>
      </c>
      <c r="U45" s="92">
        <f t="shared" ca="1" si="29"/>
        <v>4413.5015851670951</v>
      </c>
      <c r="V45" s="181"/>
    </row>
    <row r="46" spans="1:24" ht="11.25" customHeight="1">
      <c r="B46" s="9" t="s">
        <v>249</v>
      </c>
      <c r="D46" s="47"/>
      <c r="E46" s="211">
        <f>IF(AND(E45&gt;0,D45&gt;0),E45/D45-1,"n/m")</f>
        <v>-1.9280313806392058E-2</v>
      </c>
      <c r="F46" s="211">
        <f t="shared" ref="F46:U46" si="30">IF(AND(F45&gt;0,E45&gt;0),F45/E45-1,"n/m")</f>
        <v>0.50002216006380018</v>
      </c>
      <c r="G46" s="211">
        <f t="shared" si="30"/>
        <v>0.13398141739926039</v>
      </c>
      <c r="H46" s="211">
        <f t="shared" si="30"/>
        <v>0.72545071096341363</v>
      </c>
      <c r="I46" s="211">
        <f t="shared" si="30"/>
        <v>-0.14422439075860427</v>
      </c>
      <c r="J46" s="211">
        <f t="shared" ca="1" si="30"/>
        <v>0.42001270068736907</v>
      </c>
      <c r="K46" s="211">
        <f t="shared" ca="1" si="30"/>
        <v>0.21597184461425178</v>
      </c>
      <c r="L46" s="211">
        <f t="shared" ca="1" si="30"/>
        <v>0.16796613707369357</v>
      </c>
      <c r="M46" s="211">
        <f t="shared" ca="1" si="30"/>
        <v>0.15972494251308067</v>
      </c>
      <c r="N46" s="211">
        <f t="shared" ca="1" si="30"/>
        <v>0.13676690776990696</v>
      </c>
      <c r="O46" s="211">
        <f t="shared" ca="1" si="30"/>
        <v>0.12617869409203841</v>
      </c>
      <c r="P46" s="211">
        <f t="shared" ca="1" si="30"/>
        <v>0.12004486547598425</v>
      </c>
      <c r="Q46" s="211">
        <f t="shared" ca="1" si="30"/>
        <v>0.10950800325862153</v>
      </c>
      <c r="R46" s="211">
        <f t="shared" ca="1" si="30"/>
        <v>0.10188318141207886</v>
      </c>
      <c r="S46" s="211">
        <f t="shared" ca="1" si="30"/>
        <v>9.5229536340125209E-2</v>
      </c>
      <c r="T46" s="211">
        <f t="shared" ca="1" si="30"/>
        <v>8.9357903967946184E-2</v>
      </c>
      <c r="U46" s="211">
        <f t="shared" ca="1" si="30"/>
        <v>8.4049074767301946E-2</v>
      </c>
      <c r="V46" s="47"/>
      <c r="W46" s="114"/>
      <c r="X46" s="114"/>
    </row>
    <row r="47" spans="1:24" ht="11.25" customHeight="1">
      <c r="B47" s="41"/>
      <c r="D47" s="47"/>
      <c r="E47" s="127"/>
      <c r="F47" s="127"/>
      <c r="G47" s="127"/>
      <c r="H47" s="127"/>
      <c r="I47" s="127"/>
      <c r="J47" s="127"/>
      <c r="K47" s="141"/>
      <c r="L47" s="141"/>
      <c r="M47" s="141"/>
      <c r="N47" s="141"/>
      <c r="O47" s="141"/>
      <c r="P47" s="141"/>
      <c r="Q47" s="141"/>
      <c r="R47" s="141"/>
      <c r="S47" s="141"/>
      <c r="T47" s="141"/>
      <c r="U47" s="141"/>
      <c r="V47" s="47"/>
      <c r="W47" s="114"/>
      <c r="X47" s="114"/>
    </row>
    <row r="48" spans="1:24" ht="11.25" customHeight="1">
      <c r="B48" s="161" t="s">
        <v>21</v>
      </c>
      <c r="D48" s="47"/>
      <c r="E48" s="127"/>
      <c r="F48" s="127"/>
      <c r="G48" s="127"/>
      <c r="H48" s="127"/>
      <c r="I48" s="127"/>
      <c r="J48" s="127"/>
      <c r="K48" s="141"/>
      <c r="L48" s="141"/>
      <c r="M48" s="141"/>
      <c r="N48" s="141"/>
      <c r="O48" s="141"/>
      <c r="P48" s="141"/>
      <c r="Q48" s="141"/>
      <c r="R48" s="141"/>
      <c r="S48" s="141"/>
      <c r="T48" s="141"/>
      <c r="U48" s="141"/>
      <c r="V48" s="47"/>
      <c r="W48" s="114"/>
      <c r="X48" s="114"/>
    </row>
    <row r="49" spans="1:25" ht="11.25" customHeight="1">
      <c r="B49" s="13" t="s">
        <v>101</v>
      </c>
      <c r="D49" s="19">
        <f t="shared" ref="D49:U49" si="31">D29</f>
        <v>383.62355700000001</v>
      </c>
      <c r="E49" s="19">
        <f t="shared" si="31"/>
        <v>372.70144800000014</v>
      </c>
      <c r="F49" s="19">
        <f t="shared" si="31"/>
        <v>566.78381100000001</v>
      </c>
      <c r="G49" s="19">
        <f t="shared" si="31"/>
        <v>649.98103699999967</v>
      </c>
      <c r="H49" s="19">
        <f t="shared" si="31"/>
        <v>1121.2792920000002</v>
      </c>
      <c r="I49" s="19">
        <f t="shared" si="31"/>
        <v>921.46599999999989</v>
      </c>
      <c r="J49" s="19">
        <f t="shared" ca="1" si="31"/>
        <v>1305.3836868813955</v>
      </c>
      <c r="K49" s="19">
        <f t="shared" ca="1" si="31"/>
        <v>1690.7301232310231</v>
      </c>
      <c r="L49" s="19">
        <f t="shared" ca="1" si="31"/>
        <v>1974.715530864268</v>
      </c>
      <c r="M49" s="19">
        <f t="shared" ca="1" si="31"/>
        <v>2290.1268555112506</v>
      </c>
      <c r="N49" s="19">
        <f t="shared" ca="1" si="31"/>
        <v>2603.3404239403444</v>
      </c>
      <c r="O49" s="19">
        <f t="shared" ca="1" si="31"/>
        <v>2931.8265189101512</v>
      </c>
      <c r="P49" s="19">
        <f t="shared" ca="1" si="31"/>
        <v>3283.7772389716429</v>
      </c>
      <c r="Q49" s="19">
        <f t="shared" ca="1" si="31"/>
        <v>3643.3771275575368</v>
      </c>
      <c r="R49" s="19">
        <f t="shared" ca="1" si="31"/>
        <v>4014.5759803971</v>
      </c>
      <c r="S49" s="19">
        <f t="shared" ca="1" si="31"/>
        <v>4396.8821896125191</v>
      </c>
      <c r="T49" s="19">
        <f t="shared" ca="1" si="31"/>
        <v>4789.778366070288</v>
      </c>
      <c r="U49" s="19">
        <f t="shared" ca="1" si="31"/>
        <v>5192.3548060789344</v>
      </c>
      <c r="V49" s="19"/>
    </row>
    <row r="50" spans="1:25" s="5" customFormat="1" ht="11.25" customHeight="1">
      <c r="B50" s="60"/>
      <c r="D50" s="44"/>
      <c r="E50" s="44"/>
      <c r="F50" s="44"/>
      <c r="G50" s="44"/>
      <c r="H50" s="44"/>
      <c r="I50" s="44"/>
      <c r="J50" s="44"/>
      <c r="K50" s="44"/>
      <c r="L50" s="44"/>
      <c r="M50" s="44"/>
      <c r="N50" s="44"/>
      <c r="O50" s="44"/>
      <c r="P50" s="44"/>
      <c r="Q50" s="44"/>
      <c r="R50" s="44"/>
      <c r="S50" s="44"/>
      <c r="T50" s="44"/>
      <c r="U50" s="44"/>
      <c r="V50" s="44"/>
    </row>
    <row r="51" spans="1:25" s="18" customFormat="1" ht="11.25" customHeight="1">
      <c r="B51" s="30" t="s">
        <v>72</v>
      </c>
      <c r="D51" s="57">
        <f>('Historical Financials'!AX70/1000)*1000</f>
        <v>292.54599999999999</v>
      </c>
      <c r="E51" s="57">
        <f>('Historical Financials'!AY70/1000)*1000</f>
        <v>286.88400000000001</v>
      </c>
      <c r="F51" s="57">
        <f>('Historical Financials'!AZ70/1000)*1000</f>
        <v>331.72500000000002</v>
      </c>
      <c r="G51" s="57">
        <f>('Historical Financials'!BA70/1000)*1000</f>
        <v>422.39499999999998</v>
      </c>
      <c r="H51" s="57">
        <f>('Historical Financials'!BB70/1000)*1000</f>
        <v>437.25400000000002</v>
      </c>
      <c r="I51" s="57">
        <f>('Historical Financials'!BC70/1000)*1000</f>
        <v>532.19100000000003</v>
      </c>
      <c r="J51" s="57">
        <f ca="1">('D&amp;A Build (C)'!R57/1000)*1000</f>
        <v>662.112547543255</v>
      </c>
      <c r="K51" s="57">
        <f ca="1">('D&amp;A Build (C)'!S57/1000)*1000</f>
        <v>817.71387160875383</v>
      </c>
      <c r="L51" s="57">
        <f ca="1">('D&amp;A Build (C)'!T57/1000)*1000</f>
        <v>908.48029362307921</v>
      </c>
      <c r="M51" s="57">
        <f ca="1">('D&amp;A Build (C)'!U57/1000)*1000</f>
        <v>1098.5123509015625</v>
      </c>
      <c r="N51" s="57">
        <f ca="1">('D&amp;A Build (C)'!V57/1000)*1000</f>
        <v>1321.5738861674922</v>
      </c>
      <c r="O51" s="57">
        <f ca="1">('D&amp;A Build (C)'!W57/1000)*1000</f>
        <v>1417.5302111343267</v>
      </c>
      <c r="P51" s="57">
        <f ca="1">('D&amp;A Build (C)'!X57/1000)*1000</f>
        <v>1610.2821585168138</v>
      </c>
      <c r="Q51" s="57">
        <f ca="1">('D&amp;A Build (C)'!Y57/1000)*1000</f>
        <v>1775.3524847833987</v>
      </c>
      <c r="R51" s="57">
        <f ca="1">('D&amp;A Build (C)'!Z57/1000)*1000</f>
        <v>1938.3451847759534</v>
      </c>
      <c r="S51" s="57">
        <f ca="1">('D&amp;A Build (C)'!AA57/1000)*1000</f>
        <v>2096.513828971048</v>
      </c>
      <c r="T51" s="57">
        <f ca="1">('D&amp;A Build (C)'!AB57/1000)*1000</f>
        <v>2251.0698525639255</v>
      </c>
      <c r="U51" s="57">
        <f ca="1">('D&amp;A Build (C)'!AC57/1000)*1000</f>
        <v>2401.0214306391922</v>
      </c>
      <c r="V51" s="67"/>
    </row>
    <row r="52" spans="1:25" ht="11.25" customHeight="1">
      <c r="B52" s="35" t="s">
        <v>249</v>
      </c>
      <c r="D52" s="274">
        <f>+'Historical Financials'!AX70/'Historical Financials'!AW70-1</f>
        <v>0.12455841594815165</v>
      </c>
      <c r="E52" s="211">
        <f>IF(AND(E51&gt;0,D51&gt;0),E51/D51-1,"n/m")</f>
        <v>-1.9354221216492329E-2</v>
      </c>
      <c r="F52" s="211">
        <f t="shared" ref="F52:U52" si="32">IF(AND(F51&gt;0,E51&gt;0),F51/E51-1,"n/m")</f>
        <v>0.15630359308988995</v>
      </c>
      <c r="G52" s="211">
        <f t="shared" si="32"/>
        <v>0.27332881151556254</v>
      </c>
      <c r="H52" s="211">
        <f t="shared" si="32"/>
        <v>3.5177973224114867E-2</v>
      </c>
      <c r="I52" s="211">
        <f t="shared" si="32"/>
        <v>0.21712094114633596</v>
      </c>
      <c r="J52" s="211">
        <f t="shared" ca="1" si="32"/>
        <v>0.24412578856699008</v>
      </c>
      <c r="K52" s="211">
        <f t="shared" ca="1" si="32"/>
        <v>0.23500736338988282</v>
      </c>
      <c r="L52" s="211">
        <f t="shared" ca="1" si="32"/>
        <v>0.11100022289673683</v>
      </c>
      <c r="M52" s="211">
        <f t="shared" ca="1" si="32"/>
        <v>0.20917576155738393</v>
      </c>
      <c r="N52" s="211">
        <f t="shared" ca="1" si="32"/>
        <v>0.20305783096827312</v>
      </c>
      <c r="O52" s="211">
        <f t="shared" ca="1" si="32"/>
        <v>7.2607612764734375E-2</v>
      </c>
      <c r="P52" s="211">
        <f t="shared" ca="1" si="32"/>
        <v>0.13597731171333871</v>
      </c>
      <c r="Q52" s="211">
        <f t="shared" ca="1" si="32"/>
        <v>0.10251018766712705</v>
      </c>
      <c r="R52" s="211">
        <f t="shared" ca="1" si="32"/>
        <v>9.1808641601918595E-2</v>
      </c>
      <c r="S52" s="211">
        <f t="shared" ca="1" si="32"/>
        <v>8.1599833423568802E-2</v>
      </c>
      <c r="T52" s="211">
        <f t="shared" ca="1" si="32"/>
        <v>7.3720488487658775E-2</v>
      </c>
      <c r="U52" s="211">
        <f t="shared" ca="1" si="32"/>
        <v>6.6613471769645383E-2</v>
      </c>
      <c r="V52" s="43"/>
    </row>
    <row r="53" spans="1:25" s="18" customFormat="1" ht="11.25" customHeight="1">
      <c r="B53" s="35" t="s">
        <v>259</v>
      </c>
      <c r="D53" s="120">
        <f t="shared" ref="D53:U53" si="33">D51/D12</f>
        <v>0.28361948594286646</v>
      </c>
      <c r="E53" s="120">
        <f t="shared" si="33"/>
        <v>0.26811953427613344</v>
      </c>
      <c r="F53" s="120">
        <f t="shared" si="33"/>
        <v>0.24769371539707691</v>
      </c>
      <c r="G53" s="120">
        <f t="shared" si="33"/>
        <v>0.2660898316789726</v>
      </c>
      <c r="H53" s="120">
        <f t="shared" si="33"/>
        <v>0.19314266614529652</v>
      </c>
      <c r="I53" s="120">
        <f t="shared" si="33"/>
        <v>0.24618686093028938</v>
      </c>
      <c r="J53" s="120">
        <f t="shared" ca="1" si="33"/>
        <v>0.22934353941165603</v>
      </c>
      <c r="K53" s="120">
        <f t="shared" ca="1" si="33"/>
        <v>0.23214979905966329</v>
      </c>
      <c r="L53" s="120">
        <f t="shared" ca="1" si="33"/>
        <v>0.22312729885420593</v>
      </c>
      <c r="M53" s="120">
        <f t="shared" ca="1" si="33"/>
        <v>0.23503984097928993</v>
      </c>
      <c r="N53" s="120">
        <f t="shared" ca="1" si="33"/>
        <v>0.25128449112420004</v>
      </c>
      <c r="O53" s="120">
        <f t="shared" ca="1" si="33"/>
        <v>0.2417486508821923</v>
      </c>
      <c r="P53" s="120">
        <f t="shared" ca="1" si="33"/>
        <v>0.24763935884568489</v>
      </c>
      <c r="Q53" s="120">
        <f t="shared" ca="1" si="33"/>
        <v>0.24851387477598821</v>
      </c>
      <c r="R53" s="120">
        <f t="shared" ca="1" si="33"/>
        <v>0.24865584187072101</v>
      </c>
      <c r="S53" s="120">
        <f t="shared" ca="1" si="33"/>
        <v>0.24794550866986481</v>
      </c>
      <c r="T53" s="120">
        <f t="shared" ca="1" si="33"/>
        <v>0.24673619158826821</v>
      </c>
      <c r="U53" s="120">
        <f t="shared" ca="1" si="33"/>
        <v>0.24507981556825581</v>
      </c>
      <c r="V53" s="67"/>
    </row>
    <row r="54" spans="1:25" s="18" customFormat="1" ht="11.25" customHeight="1">
      <c r="B54" s="30"/>
      <c r="D54" s="210"/>
      <c r="E54" s="210"/>
      <c r="F54" s="210"/>
      <c r="G54" s="210"/>
      <c r="H54" s="210"/>
      <c r="I54" s="210"/>
      <c r="J54" s="210"/>
      <c r="K54" s="21"/>
      <c r="L54" s="21"/>
      <c r="M54" s="21"/>
      <c r="N54" s="21"/>
      <c r="O54" s="21"/>
      <c r="P54" s="21"/>
      <c r="Q54" s="21"/>
      <c r="R54" s="21"/>
      <c r="S54" s="21"/>
      <c r="T54" s="21"/>
      <c r="U54" s="21"/>
      <c r="V54" s="67"/>
    </row>
    <row r="55" spans="1:25" s="5" customFormat="1" ht="11.25" customHeight="1">
      <c r="B55" s="48" t="s">
        <v>18</v>
      </c>
      <c r="D55" s="92">
        <f>D49+D51</f>
        <v>676.16955699999994</v>
      </c>
      <c r="E55" s="92">
        <f t="shared" ref="E55:U55" si="34">E49+E51</f>
        <v>659.58544800000016</v>
      </c>
      <c r="F55" s="92">
        <f t="shared" si="34"/>
        <v>898.50881100000004</v>
      </c>
      <c r="G55" s="92">
        <f t="shared" si="34"/>
        <v>1072.3760369999995</v>
      </c>
      <c r="H55" s="92">
        <f t="shared" si="34"/>
        <v>1558.5332920000001</v>
      </c>
      <c r="I55" s="92">
        <f t="shared" si="34"/>
        <v>1453.6569999999999</v>
      </c>
      <c r="J55" s="92">
        <f t="shared" ca="1" si="34"/>
        <v>1967.4962344246505</v>
      </c>
      <c r="K55" s="92">
        <f t="shared" ca="1" si="34"/>
        <v>2508.4439948397767</v>
      </c>
      <c r="L55" s="92">
        <f t="shared" ca="1" si="34"/>
        <v>2883.1958244873472</v>
      </c>
      <c r="M55" s="92">
        <f t="shared" ca="1" si="34"/>
        <v>3388.6392064128131</v>
      </c>
      <c r="N55" s="92">
        <f t="shared" ca="1" si="34"/>
        <v>3924.9143101078366</v>
      </c>
      <c r="O55" s="92">
        <f t="shared" ca="1" si="34"/>
        <v>4349.3567300444774</v>
      </c>
      <c r="P55" s="92">
        <f t="shared" ca="1" si="34"/>
        <v>4894.0593974884569</v>
      </c>
      <c r="Q55" s="92">
        <f t="shared" ca="1" si="34"/>
        <v>5418.729612340936</v>
      </c>
      <c r="R55" s="92">
        <f t="shared" ca="1" si="34"/>
        <v>5952.9211651730529</v>
      </c>
      <c r="S55" s="92">
        <f t="shared" ca="1" si="34"/>
        <v>6493.3960185835676</v>
      </c>
      <c r="T55" s="92">
        <f t="shared" ca="1" si="34"/>
        <v>7040.8482186342135</v>
      </c>
      <c r="U55" s="92">
        <f t="shared" ca="1" si="34"/>
        <v>7593.3762367181262</v>
      </c>
      <c r="V55" s="61"/>
      <c r="W55" s="275"/>
      <c r="X55" s="275"/>
    </row>
    <row r="56" spans="1:25" ht="11.25" customHeight="1">
      <c r="B56" s="9" t="s">
        <v>249</v>
      </c>
      <c r="D56" s="67"/>
      <c r="E56" s="211">
        <f>IF(AND(E55&gt;0,D55&gt;0),E55/D55-1,"n/m")</f>
        <v>-2.4526553773848492E-2</v>
      </c>
      <c r="F56" s="211">
        <f t="shared" ref="F56:U56" si="35">IF(AND(F55&gt;0,E55&gt;0),F55/E55-1,"n/m")</f>
        <v>0.36223261705434084</v>
      </c>
      <c r="G56" s="211">
        <f t="shared" si="35"/>
        <v>0.19350642294369158</v>
      </c>
      <c r="H56" s="211">
        <f t="shared" si="35"/>
        <v>0.45334587703026119</v>
      </c>
      <c r="I56" s="211">
        <f t="shared" si="35"/>
        <v>-6.7291659753650035E-2</v>
      </c>
      <c r="J56" s="211">
        <f t="shared" ca="1" si="35"/>
        <v>0.35348038390394065</v>
      </c>
      <c r="K56" s="211">
        <f t="shared" ca="1" si="35"/>
        <v>0.27494220875767716</v>
      </c>
      <c r="L56" s="211">
        <f t="shared" ca="1" si="35"/>
        <v>0.14939613179265221</v>
      </c>
      <c r="M56" s="211">
        <f t="shared" ca="1" si="35"/>
        <v>0.17530664328543732</v>
      </c>
      <c r="N56" s="211">
        <f t="shared" ca="1" si="35"/>
        <v>0.15825677241771641</v>
      </c>
      <c r="O56" s="211">
        <f t="shared" ca="1" si="35"/>
        <v>0.10814055706734127</v>
      </c>
      <c r="P56" s="211">
        <f t="shared" ca="1" si="35"/>
        <v>0.12523752390354259</v>
      </c>
      <c r="Q56" s="211">
        <f t="shared" ca="1" si="35"/>
        <v>0.10720552658632032</v>
      </c>
      <c r="R56" s="211">
        <f t="shared" ca="1" si="35"/>
        <v>9.8582433715739937E-2</v>
      </c>
      <c r="S56" s="211">
        <f t="shared" ca="1" si="35"/>
        <v>9.0791535519150868E-2</v>
      </c>
      <c r="T56" s="211">
        <f t="shared" ca="1" si="35"/>
        <v>8.4309073169706927E-2</v>
      </c>
      <c r="U56" s="211">
        <f t="shared" ca="1" si="35"/>
        <v>7.847463841382063E-2</v>
      </c>
      <c r="V56" s="67"/>
    </row>
    <row r="57" spans="1:25" ht="11.25" customHeight="1">
      <c r="B57" s="35" t="s">
        <v>17</v>
      </c>
      <c r="D57" s="211">
        <f>IFERROR(D55/D12,"n/a")</f>
        <v>0.65553746134473123</v>
      </c>
      <c r="E57" s="211">
        <f t="shared" ref="E57:U57" si="36">IFERROR(E55/E12,"n/a")</f>
        <v>0.61644338176083313</v>
      </c>
      <c r="F57" s="211">
        <f t="shared" si="36"/>
        <v>0.67090205957826499</v>
      </c>
      <c r="G57" s="211">
        <f t="shared" si="36"/>
        <v>0.67554861961409007</v>
      </c>
      <c r="H57" s="211">
        <f t="shared" si="36"/>
        <v>0.68843115281526512</v>
      </c>
      <c r="I57" s="211">
        <f t="shared" si="36"/>
        <v>0.67244890217861941</v>
      </c>
      <c r="J57" s="211">
        <f t="shared" ca="1" si="36"/>
        <v>0.6815043029411495</v>
      </c>
      <c r="K57" s="211">
        <f t="shared" ca="1" si="36"/>
        <v>0.71214979905966314</v>
      </c>
      <c r="L57" s="211">
        <f t="shared" ca="1" si="36"/>
        <v>0.70812729885420589</v>
      </c>
      <c r="M57" s="211">
        <f t="shared" ca="1" si="36"/>
        <v>0.72503984097928986</v>
      </c>
      <c r="N57" s="211">
        <f t="shared" ca="1" si="36"/>
        <v>0.74628449112419992</v>
      </c>
      <c r="O57" s="211">
        <f t="shared" ca="1" si="36"/>
        <v>0.74174865088219222</v>
      </c>
      <c r="P57" s="211">
        <f t="shared" ca="1" si="36"/>
        <v>0.75263935884568489</v>
      </c>
      <c r="Q57" s="211">
        <f t="shared" ca="1" si="36"/>
        <v>0.75851387477598831</v>
      </c>
      <c r="R57" s="211">
        <f t="shared" ca="1" si="36"/>
        <v>0.763655841870721</v>
      </c>
      <c r="S57" s="211">
        <f t="shared" ca="1" si="36"/>
        <v>0.76794550866986488</v>
      </c>
      <c r="T57" s="211">
        <f t="shared" ca="1" si="36"/>
        <v>0.77173619158826823</v>
      </c>
      <c r="U57" s="211">
        <f t="shared" ca="1" si="36"/>
        <v>0.77507981556825578</v>
      </c>
      <c r="V57" s="67"/>
    </row>
    <row r="58" spans="1:25" ht="11.25" customHeight="1">
      <c r="B58" s="12"/>
      <c r="D58" s="47"/>
      <c r="E58" s="47"/>
      <c r="J58" s="47"/>
      <c r="K58" s="47"/>
      <c r="L58" s="47"/>
      <c r="M58" s="47"/>
      <c r="N58" s="47"/>
      <c r="O58" s="47"/>
      <c r="P58" s="47"/>
      <c r="Q58" s="47"/>
      <c r="R58" s="47"/>
      <c r="S58" s="47"/>
      <c r="T58" s="47"/>
      <c r="U58" s="47"/>
      <c r="V58" s="47"/>
    </row>
    <row r="59" spans="1:25" s="18" customFormat="1" ht="11.25" customHeight="1">
      <c r="B59" s="30" t="s">
        <v>69</v>
      </c>
      <c r="D59" s="57">
        <f>('Historical Financials'!AX72/1000)*1000</f>
        <v>315.58199999999999</v>
      </c>
      <c r="E59" s="57">
        <f>('Historical Financials'!AY72/1000)*1000</f>
        <v>460.42200000000003</v>
      </c>
      <c r="F59" s="57">
        <f>('Historical Financials'!AZ72/1000)*1000</f>
        <v>507.23899999999998</v>
      </c>
      <c r="G59" s="57">
        <f>('Historical Financials'!BA72/1000)*1000</f>
        <v>839.19600000000003</v>
      </c>
      <c r="H59" s="57">
        <f>('Historical Financials'!BB72/1000)*1000</f>
        <v>1082.672</v>
      </c>
      <c r="I59" s="57">
        <f>('Historical Financials'!BC72/1000)*1000</f>
        <v>949.81700000000001</v>
      </c>
      <c r="J59" s="57">
        <f ca="1">('Historical Financials'!BD72/1000)*1000</f>
        <v>990.18415175882456</v>
      </c>
      <c r="K59" s="19">
        <f t="shared" ref="K59:U59" ca="1" si="37">K60*K12</f>
        <v>1338.4946808912268</v>
      </c>
      <c r="L59" s="19">
        <f t="shared" ca="1" si="37"/>
        <v>1518.6987484791175</v>
      </c>
      <c r="M59" s="19">
        <f t="shared" ca="1" si="37"/>
        <v>1710.5845492186077</v>
      </c>
      <c r="N59" s="19">
        <f t="shared" ca="1" si="37"/>
        <v>1888.0792165547145</v>
      </c>
      <c r="O59" s="19">
        <f t="shared" ca="1" si="37"/>
        <v>2064.0058693127462</v>
      </c>
      <c r="P59" s="19">
        <f t="shared" ca="1" si="37"/>
        <v>2243.3725691984487</v>
      </c>
      <c r="Q59" s="19">
        <f t="shared" ca="1" si="37"/>
        <v>2414.6303315969553</v>
      </c>
      <c r="R59" s="19">
        <f t="shared" ca="1" si="37"/>
        <v>2580.2420378862912</v>
      </c>
      <c r="S59" s="19">
        <f t="shared" ca="1" si="37"/>
        <v>2739.5958258354922</v>
      </c>
      <c r="T59" s="19">
        <f t="shared" ca="1" si="37"/>
        <v>2892.1137943700592</v>
      </c>
      <c r="U59" s="19">
        <f t="shared" ca="1" si="37"/>
        <v>3037.03771676315</v>
      </c>
      <c r="V59" s="19"/>
    </row>
    <row r="60" spans="1:25" s="18" customFormat="1" ht="11.25" customHeight="1">
      <c r="B60" s="35" t="s">
        <v>259</v>
      </c>
      <c r="D60" s="67">
        <f t="shared" ref="D60:J60" si="38">D59/D12</f>
        <v>0.30595258391098046</v>
      </c>
      <c r="E60" s="67">
        <f t="shared" si="38"/>
        <v>0.43030678675173906</v>
      </c>
      <c r="F60" s="67">
        <f t="shared" si="38"/>
        <v>0.37874719271775681</v>
      </c>
      <c r="G60" s="67">
        <f t="shared" si="38"/>
        <v>0.5286556952276118</v>
      </c>
      <c r="H60" s="67">
        <f t="shared" si="38"/>
        <v>0.47823497701761553</v>
      </c>
      <c r="I60" s="67">
        <f t="shared" si="38"/>
        <v>0.43937696369954521</v>
      </c>
      <c r="J60" s="67">
        <f t="shared" ca="1" si="38"/>
        <v>0.34298147479052499</v>
      </c>
      <c r="K60" s="142">
        <v>0.38</v>
      </c>
      <c r="L60" s="142">
        <f>+K60-($K60-$U60)/10</f>
        <v>0.373</v>
      </c>
      <c r="M60" s="142">
        <f t="shared" ref="M60:T60" si="39">+L60-($K60-$U60)/10</f>
        <v>0.36599999999999999</v>
      </c>
      <c r="N60" s="142">
        <f t="shared" si="39"/>
        <v>0.35899999999999999</v>
      </c>
      <c r="O60" s="142">
        <f t="shared" si="39"/>
        <v>0.35199999999999998</v>
      </c>
      <c r="P60" s="142">
        <f t="shared" si="39"/>
        <v>0.34499999999999997</v>
      </c>
      <c r="Q60" s="142">
        <f t="shared" si="39"/>
        <v>0.33799999999999997</v>
      </c>
      <c r="R60" s="142">
        <f t="shared" si="39"/>
        <v>0.33099999999999996</v>
      </c>
      <c r="S60" s="142">
        <f t="shared" si="39"/>
        <v>0.32399999999999995</v>
      </c>
      <c r="T60" s="142">
        <f t="shared" si="39"/>
        <v>0.31699999999999995</v>
      </c>
      <c r="U60" s="142">
        <v>0.31</v>
      </c>
      <c r="V60" s="67"/>
      <c r="Y60" s="562">
        <f ca="1">U65-U31</f>
        <v>-6.4920184431744243E-2</v>
      </c>
    </row>
    <row r="61" spans="1:25" ht="11.25" customHeight="1">
      <c r="A61" s="628" t="s">
        <v>970</v>
      </c>
      <c r="B61" s="35" t="s">
        <v>64</v>
      </c>
      <c r="D61" s="43"/>
      <c r="E61" s="34"/>
      <c r="F61" s="34"/>
      <c r="G61" s="34"/>
      <c r="H61" s="34"/>
      <c r="I61" s="95"/>
      <c r="J61" s="95">
        <f>_xll.VAData($A$2,J$1,$A61, "vaactuals.consensus", "CD", "IMPL","","")/1000</f>
        <v>956.00653599999998</v>
      </c>
      <c r="K61" s="95">
        <f>_xll.VAData($A$2,K$1,$A61, "vaactuals.consensus", "CD", "IMPL","","")/1000</f>
        <v>1282.1009226037993</v>
      </c>
      <c r="L61" s="95">
        <f>_xll.VAData($A$2,L$1,$A61, "vaactuals.consensus", "CD", "IMPL","","")/1000</f>
        <v>1398.0392415341614</v>
      </c>
      <c r="M61" s="47"/>
      <c r="N61" s="47"/>
      <c r="O61" s="47"/>
      <c r="P61" s="47"/>
      <c r="Q61" s="47"/>
      <c r="R61" s="47"/>
      <c r="S61" s="47"/>
      <c r="T61" s="47"/>
      <c r="U61" s="47"/>
      <c r="V61" s="47"/>
    </row>
    <row r="62" spans="1:25" ht="11.25" customHeight="1">
      <c r="B62" s="12"/>
      <c r="D62" s="47"/>
      <c r="E62" s="47"/>
      <c r="J62" s="47"/>
      <c r="K62" s="47"/>
      <c r="L62" s="47"/>
      <c r="M62" s="47"/>
      <c r="N62" s="47"/>
      <c r="O62" s="47"/>
      <c r="P62" s="47"/>
      <c r="Q62" s="47"/>
      <c r="R62" s="47"/>
      <c r="S62" s="47"/>
      <c r="T62" s="47"/>
      <c r="U62" s="47"/>
      <c r="V62" s="47"/>
    </row>
    <row r="63" spans="1:25" s="5" customFormat="1" ht="11.25" customHeight="1">
      <c r="B63" s="48" t="s">
        <v>30</v>
      </c>
      <c r="D63" s="44">
        <f>D55-D59</f>
        <v>360.58755699999995</v>
      </c>
      <c r="E63" s="44">
        <f t="shared" ref="E63:U63" si="40">E55-E59</f>
        <v>199.16344800000013</v>
      </c>
      <c r="F63" s="44">
        <f t="shared" si="40"/>
        <v>391.26981100000006</v>
      </c>
      <c r="G63" s="44">
        <f t="shared" si="40"/>
        <v>233.18003699999952</v>
      </c>
      <c r="H63" s="44">
        <f t="shared" si="40"/>
        <v>475.86129200000005</v>
      </c>
      <c r="I63" s="44">
        <f t="shared" si="40"/>
        <v>503.83999999999992</v>
      </c>
      <c r="J63" s="44">
        <f t="shared" ca="1" si="40"/>
        <v>977.31208266582598</v>
      </c>
      <c r="K63" s="44">
        <f t="shared" ca="1" si="40"/>
        <v>1169.9493139485498</v>
      </c>
      <c r="L63" s="44">
        <f t="shared" ca="1" si="40"/>
        <v>1364.4970760082297</v>
      </c>
      <c r="M63" s="44">
        <f t="shared" ca="1" si="40"/>
        <v>1678.0546571942054</v>
      </c>
      <c r="N63" s="44">
        <f t="shared" ca="1" si="40"/>
        <v>2036.8350935531221</v>
      </c>
      <c r="O63" s="44">
        <f t="shared" ca="1" si="40"/>
        <v>2285.3508607317312</v>
      </c>
      <c r="P63" s="44">
        <f t="shared" ca="1" si="40"/>
        <v>2650.6868282900082</v>
      </c>
      <c r="Q63" s="44">
        <f t="shared" ca="1" si="40"/>
        <v>3004.0992807439807</v>
      </c>
      <c r="R63" s="44">
        <f t="shared" ca="1" si="40"/>
        <v>3372.6791272867617</v>
      </c>
      <c r="S63" s="44">
        <f t="shared" ca="1" si="40"/>
        <v>3753.8001927480755</v>
      </c>
      <c r="T63" s="44">
        <f t="shared" ca="1" si="40"/>
        <v>4148.7344242641539</v>
      </c>
      <c r="U63" s="44">
        <f t="shared" ca="1" si="40"/>
        <v>4556.3385199549757</v>
      </c>
      <c r="V63" s="44"/>
    </row>
    <row r="64" spans="1:25" ht="11.25" customHeight="1">
      <c r="B64" s="9" t="s">
        <v>249</v>
      </c>
      <c r="D64" s="67"/>
      <c r="E64" s="211">
        <f>IF(AND(E63&gt;0,D63&gt;0),E63/D63-1,"n/m")</f>
        <v>-0.44766965988235652</v>
      </c>
      <c r="F64" s="211">
        <f t="shared" ref="F64:U64" si="41">IF(AND(F63&gt;0,E63&gt;0),F63/E63-1,"n/m")</f>
        <v>0.96456636460722356</v>
      </c>
      <c r="G64" s="211">
        <f t="shared" si="41"/>
        <v>-0.40404286135942269</v>
      </c>
      <c r="H64" s="211">
        <f t="shared" si="41"/>
        <v>1.0407462753769141</v>
      </c>
      <c r="I64" s="211">
        <f t="shared" si="41"/>
        <v>5.8795931651444144E-2</v>
      </c>
      <c r="J64" s="211">
        <f t="shared" ca="1" si="41"/>
        <v>0.93972706149933738</v>
      </c>
      <c r="K64" s="211">
        <f t="shared" ca="1" si="41"/>
        <v>0.19710922918016616</v>
      </c>
      <c r="L64" s="211">
        <f t="shared" ca="1" si="41"/>
        <v>0.16628734231492981</v>
      </c>
      <c r="M64" s="211">
        <f t="shared" ca="1" si="41"/>
        <v>0.22979718073363209</v>
      </c>
      <c r="N64" s="211">
        <f t="shared" ca="1" si="41"/>
        <v>0.21380736010042489</v>
      </c>
      <c r="O64" s="211">
        <f t="shared" ca="1" si="41"/>
        <v>0.12201074498627684</v>
      </c>
      <c r="P64" s="211">
        <f t="shared" ca="1" si="41"/>
        <v>0.15985990328036648</v>
      </c>
      <c r="Q64" s="211">
        <f t="shared" ca="1" si="41"/>
        <v>0.13332863342515777</v>
      </c>
      <c r="R64" s="211">
        <f t="shared" ca="1" si="41"/>
        <v>0.1226922987883079</v>
      </c>
      <c r="S64" s="211">
        <f t="shared" ca="1" si="41"/>
        <v>0.11300246809067671</v>
      </c>
      <c r="T64" s="211">
        <f t="shared" ca="1" si="41"/>
        <v>0.10520917769652405</v>
      </c>
      <c r="U64" s="211">
        <f t="shared" ca="1" si="41"/>
        <v>9.8247815841602693E-2</v>
      </c>
      <c r="V64" s="67"/>
    </row>
    <row r="65" spans="2:22" ht="11.25" customHeight="1">
      <c r="B65" s="35" t="s">
        <v>17</v>
      </c>
      <c r="D65" s="211">
        <f t="shared" ref="D65:U65" si="42">IFERROR(D63/D12,"n/a")</f>
        <v>0.34958487743375077</v>
      </c>
      <c r="E65" s="211">
        <f t="shared" si="42"/>
        <v>0.1861365950090941</v>
      </c>
      <c r="F65" s="211">
        <f t="shared" si="42"/>
        <v>0.29215486686050818</v>
      </c>
      <c r="G65" s="211">
        <f t="shared" si="42"/>
        <v>0.14689292438647825</v>
      </c>
      <c r="H65" s="211">
        <f t="shared" si="42"/>
        <v>0.21019617579764957</v>
      </c>
      <c r="I65" s="211">
        <f t="shared" si="42"/>
        <v>0.2330719384790742</v>
      </c>
      <c r="J65" s="211">
        <f t="shared" ca="1" si="42"/>
        <v>0.33852282815062451</v>
      </c>
      <c r="K65" s="211">
        <f t="shared" ca="1" si="42"/>
        <v>0.33214979905966313</v>
      </c>
      <c r="L65" s="211">
        <f t="shared" ca="1" si="42"/>
        <v>0.33512729885420589</v>
      </c>
      <c r="M65" s="211">
        <f t="shared" ca="1" si="42"/>
        <v>0.35903984097928993</v>
      </c>
      <c r="N65" s="211">
        <f t="shared" ca="1" si="42"/>
        <v>0.38728449112419999</v>
      </c>
      <c r="O65" s="211">
        <f t="shared" ca="1" si="42"/>
        <v>0.38974865088219229</v>
      </c>
      <c r="P65" s="211">
        <f t="shared" ca="1" si="42"/>
        <v>0.40763935884568497</v>
      </c>
      <c r="Q65" s="211">
        <f t="shared" ca="1" si="42"/>
        <v>0.42051387477598834</v>
      </c>
      <c r="R65" s="211">
        <f t="shared" ca="1" si="42"/>
        <v>0.43265584187072098</v>
      </c>
      <c r="S65" s="211">
        <f t="shared" ca="1" si="42"/>
        <v>0.44394550866986493</v>
      </c>
      <c r="T65" s="211">
        <f t="shared" ca="1" si="42"/>
        <v>0.45473619158826822</v>
      </c>
      <c r="U65" s="211">
        <f t="shared" ca="1" si="42"/>
        <v>0.46507981556825578</v>
      </c>
      <c r="V65" s="67"/>
    </row>
    <row r="66" spans="2:22" ht="11.25" customHeight="1">
      <c r="B66" s="35"/>
      <c r="D66" s="211"/>
      <c r="E66" s="211"/>
      <c r="F66" s="211"/>
      <c r="G66" s="211"/>
      <c r="H66" s="211"/>
      <c r="I66" s="211"/>
      <c r="J66" s="211"/>
      <c r="K66" s="211"/>
      <c r="L66" s="211"/>
      <c r="M66" s="211"/>
      <c r="N66" s="211"/>
      <c r="O66" s="211"/>
      <c r="P66" s="211"/>
      <c r="Q66" s="211"/>
      <c r="R66" s="211"/>
      <c r="S66" s="211"/>
      <c r="T66" s="211"/>
      <c r="U66" s="211"/>
      <c r="V66" s="67"/>
    </row>
    <row r="67" spans="2:22" ht="11.25" customHeight="1">
      <c r="B67" s="35" t="s">
        <v>775</v>
      </c>
      <c r="D67" s="211"/>
      <c r="E67" s="211"/>
      <c r="F67" s="211"/>
      <c r="G67" s="211"/>
      <c r="H67" s="211"/>
      <c r="I67" s="211"/>
      <c r="J67" s="211"/>
      <c r="K67" s="211"/>
      <c r="L67" s="211"/>
      <c r="M67" s="211"/>
      <c r="N67" s="211"/>
      <c r="O67" s="211"/>
      <c r="P67" s="211"/>
      <c r="Q67" s="211"/>
      <c r="R67" s="211"/>
      <c r="S67" s="211"/>
      <c r="T67" s="211"/>
      <c r="U67" s="211"/>
      <c r="V67" s="67"/>
    </row>
    <row r="68" spans="2:22" ht="11.25" customHeight="1">
      <c r="B68" s="35" t="s">
        <v>776</v>
      </c>
      <c r="D68" s="538">
        <f>D158</f>
        <v>1156.0029999999999</v>
      </c>
      <c r="E68" s="538">
        <f t="shared" ref="E68:U68" si="43">E158</f>
        <v>1336.5605</v>
      </c>
      <c r="F68" s="538">
        <f t="shared" si="43"/>
        <v>1592.1025</v>
      </c>
      <c r="G68" s="538">
        <f t="shared" si="43"/>
        <v>1939.4894999999999</v>
      </c>
      <c r="H68" s="538">
        <f t="shared" si="43"/>
        <v>2470.7885000000001</v>
      </c>
      <c r="I68" s="538">
        <f t="shared" si="43"/>
        <v>2958.3029999999999</v>
      </c>
      <c r="J68" s="538">
        <f t="shared" ca="1" si="43"/>
        <v>3355.2073333712879</v>
      </c>
      <c r="K68" s="538">
        <f t="shared" ca="1" si="43"/>
        <v>3842.5684618886889</v>
      </c>
      <c r="L68" s="538">
        <f t="shared" ca="1" si="43"/>
        <v>4467.6821965254931</v>
      </c>
      <c r="M68" s="538">
        <f t="shared" ca="1" si="43"/>
        <v>5157.9433682685813</v>
      </c>
      <c r="N68" s="538">
        <f t="shared" ca="1" si="43"/>
        <v>5837.0861523326112</v>
      </c>
      <c r="O68" s="538">
        <f t="shared" ca="1" si="43"/>
        <v>6544.2556225673015</v>
      </c>
      <c r="P68" s="538">
        <f t="shared" ca="1" si="43"/>
        <v>7297.2827532703177</v>
      </c>
      <c r="Q68" s="538">
        <f t="shared" ca="1" si="43"/>
        <v>8060.5688662777357</v>
      </c>
      <c r="R68" s="538">
        <f t="shared" ca="1" si="43"/>
        <v>8842.6783709187221</v>
      </c>
      <c r="S68" s="538">
        <f t="shared" ca="1" si="43"/>
        <v>9642.2855035362263</v>
      </c>
      <c r="T68" s="538">
        <f t="shared" ca="1" si="43"/>
        <v>10458.031366965693</v>
      </c>
      <c r="U68" s="538">
        <f t="shared" ca="1" si="43"/>
        <v>11287.727839302031</v>
      </c>
      <c r="V68" s="67"/>
    </row>
    <row r="69" spans="2:22" ht="11.25" customHeight="1">
      <c r="B69" s="36" t="s">
        <v>249</v>
      </c>
      <c r="D69" s="211"/>
      <c r="E69" s="211">
        <f>IF(AND(E68&gt;0,D68&gt;0),E68/D68-1,"n/m")</f>
        <v>0.156191203656046</v>
      </c>
      <c r="F69" s="211">
        <f t="shared" ref="F69:U69" si="44">IF(AND(F68&gt;0,E68&gt;0),F68/E68-1,"n/m")</f>
        <v>0.19119373945287177</v>
      </c>
      <c r="G69" s="211">
        <f t="shared" si="44"/>
        <v>0.21819386628687543</v>
      </c>
      <c r="H69" s="211">
        <f t="shared" si="44"/>
        <v>0.2739375490302991</v>
      </c>
      <c r="I69" s="211">
        <f t="shared" si="44"/>
        <v>0.19731130365873062</v>
      </c>
      <c r="J69" s="211">
        <f t="shared" ca="1" si="44"/>
        <v>0.13416622075943141</v>
      </c>
      <c r="K69" s="211">
        <f t="shared" ca="1" si="44"/>
        <v>0.14525514523947591</v>
      </c>
      <c r="L69" s="211">
        <f t="shared" ca="1" si="44"/>
        <v>0.16268122242630123</v>
      </c>
      <c r="M69" s="211">
        <f t="shared" ca="1" si="44"/>
        <v>0.15450095628554394</v>
      </c>
      <c r="N69" s="211">
        <f t="shared" ca="1" si="44"/>
        <v>0.1316692983180241</v>
      </c>
      <c r="O69" s="211">
        <f t="shared" ca="1" si="44"/>
        <v>0.12115111063627038</v>
      </c>
      <c r="P69" s="211">
        <f t="shared" ca="1" si="44"/>
        <v>0.1150668882960908</v>
      </c>
      <c r="Q69" s="211">
        <f t="shared" ca="1" si="44"/>
        <v>0.10459867581057436</v>
      </c>
      <c r="R69" s="211">
        <f t="shared" ca="1" si="44"/>
        <v>9.7029070480748159E-2</v>
      </c>
      <c r="S69" s="211">
        <f t="shared" ca="1" si="44"/>
        <v>9.0425898022843842E-2</v>
      </c>
      <c r="T69" s="211">
        <f t="shared" ca="1" si="44"/>
        <v>8.4600882553238943E-2</v>
      </c>
      <c r="U69" s="211">
        <f t="shared" ca="1" si="44"/>
        <v>7.9335817920487495E-2</v>
      </c>
      <c r="V69" s="67"/>
    </row>
    <row r="70" spans="2:22" ht="11.25" customHeight="1">
      <c r="B70" s="35" t="s">
        <v>546</v>
      </c>
      <c r="D70" s="211">
        <f t="shared" ref="D70:U70" si="45">D160</f>
        <v>0.33185342685096841</v>
      </c>
      <c r="E70" s="211">
        <f t="shared" si="45"/>
        <v>0.27885116161969481</v>
      </c>
      <c r="F70" s="211">
        <f t="shared" si="45"/>
        <v>0.35599706111886642</v>
      </c>
      <c r="G70" s="211">
        <f t="shared" si="45"/>
        <v>0.33512995919802591</v>
      </c>
      <c r="H70" s="211">
        <f t="shared" si="45"/>
        <v>0.45381435602440279</v>
      </c>
      <c r="I70" s="211">
        <f t="shared" si="45"/>
        <v>0.31148465860326002</v>
      </c>
      <c r="J70" s="211">
        <f t="shared" ca="1" si="45"/>
        <v>0.38906200338139924</v>
      </c>
      <c r="K70" s="211">
        <f t="shared" si="45"/>
        <v>0.44</v>
      </c>
      <c r="L70" s="211">
        <f t="shared" ca="1" si="45"/>
        <v>0.442</v>
      </c>
      <c r="M70" s="211">
        <f t="shared" ca="1" si="45"/>
        <v>0.44400000000000001</v>
      </c>
      <c r="N70" s="211">
        <f t="shared" ca="1" si="45"/>
        <v>0.44600000000000001</v>
      </c>
      <c r="O70" s="211">
        <f t="shared" ca="1" si="45"/>
        <v>0.44800000000000001</v>
      </c>
      <c r="P70" s="211">
        <f t="shared" ca="1" si="45"/>
        <v>0.45</v>
      </c>
      <c r="Q70" s="211">
        <f t="shared" ca="1" si="45"/>
        <v>0.45200000000000001</v>
      </c>
      <c r="R70" s="211">
        <f t="shared" ca="1" si="45"/>
        <v>0.45400000000000001</v>
      </c>
      <c r="S70" s="211">
        <f t="shared" ca="1" si="45"/>
        <v>0.45600000000000002</v>
      </c>
      <c r="T70" s="211">
        <f t="shared" ca="1" si="45"/>
        <v>0.45800000000000002</v>
      </c>
      <c r="U70" s="211">
        <f t="shared" si="45"/>
        <v>0.46</v>
      </c>
      <c r="V70" s="67"/>
    </row>
    <row r="71" spans="2:22" ht="11.25" customHeight="1">
      <c r="B71" s="35"/>
      <c r="D71" s="72"/>
      <c r="E71" s="72"/>
      <c r="F71" s="72"/>
      <c r="G71" s="72"/>
      <c r="H71" s="72"/>
      <c r="I71" s="72"/>
      <c r="J71" s="72"/>
      <c r="K71" s="72"/>
      <c r="L71" s="72"/>
      <c r="M71" s="72"/>
      <c r="N71" s="72"/>
      <c r="O71" s="72"/>
      <c r="P71" s="72"/>
      <c r="Q71" s="72"/>
      <c r="R71" s="72"/>
      <c r="S71" s="72"/>
      <c r="T71" s="72"/>
      <c r="U71" s="72"/>
      <c r="V71" s="67"/>
    </row>
    <row r="72" spans="2:22" ht="11.25" customHeight="1">
      <c r="B72" s="30" t="s">
        <v>280</v>
      </c>
      <c r="D72" s="19">
        <f t="shared" ref="D72:U72" si="46">-D36</f>
        <v>11.643000000000001</v>
      </c>
      <c r="E72" s="19">
        <f t="shared" si="46"/>
        <v>12.939</v>
      </c>
      <c r="F72" s="19">
        <f t="shared" si="46"/>
        <v>6.9370000000000003</v>
      </c>
      <c r="G72" s="19">
        <f t="shared" si="46"/>
        <v>0.29399999999999998</v>
      </c>
      <c r="H72" s="19">
        <f t="shared" si="46"/>
        <v>10.672000000000001</v>
      </c>
      <c r="I72" s="19">
        <f t="shared" si="46"/>
        <v>48.293999999999997</v>
      </c>
      <c r="J72" s="19">
        <f t="shared" si="46"/>
        <v>77.548677962169123</v>
      </c>
      <c r="K72" s="19">
        <f t="shared" ca="1" si="46"/>
        <v>0</v>
      </c>
      <c r="L72" s="19">
        <f t="shared" ca="1" si="46"/>
        <v>0</v>
      </c>
      <c r="M72" s="19">
        <f t="shared" ca="1" si="46"/>
        <v>0</v>
      </c>
      <c r="N72" s="19">
        <f t="shared" ca="1" si="46"/>
        <v>0</v>
      </c>
      <c r="O72" s="19">
        <f t="shared" ca="1" si="46"/>
        <v>0</v>
      </c>
      <c r="P72" s="19">
        <f t="shared" ca="1" si="46"/>
        <v>0</v>
      </c>
      <c r="Q72" s="19">
        <f t="shared" ca="1" si="46"/>
        <v>0</v>
      </c>
      <c r="R72" s="19">
        <f t="shared" ca="1" si="46"/>
        <v>0</v>
      </c>
      <c r="S72" s="19">
        <f t="shared" ca="1" si="46"/>
        <v>0</v>
      </c>
      <c r="T72" s="19">
        <f t="shared" ca="1" si="46"/>
        <v>0</v>
      </c>
      <c r="U72" s="19">
        <f t="shared" ca="1" si="46"/>
        <v>0</v>
      </c>
      <c r="V72" s="67"/>
    </row>
    <row r="73" spans="2:22" ht="11.25" customHeight="1">
      <c r="B73" s="13" t="s">
        <v>254</v>
      </c>
      <c r="D73" s="19">
        <f t="shared" ref="D73:U73" si="47">-D42</f>
        <v>-59.626433550000002</v>
      </c>
      <c r="E73" s="19">
        <f t="shared" si="47"/>
        <v>-58.476817200000021</v>
      </c>
      <c r="F73" s="19">
        <f t="shared" si="47"/>
        <v>-87.716521650000033</v>
      </c>
      <c r="G73" s="19">
        <f t="shared" si="47"/>
        <v>-99.468905550000002</v>
      </c>
      <c r="H73" s="19">
        <f t="shared" si="47"/>
        <v>-171.62869380000004</v>
      </c>
      <c r="I73" s="19">
        <f t="shared" si="47"/>
        <v>-146.87564999999998</v>
      </c>
      <c r="J73" s="19">
        <f t="shared" ca="1" si="47"/>
        <v>-208.56528842171258</v>
      </c>
      <c r="K73" s="19">
        <f t="shared" ca="1" si="47"/>
        <v>-253.60951848465331</v>
      </c>
      <c r="L73" s="19">
        <f t="shared" ca="1" si="47"/>
        <v>-296.20732962964001</v>
      </c>
      <c r="M73" s="19">
        <f t="shared" ca="1" si="47"/>
        <v>-343.51902832668736</v>
      </c>
      <c r="N73" s="19">
        <f t="shared" ca="1" si="47"/>
        <v>-390.50106359105143</v>
      </c>
      <c r="O73" s="19">
        <f t="shared" ca="1" si="47"/>
        <v>-439.77397783652242</v>
      </c>
      <c r="P73" s="19">
        <f t="shared" ca="1" si="47"/>
        <v>-492.56658584574615</v>
      </c>
      <c r="Q73" s="19">
        <f t="shared" ca="1" si="47"/>
        <v>-546.50656913363025</v>
      </c>
      <c r="R73" s="19">
        <f t="shared" ca="1" si="47"/>
        <v>-602.18639705956468</v>
      </c>
      <c r="S73" s="19">
        <f t="shared" ca="1" si="47"/>
        <v>-659.53232844187744</v>
      </c>
      <c r="T73" s="19">
        <f t="shared" ca="1" si="47"/>
        <v>-718.46675491054282</v>
      </c>
      <c r="U73" s="19">
        <f t="shared" ca="1" si="47"/>
        <v>-778.85322091183968</v>
      </c>
      <c r="V73" s="67"/>
    </row>
    <row r="74" spans="2:22" s="5" customFormat="1" ht="11.25" customHeight="1">
      <c r="B74" s="182" t="s">
        <v>31</v>
      </c>
      <c r="C74" s="147"/>
      <c r="D74" s="150">
        <f t="shared" ref="D74:U74" si="48">D63+SUM(D72:D73)</f>
        <v>312.60412344999997</v>
      </c>
      <c r="E74" s="150">
        <f t="shared" si="48"/>
        <v>153.62563080000012</v>
      </c>
      <c r="F74" s="150">
        <f t="shared" si="48"/>
        <v>310.49028935000001</v>
      </c>
      <c r="G74" s="150">
        <f t="shared" si="48"/>
        <v>134.00513144999951</v>
      </c>
      <c r="H74" s="150">
        <f t="shared" si="48"/>
        <v>314.90459820000001</v>
      </c>
      <c r="I74" s="150">
        <f t="shared" si="48"/>
        <v>405.25834999999995</v>
      </c>
      <c r="J74" s="150">
        <f t="shared" ca="1" si="48"/>
        <v>846.29547220628251</v>
      </c>
      <c r="K74" s="150">
        <f t="shared" ca="1" si="48"/>
        <v>916.33979546389651</v>
      </c>
      <c r="L74" s="150">
        <f t="shared" ca="1" si="48"/>
        <v>1068.2897463785896</v>
      </c>
      <c r="M74" s="150">
        <f t="shared" ca="1" si="48"/>
        <v>1334.535628867518</v>
      </c>
      <c r="N74" s="150">
        <f t="shared" ca="1" si="48"/>
        <v>1646.3340299620706</v>
      </c>
      <c r="O74" s="150">
        <f t="shared" ca="1" si="48"/>
        <v>1845.5768828952089</v>
      </c>
      <c r="P74" s="150">
        <f t="shared" ca="1" si="48"/>
        <v>2158.1202424442622</v>
      </c>
      <c r="Q74" s="150">
        <f t="shared" ca="1" si="48"/>
        <v>2457.5927116103503</v>
      </c>
      <c r="R74" s="150">
        <f t="shared" ca="1" si="48"/>
        <v>2770.4927302271972</v>
      </c>
      <c r="S74" s="150">
        <f t="shared" ca="1" si="48"/>
        <v>3094.2678643061981</v>
      </c>
      <c r="T74" s="150">
        <f t="shared" ca="1" si="48"/>
        <v>3430.2676693536109</v>
      </c>
      <c r="U74" s="150">
        <f t="shared" ca="1" si="48"/>
        <v>3777.4852990431359</v>
      </c>
      <c r="V74" s="61"/>
    </row>
    <row r="75" spans="2:22" ht="11.25" customHeight="1">
      <c r="B75" s="36" t="s">
        <v>249</v>
      </c>
      <c r="D75" s="67"/>
      <c r="E75" s="211">
        <f>IF(AND(E74&gt;0,D74&gt;0),E74/D74-1,"n/m")</f>
        <v>-0.50856172623528417</v>
      </c>
      <c r="F75" s="211">
        <f t="shared" ref="F75:U75" si="49">IF(AND(F74&gt;0,E74&gt;0),F74/E74-1,"n/m")</f>
        <v>1.0210839020359601</v>
      </c>
      <c r="G75" s="211">
        <f t="shared" si="49"/>
        <v>-0.56840797910126484</v>
      </c>
      <c r="H75" s="211">
        <f t="shared" si="49"/>
        <v>1.3499443252103998</v>
      </c>
      <c r="I75" s="211">
        <f t="shared" si="49"/>
        <v>0.28692420598639568</v>
      </c>
      <c r="J75" s="211">
        <f t="shared" ca="1" si="49"/>
        <v>1.0882863294643594</v>
      </c>
      <c r="K75" s="211">
        <f t="shared" ca="1" si="49"/>
        <v>8.2765801729990596E-2</v>
      </c>
      <c r="L75" s="211">
        <f t="shared" ca="1" si="49"/>
        <v>0.1658227130010963</v>
      </c>
      <c r="M75" s="211">
        <f t="shared" ca="1" si="49"/>
        <v>0.2492262828427203</v>
      </c>
      <c r="N75" s="211">
        <f t="shared" ca="1" si="49"/>
        <v>0.2336381242658494</v>
      </c>
      <c r="O75" s="211">
        <f t="shared" ca="1" si="49"/>
        <v>0.12102213117573024</v>
      </c>
      <c r="P75" s="211">
        <f t="shared" ca="1" si="49"/>
        <v>0.16934724445548843</v>
      </c>
      <c r="Q75" s="211">
        <f t="shared" ca="1" si="49"/>
        <v>0.13876542338850828</v>
      </c>
      <c r="R75" s="211">
        <f t="shared" ca="1" si="49"/>
        <v>0.12731972109887058</v>
      </c>
      <c r="S75" s="211">
        <f t="shared" ca="1" si="49"/>
        <v>0.11686554183899611</v>
      </c>
      <c r="T75" s="211">
        <f t="shared" ca="1" si="49"/>
        <v>0.10858782102329445</v>
      </c>
      <c r="U75" s="211">
        <f t="shared" ca="1" si="49"/>
        <v>0.10122173053479333</v>
      </c>
      <c r="V75" s="67"/>
    </row>
    <row r="76" spans="2:22" ht="11.25" customHeight="1">
      <c r="B76" s="35"/>
      <c r="D76" s="47"/>
      <c r="E76" s="47"/>
      <c r="J76" s="191"/>
      <c r="K76" s="191"/>
      <c r="L76" s="191"/>
      <c r="M76" s="191"/>
      <c r="N76" s="191"/>
      <c r="O76" s="191"/>
      <c r="P76" s="191"/>
      <c r="Q76" s="191"/>
      <c r="R76" s="191"/>
      <c r="S76" s="191"/>
      <c r="T76" s="191"/>
      <c r="U76" s="191"/>
      <c r="V76" s="47"/>
    </row>
    <row r="77" spans="2:22" ht="11.25" customHeight="1">
      <c r="B77" s="13" t="s">
        <v>32</v>
      </c>
      <c r="D77" s="49">
        <f>('Historical Financials'!AX84/1000)*1000</f>
        <v>0</v>
      </c>
      <c r="E77" s="49">
        <f>('Historical Financials'!AY84/1000)*1000</f>
        <v>2.8180000000000002E-3</v>
      </c>
      <c r="F77" s="49">
        <f>('Historical Financials'!AZ84/1000)*1000</f>
        <v>6.6119999999999998E-3</v>
      </c>
      <c r="G77" s="49">
        <f>('Historical Financials'!BA84/1000)*1000</f>
        <v>7.7880000000000007E-3</v>
      </c>
      <c r="H77" s="49">
        <f>('Historical Financials'!BB84/1000)*1000</f>
        <v>0.30234800000000001</v>
      </c>
      <c r="I77" s="49">
        <f>('Historical Financials'!BC84/1000)*1000</f>
        <v>0.48305000000000003</v>
      </c>
      <c r="J77" s="49">
        <f>('Historical Financials'!BD84/1000)*1000</f>
        <v>1.0598379650710756</v>
      </c>
      <c r="K77" s="50">
        <v>0</v>
      </c>
      <c r="L77" s="50">
        <v>0</v>
      </c>
      <c r="M77" s="50">
        <v>0</v>
      </c>
      <c r="N77" s="50">
        <v>0</v>
      </c>
      <c r="O77" s="50">
        <v>0</v>
      </c>
      <c r="P77" s="50">
        <v>0</v>
      </c>
      <c r="Q77" s="50">
        <v>0</v>
      </c>
      <c r="R77" s="50">
        <v>0</v>
      </c>
      <c r="S77" s="50">
        <v>0</v>
      </c>
      <c r="T77" s="50">
        <v>0</v>
      </c>
      <c r="U77" s="50">
        <v>0</v>
      </c>
      <c r="V77" s="67"/>
    </row>
    <row r="78" spans="2:22" ht="11.25" customHeight="1">
      <c r="B78" s="13" t="s">
        <v>34</v>
      </c>
      <c r="D78" s="49">
        <f>('Historical Financials'!AX85/1000)*1000</f>
        <v>-55.715000000000032</v>
      </c>
      <c r="E78" s="49">
        <f>('Historical Financials'!AY85/1000)*1000</f>
        <v>13.529000000000035</v>
      </c>
      <c r="F78" s="49">
        <f>('Historical Financials'!AZ85/1000)*1000</f>
        <v>7.0419999999999519</v>
      </c>
      <c r="G78" s="49">
        <f>('Historical Financials'!BA85/1000)*1000</f>
        <v>-24.788999999999973</v>
      </c>
      <c r="H78" s="49">
        <f>('Historical Financials'!BB85/1000)*1000</f>
        <v>164.34700000000001</v>
      </c>
      <c r="I78" s="49">
        <f>('Historical Financials'!BC85/1000)*1000</f>
        <v>-19.525999999999996</v>
      </c>
      <c r="J78" s="49">
        <f ca="1">('Historical Financials'!BD85/1000)*1000</f>
        <v>34.086927778524199</v>
      </c>
      <c r="K78" s="50">
        <f ca="1">-(K147-J147)</f>
        <v>2.3301098983164223</v>
      </c>
      <c r="L78" s="50">
        <f t="shared" ref="L78:U78" ca="1" si="50">-(L147-K147)</f>
        <v>14.700014655398718</v>
      </c>
      <c r="M78" s="50">
        <f t="shared" ca="1" si="50"/>
        <v>16.116578938698893</v>
      </c>
      <c r="N78" s="50">
        <f t="shared" ca="1" si="50"/>
        <v>15.672156973478209</v>
      </c>
      <c r="O78" s="50">
        <f t="shared" ca="1" si="50"/>
        <v>16.176254100830391</v>
      </c>
      <c r="P78" s="50">
        <f t="shared" ca="1" si="50"/>
        <v>17.099560289646945</v>
      </c>
      <c r="Q78" s="50">
        <f t="shared" ca="1" si="50"/>
        <v>17.165707100911959</v>
      </c>
      <c r="R78" s="50">
        <f t="shared" ca="1" si="50"/>
        <v>17.435202123716607</v>
      </c>
      <c r="S78" s="50">
        <f t="shared" ca="1" si="50"/>
        <v>17.671619567461875</v>
      </c>
      <c r="T78" s="50">
        <f t="shared" ca="1" si="50"/>
        <v>17.874905174340341</v>
      </c>
      <c r="U78" s="50">
        <f t="shared" ca="1" si="50"/>
        <v>18.026497270614499</v>
      </c>
      <c r="V78" s="67"/>
    </row>
    <row r="79" spans="2:22" ht="13.5" customHeight="1">
      <c r="B79" s="30" t="s">
        <v>854</v>
      </c>
      <c r="D79" s="59">
        <f>('Historical Financials'!AX86/1000)*1000</f>
        <v>13.125876550000044</v>
      </c>
      <c r="E79" s="59">
        <f>('Historical Financials'!AY86/1000)*1000</f>
        <v>0.49855119999980951</v>
      </c>
      <c r="F79" s="59">
        <f>('Historical Financials'!AZ86/1000)*1000</f>
        <v>4.8260986500002332</v>
      </c>
      <c r="G79" s="59">
        <f>('Historical Financials'!BA86/1000)*1000</f>
        <v>164.03508055000026</v>
      </c>
      <c r="H79" s="59">
        <f>('Historical Financials'!BB86/1000)*1000</f>
        <v>59.045053800000119</v>
      </c>
      <c r="I79" s="59">
        <f>('Historical Financials'!BC86/1000)*1000</f>
        <v>-45.771399999999858</v>
      </c>
      <c r="J79" s="59">
        <f>('Historical Financials'!BD86/1000)*1000</f>
        <v>-76.181361061142212</v>
      </c>
      <c r="K79" s="51">
        <v>0</v>
      </c>
      <c r="L79" s="51">
        <v>0</v>
      </c>
      <c r="M79" s="51">
        <v>0</v>
      </c>
      <c r="N79" s="51">
        <v>0</v>
      </c>
      <c r="O79" s="51">
        <v>0</v>
      </c>
      <c r="P79" s="51">
        <v>0</v>
      </c>
      <c r="Q79" s="51">
        <v>0</v>
      </c>
      <c r="R79" s="51">
        <v>0</v>
      </c>
      <c r="S79" s="51">
        <v>0</v>
      </c>
      <c r="T79" s="51">
        <v>0</v>
      </c>
      <c r="U79" s="51">
        <v>0</v>
      </c>
      <c r="V79" s="67"/>
    </row>
    <row r="80" spans="2:22" ht="11.25" customHeight="1">
      <c r="B80" s="60" t="s">
        <v>33</v>
      </c>
      <c r="D80" s="92">
        <f t="shared" ref="D80:U80" si="51">D74+SUM(D77:D79)</f>
        <v>270.01499999999999</v>
      </c>
      <c r="E80" s="92">
        <f t="shared" si="51"/>
        <v>167.65599999999998</v>
      </c>
      <c r="F80" s="92">
        <f t="shared" si="51"/>
        <v>322.36500000000018</v>
      </c>
      <c r="G80" s="92">
        <f t="shared" si="51"/>
        <v>273.25899999999979</v>
      </c>
      <c r="H80" s="92">
        <f t="shared" si="51"/>
        <v>538.59900000000016</v>
      </c>
      <c r="I80" s="92">
        <f t="shared" si="51"/>
        <v>340.44400000000007</v>
      </c>
      <c r="J80" s="92">
        <f t="shared" ca="1" si="51"/>
        <v>805.26087688873554</v>
      </c>
      <c r="K80" s="92">
        <f t="shared" ca="1" si="51"/>
        <v>918.66990536221294</v>
      </c>
      <c r="L80" s="92">
        <f t="shared" ca="1" si="51"/>
        <v>1082.9897610339883</v>
      </c>
      <c r="M80" s="92">
        <f t="shared" ca="1" si="51"/>
        <v>1350.6522078062169</v>
      </c>
      <c r="N80" s="92">
        <f t="shared" ca="1" si="51"/>
        <v>1662.0061869355488</v>
      </c>
      <c r="O80" s="92">
        <f t="shared" ca="1" si="51"/>
        <v>1861.7531369960393</v>
      </c>
      <c r="P80" s="92">
        <f t="shared" ca="1" si="51"/>
        <v>2175.2198027339091</v>
      </c>
      <c r="Q80" s="92">
        <f t="shared" ca="1" si="51"/>
        <v>2474.7584187112625</v>
      </c>
      <c r="R80" s="92">
        <f t="shared" ca="1" si="51"/>
        <v>2787.9279323509136</v>
      </c>
      <c r="S80" s="92">
        <f t="shared" ca="1" si="51"/>
        <v>3111.9394838736598</v>
      </c>
      <c r="T80" s="92">
        <f t="shared" ca="1" si="51"/>
        <v>3448.1425745279512</v>
      </c>
      <c r="U80" s="92">
        <f t="shared" ca="1" si="51"/>
        <v>3795.5117963137504</v>
      </c>
      <c r="V80" s="67"/>
    </row>
    <row r="81" spans="2:24" ht="11.25" customHeight="1">
      <c r="B81" s="13"/>
      <c r="D81" s="67"/>
      <c r="E81" s="67"/>
      <c r="F81" s="67"/>
      <c r="G81" s="67"/>
      <c r="H81" s="67"/>
      <c r="I81" s="67"/>
      <c r="J81" s="115"/>
      <c r="K81" s="67"/>
      <c r="L81" s="67"/>
      <c r="M81" s="67"/>
      <c r="N81" s="67"/>
      <c r="O81" s="67"/>
      <c r="P81" s="67"/>
      <c r="Q81" s="67"/>
      <c r="R81" s="67"/>
      <c r="S81" s="67"/>
      <c r="T81" s="67"/>
      <c r="U81" s="67"/>
      <c r="V81" s="67"/>
    </row>
    <row r="82" spans="2:24" ht="11.25" customHeight="1">
      <c r="B82" s="13" t="s">
        <v>406</v>
      </c>
      <c r="D82" s="49">
        <f>('Historical Financials'!AX97/1000)*1000</f>
        <v>180.55500000000001</v>
      </c>
      <c r="E82" s="49">
        <f>('Historical Financials'!AY97/1000)*1000</f>
        <v>175.422</v>
      </c>
      <c r="F82" s="49">
        <f>('Historical Financials'!AZ97/1000)*1000</f>
        <v>345.26400000000001</v>
      </c>
      <c r="G82" s="49">
        <f>('Historical Financials'!BA97/1000)*1000</f>
        <v>729.55899999999997</v>
      </c>
      <c r="H82" s="49">
        <f>('Historical Financials'!BB97/1000)*1000</f>
        <v>853.65</v>
      </c>
      <c r="I82" s="49">
        <f>('Historical Financials'!BC97/1000)*1000</f>
        <v>923.19299999999998</v>
      </c>
      <c r="J82" s="49">
        <f>('Historical Financials'!BD97/1000)*1000</f>
        <v>968.5089999999999</v>
      </c>
      <c r="K82" s="53">
        <f t="shared" ref="K82:U82" ca="1" si="52">K84+K83</f>
        <v>0</v>
      </c>
      <c r="L82" s="53">
        <f t="shared" ca="1" si="52"/>
        <v>0</v>
      </c>
      <c r="M82" s="53">
        <f t="shared" ca="1" si="52"/>
        <v>0</v>
      </c>
      <c r="N82" s="53">
        <f t="shared" ca="1" si="52"/>
        <v>0</v>
      </c>
      <c r="O82" s="53">
        <f t="shared" ca="1" si="52"/>
        <v>0</v>
      </c>
      <c r="P82" s="53">
        <f t="shared" ca="1" si="52"/>
        <v>0</v>
      </c>
      <c r="Q82" s="53">
        <f t="shared" ca="1" si="52"/>
        <v>0</v>
      </c>
      <c r="R82" s="53">
        <f t="shared" ca="1" si="52"/>
        <v>0</v>
      </c>
      <c r="S82" s="53">
        <f t="shared" ca="1" si="52"/>
        <v>0</v>
      </c>
      <c r="T82" s="53">
        <f t="shared" ca="1" si="52"/>
        <v>0</v>
      </c>
      <c r="U82" s="53">
        <f t="shared" ca="1" si="52"/>
        <v>0</v>
      </c>
      <c r="V82" s="47"/>
      <c r="X82" s="189"/>
    </row>
    <row r="83" spans="2:24" ht="13.5" customHeight="1">
      <c r="B83" s="30" t="s">
        <v>278</v>
      </c>
      <c r="D83" s="59">
        <f>('Historical Financials'!AX98/1000)*1000</f>
        <v>695.18200000000002</v>
      </c>
      <c r="E83" s="59">
        <f>('Historical Financials'!AY98/1000)*1000</f>
        <v>583.44799999999998</v>
      </c>
      <c r="F83" s="59">
        <f>('Historical Financials'!AZ98/1000)*1000</f>
        <v>791.47700000000009</v>
      </c>
      <c r="G83" s="59">
        <f>('Historical Financials'!BA98/1000)*1000</f>
        <v>1188.4549999999999</v>
      </c>
      <c r="H83" s="59">
        <f>('Historical Financials'!BB98/1000)*1000</f>
        <v>1561.4860000000001</v>
      </c>
      <c r="I83" s="59">
        <f>('Historical Financials'!BC98/1000)*1000</f>
        <v>1687.6450000000002</v>
      </c>
      <c r="J83" s="59">
        <f ca="1">('Historical Financials'!BD98/1000)*1000</f>
        <v>2334.3474052248921</v>
      </c>
      <c r="K83" s="51">
        <v>0</v>
      </c>
      <c r="L83" s="51">
        <v>0</v>
      </c>
      <c r="M83" s="51">
        <v>0</v>
      </c>
      <c r="N83" s="51">
        <v>0</v>
      </c>
      <c r="O83" s="51">
        <v>0</v>
      </c>
      <c r="P83" s="51">
        <v>0</v>
      </c>
      <c r="Q83" s="51">
        <v>0</v>
      </c>
      <c r="R83" s="51">
        <v>0</v>
      </c>
      <c r="S83" s="51">
        <v>0</v>
      </c>
      <c r="T83" s="51">
        <v>0</v>
      </c>
      <c r="U83" s="51">
        <v>0</v>
      </c>
      <c r="V83" s="47"/>
      <c r="X83" s="189"/>
    </row>
    <row r="84" spans="2:24" ht="11.25" customHeight="1">
      <c r="B84" s="12" t="s">
        <v>316</v>
      </c>
      <c r="D84" s="53">
        <f t="shared" ref="D84:I84" si="53">D82-D83</f>
        <v>-514.62699999999995</v>
      </c>
      <c r="E84" s="53">
        <f t="shared" si="53"/>
        <v>-408.02599999999995</v>
      </c>
      <c r="F84" s="53">
        <f t="shared" si="53"/>
        <v>-446.21300000000008</v>
      </c>
      <c r="G84" s="53">
        <f t="shared" si="53"/>
        <v>-458.89599999999996</v>
      </c>
      <c r="H84" s="53">
        <f t="shared" si="53"/>
        <v>-707.83600000000013</v>
      </c>
      <c r="I84" s="53">
        <f t="shared" si="53"/>
        <v>-764.45200000000023</v>
      </c>
      <c r="J84" s="53">
        <f ca="1">J82-J83</f>
        <v>-1365.8384052248921</v>
      </c>
      <c r="K84" s="53">
        <f t="shared" ref="K84:U84" ca="1" si="54">K85*K55</f>
        <v>0</v>
      </c>
      <c r="L84" s="53">
        <f t="shared" ca="1" si="54"/>
        <v>0</v>
      </c>
      <c r="M84" s="53">
        <f t="shared" ca="1" si="54"/>
        <v>0</v>
      </c>
      <c r="N84" s="53">
        <f t="shared" ca="1" si="54"/>
        <v>0</v>
      </c>
      <c r="O84" s="53">
        <f t="shared" ca="1" si="54"/>
        <v>0</v>
      </c>
      <c r="P84" s="53">
        <f t="shared" ca="1" si="54"/>
        <v>0</v>
      </c>
      <c r="Q84" s="53">
        <f t="shared" ca="1" si="54"/>
        <v>0</v>
      </c>
      <c r="R84" s="53">
        <f t="shared" ca="1" si="54"/>
        <v>0</v>
      </c>
      <c r="S84" s="53">
        <f t="shared" ca="1" si="54"/>
        <v>0</v>
      </c>
      <c r="T84" s="53">
        <f t="shared" ca="1" si="54"/>
        <v>0</v>
      </c>
      <c r="U84" s="53">
        <f t="shared" ca="1" si="54"/>
        <v>0</v>
      </c>
      <c r="V84" s="47"/>
      <c r="X84" s="27"/>
    </row>
    <row r="85" spans="2:24" ht="11.25" customHeight="1">
      <c r="B85" s="36" t="s">
        <v>53</v>
      </c>
      <c r="D85" s="76"/>
      <c r="E85" s="76">
        <f t="shared" ref="E85:J85" si="55">E84/E55</f>
        <v>-0.61860976653930044</v>
      </c>
      <c r="F85" s="76">
        <f t="shared" si="55"/>
        <v>-0.49661505211438606</v>
      </c>
      <c r="G85" s="76">
        <f t="shared" si="55"/>
        <v>-0.42792451916752422</v>
      </c>
      <c r="H85" s="76">
        <f t="shared" si="55"/>
        <v>-0.45416803326136462</v>
      </c>
      <c r="I85" s="76">
        <f t="shared" si="55"/>
        <v>-0.52588196527791653</v>
      </c>
      <c r="J85" s="76">
        <f t="shared" ca="1" si="55"/>
        <v>-0.69420128045342888</v>
      </c>
      <c r="K85" s="337">
        <v>0</v>
      </c>
      <c r="L85" s="337">
        <f t="shared" ref="L85:U85" si="56">K85</f>
        <v>0</v>
      </c>
      <c r="M85" s="337">
        <f t="shared" si="56"/>
        <v>0</v>
      </c>
      <c r="N85" s="337">
        <f t="shared" si="56"/>
        <v>0</v>
      </c>
      <c r="O85" s="337">
        <f t="shared" si="56"/>
        <v>0</v>
      </c>
      <c r="P85" s="337">
        <f t="shared" si="56"/>
        <v>0</v>
      </c>
      <c r="Q85" s="337">
        <f t="shared" si="56"/>
        <v>0</v>
      </c>
      <c r="R85" s="337">
        <f t="shared" si="56"/>
        <v>0</v>
      </c>
      <c r="S85" s="337">
        <f t="shared" si="56"/>
        <v>0</v>
      </c>
      <c r="T85" s="337">
        <f t="shared" si="56"/>
        <v>0</v>
      </c>
      <c r="U85" s="337">
        <f t="shared" si="56"/>
        <v>0</v>
      </c>
      <c r="V85" s="47"/>
      <c r="X85" s="27"/>
    </row>
    <row r="86" spans="2:24" ht="11.25" customHeight="1">
      <c r="B86" s="35"/>
      <c r="D86" s="47"/>
      <c r="E86" s="47"/>
      <c r="J86" s="47"/>
      <c r="K86" s="53"/>
      <c r="L86" s="47"/>
      <c r="M86" s="47"/>
      <c r="N86" s="47"/>
      <c r="O86" s="47"/>
      <c r="P86" s="47"/>
      <c r="Q86" s="47"/>
      <c r="R86" s="47"/>
      <c r="S86" s="47"/>
      <c r="T86" s="47"/>
      <c r="U86" s="47"/>
      <c r="V86" s="47"/>
      <c r="X86" s="27"/>
    </row>
    <row r="87" spans="2:24" ht="11.25" customHeight="1">
      <c r="B87" s="13" t="s">
        <v>44</v>
      </c>
      <c r="D87" s="19"/>
      <c r="E87" s="19"/>
      <c r="F87" s="19"/>
      <c r="G87" s="19"/>
      <c r="H87" s="19"/>
      <c r="I87" s="19"/>
      <c r="J87" s="53"/>
      <c r="K87" s="53">
        <f t="shared" ref="K87:U87" ca="1" si="57">K80+(K84-J84)</f>
        <v>2284.5083105871049</v>
      </c>
      <c r="L87" s="53">
        <f t="shared" ca="1" si="57"/>
        <v>1082.9897610339883</v>
      </c>
      <c r="M87" s="53">
        <f t="shared" ca="1" si="57"/>
        <v>1350.6522078062169</v>
      </c>
      <c r="N87" s="53">
        <f t="shared" ca="1" si="57"/>
        <v>1662.0061869355488</v>
      </c>
      <c r="O87" s="53">
        <f t="shared" ca="1" si="57"/>
        <v>1861.7531369960393</v>
      </c>
      <c r="P87" s="53">
        <f t="shared" ca="1" si="57"/>
        <v>2175.2198027339091</v>
      </c>
      <c r="Q87" s="53">
        <f t="shared" ca="1" si="57"/>
        <v>2474.7584187112625</v>
      </c>
      <c r="R87" s="53">
        <f t="shared" ca="1" si="57"/>
        <v>2787.9279323509136</v>
      </c>
      <c r="S87" s="53">
        <f t="shared" ca="1" si="57"/>
        <v>3111.9394838736598</v>
      </c>
      <c r="T87" s="53">
        <f t="shared" ca="1" si="57"/>
        <v>3448.1425745279512</v>
      </c>
      <c r="U87" s="53">
        <f t="shared" ca="1" si="57"/>
        <v>3795.5117963137504</v>
      </c>
    </row>
    <row r="88" spans="2:24" ht="11.25" customHeight="1">
      <c r="B88" s="9" t="s">
        <v>302</v>
      </c>
      <c r="J88" s="40"/>
      <c r="K88" s="218">
        <f ca="1">K87/$J$121</f>
        <v>6.8026517229166375E-2</v>
      </c>
      <c r="L88" s="218">
        <f t="shared" ref="L88:U88" ca="1" si="58">L87/$J$121</f>
        <v>3.2248524243300353E-2</v>
      </c>
      <c r="M88" s="218">
        <f t="shared" ca="1" si="58"/>
        <v>4.0218792489894059E-2</v>
      </c>
      <c r="N88" s="218">
        <f t="shared" ca="1" si="58"/>
        <v>4.9490077136771872E-2</v>
      </c>
      <c r="O88" s="218">
        <f t="shared" ca="1" si="58"/>
        <v>5.5438004433333701E-2</v>
      </c>
      <c r="P88" s="218">
        <f t="shared" ca="1" si="58"/>
        <v>6.4772199208972925E-2</v>
      </c>
      <c r="Q88" s="218">
        <f t="shared" ca="1" si="58"/>
        <v>7.3691654098304193E-2</v>
      </c>
      <c r="R88" s="218">
        <f t="shared" ca="1" si="58"/>
        <v>8.3017000483138495E-2</v>
      </c>
      <c r="S88" s="218">
        <f t="shared" ca="1" si="58"/>
        <v>9.2665193615098049E-2</v>
      </c>
      <c r="T88" s="218">
        <f t="shared" ca="1" si="58"/>
        <v>0.10267641801419665</v>
      </c>
      <c r="U88" s="218">
        <f t="shared" ca="1" si="58"/>
        <v>0.11302013978626625</v>
      </c>
    </row>
    <row r="89" spans="2:24" ht="11.25" customHeight="1">
      <c r="D89" s="19"/>
      <c r="E89" s="19"/>
      <c r="F89" s="19"/>
      <c r="G89" s="19"/>
      <c r="H89" s="19"/>
      <c r="I89" s="19"/>
    </row>
    <row r="90" spans="2:24" s="18" customFormat="1" ht="11.25" customHeight="1">
      <c r="B90" s="30" t="s">
        <v>45</v>
      </c>
      <c r="J90" s="20"/>
      <c r="K90" s="20">
        <f t="shared" ref="K90:U90" ca="1" si="59">K87+J90</f>
        <v>2284.5083105871049</v>
      </c>
      <c r="L90" s="20">
        <f t="shared" ca="1" si="59"/>
        <v>3367.498071621093</v>
      </c>
      <c r="M90" s="20">
        <f t="shared" ca="1" si="59"/>
        <v>4718.1502794273101</v>
      </c>
      <c r="N90" s="20">
        <f t="shared" ca="1" si="59"/>
        <v>6380.1564663628587</v>
      </c>
      <c r="O90" s="20">
        <f t="shared" ca="1" si="59"/>
        <v>8241.9096033588976</v>
      </c>
      <c r="P90" s="20">
        <f t="shared" ca="1" si="59"/>
        <v>10417.129406092807</v>
      </c>
      <c r="Q90" s="20">
        <f t="shared" ca="1" si="59"/>
        <v>12891.887824804069</v>
      </c>
      <c r="R90" s="20">
        <f t="shared" ca="1" si="59"/>
        <v>15679.815757154982</v>
      </c>
      <c r="S90" s="20">
        <f t="shared" ca="1" si="59"/>
        <v>18791.755241028641</v>
      </c>
      <c r="T90" s="20">
        <f t="shared" ca="1" si="59"/>
        <v>22239.897815556593</v>
      </c>
      <c r="U90" s="20">
        <f t="shared" ca="1" si="59"/>
        <v>26035.409611870342</v>
      </c>
    </row>
    <row r="91" spans="2:24" ht="11.25" customHeight="1">
      <c r="B91" s="9" t="s">
        <v>302</v>
      </c>
      <c r="J91" s="40"/>
      <c r="K91" s="218">
        <f ca="1">K90/$J$121</f>
        <v>6.8026517229166375E-2</v>
      </c>
      <c r="L91" s="40">
        <f t="shared" ref="L91:U91" ca="1" si="60">L90/$J$121</f>
        <v>0.10027504147246671</v>
      </c>
      <c r="M91" s="40">
        <f t="shared" ca="1" si="60"/>
        <v>0.14049383396236079</v>
      </c>
      <c r="N91" s="40">
        <f t="shared" ca="1" si="60"/>
        <v>0.18998391109913265</v>
      </c>
      <c r="O91" s="219">
        <f t="shared" ca="1" si="60"/>
        <v>0.24542191553246634</v>
      </c>
      <c r="P91" s="40">
        <f t="shared" ca="1" si="60"/>
        <v>0.31019411474143926</v>
      </c>
      <c r="Q91" s="40">
        <f t="shared" ca="1" si="60"/>
        <v>0.38388576883974346</v>
      </c>
      <c r="R91" s="40">
        <f t="shared" ca="1" si="60"/>
        <v>0.46690276932288194</v>
      </c>
      <c r="S91" s="40">
        <f t="shared" ca="1" si="60"/>
        <v>0.55956796293797995</v>
      </c>
      <c r="T91" s="40">
        <f t="shared" ca="1" si="60"/>
        <v>0.66224438095217664</v>
      </c>
      <c r="U91" s="40">
        <f t="shared" ca="1" si="60"/>
        <v>0.77526452073844287</v>
      </c>
    </row>
    <row r="92" spans="2:24" ht="11.25" hidden="1" customHeight="1" outlineLevel="1"/>
    <row r="93" spans="2:24" ht="11.25" hidden="1" customHeight="1" outlineLevel="1">
      <c r="B93" s="25" t="s">
        <v>66</v>
      </c>
    </row>
    <row r="94" spans="2:24" ht="11.25" hidden="1" customHeight="1" outlineLevel="1">
      <c r="B94" s="2" t="s">
        <v>49</v>
      </c>
      <c r="D94" s="19"/>
      <c r="H94" s="19">
        <f>$J$121</f>
        <v>33582.614598526321</v>
      </c>
      <c r="I94" s="19">
        <f t="shared" ref="I94:U94" si="61">$J$121</f>
        <v>33582.614598526321</v>
      </c>
      <c r="J94" s="19">
        <f t="shared" si="61"/>
        <v>33582.614598526321</v>
      </c>
      <c r="K94" s="19">
        <f t="shared" si="61"/>
        <v>33582.614598526321</v>
      </c>
      <c r="L94" s="19">
        <f t="shared" si="61"/>
        <v>33582.614598526321</v>
      </c>
      <c r="M94" s="19">
        <f t="shared" si="61"/>
        <v>33582.614598526321</v>
      </c>
      <c r="N94" s="19">
        <f t="shared" si="61"/>
        <v>33582.614598526321</v>
      </c>
      <c r="O94" s="19">
        <f t="shared" si="61"/>
        <v>33582.614598526321</v>
      </c>
      <c r="P94" s="19">
        <f t="shared" si="61"/>
        <v>33582.614598526321</v>
      </c>
      <c r="Q94" s="19">
        <f t="shared" si="61"/>
        <v>33582.614598526321</v>
      </c>
      <c r="R94" s="19">
        <f t="shared" si="61"/>
        <v>33582.614598526321</v>
      </c>
      <c r="S94" s="19">
        <f t="shared" si="61"/>
        <v>33582.614598526321</v>
      </c>
      <c r="T94" s="19">
        <f t="shared" si="61"/>
        <v>33582.614598526321</v>
      </c>
      <c r="U94" s="19">
        <f t="shared" si="61"/>
        <v>33582.614598526321</v>
      </c>
    </row>
    <row r="95" spans="2:24" ht="13.5" hidden="1" outlineLevel="1">
      <c r="B95" s="178" t="s">
        <v>45</v>
      </c>
      <c r="H95" s="24">
        <f>-H90</f>
        <v>0</v>
      </c>
      <c r="I95" s="24">
        <f t="shared" ref="I95:U95" si="62">-I90</f>
        <v>0</v>
      </c>
      <c r="J95" s="24">
        <f t="shared" si="62"/>
        <v>0</v>
      </c>
      <c r="K95" s="24">
        <f t="shared" ca="1" si="62"/>
        <v>-2284.5083105871049</v>
      </c>
      <c r="L95" s="24">
        <f t="shared" ca="1" si="62"/>
        <v>-3367.498071621093</v>
      </c>
      <c r="M95" s="24">
        <f t="shared" ca="1" si="62"/>
        <v>-4718.1502794273101</v>
      </c>
      <c r="N95" s="24">
        <f t="shared" ca="1" si="62"/>
        <v>-6380.1564663628587</v>
      </c>
      <c r="O95" s="24">
        <f t="shared" ca="1" si="62"/>
        <v>-8241.9096033588976</v>
      </c>
      <c r="P95" s="24">
        <f t="shared" ca="1" si="62"/>
        <v>-10417.129406092807</v>
      </c>
      <c r="Q95" s="24">
        <f t="shared" ca="1" si="62"/>
        <v>-12891.887824804069</v>
      </c>
      <c r="R95" s="24">
        <f t="shared" ca="1" si="62"/>
        <v>-15679.815757154982</v>
      </c>
      <c r="S95" s="24">
        <f t="shared" ca="1" si="62"/>
        <v>-18791.755241028641</v>
      </c>
      <c r="T95" s="24">
        <f t="shared" ca="1" si="62"/>
        <v>-22239.897815556593</v>
      </c>
      <c r="U95" s="24">
        <f t="shared" ca="1" si="62"/>
        <v>-26035.409611870342</v>
      </c>
    </row>
    <row r="96" spans="2:24" ht="11.25" hidden="1" customHeight="1" outlineLevel="1">
      <c r="B96" s="12" t="s">
        <v>65</v>
      </c>
      <c r="H96" s="19">
        <f>H94+H95</f>
        <v>33582.614598526321</v>
      </c>
      <c r="I96" s="19">
        <f t="shared" ref="I96:U96" si="63">I94+I95</f>
        <v>33582.614598526321</v>
      </c>
      <c r="J96" s="19">
        <f t="shared" si="63"/>
        <v>33582.614598526321</v>
      </c>
      <c r="K96" s="19">
        <f t="shared" ca="1" si="63"/>
        <v>31298.106287939216</v>
      </c>
      <c r="L96" s="19">
        <f t="shared" ca="1" si="63"/>
        <v>30215.116526905229</v>
      </c>
      <c r="M96" s="19">
        <f t="shared" ca="1" si="63"/>
        <v>28864.46431909901</v>
      </c>
      <c r="N96" s="19">
        <f t="shared" ca="1" si="63"/>
        <v>27202.458132163461</v>
      </c>
      <c r="O96" s="19">
        <f t="shared" ca="1" si="63"/>
        <v>25340.704995167423</v>
      </c>
      <c r="P96" s="19">
        <f t="shared" ca="1" si="63"/>
        <v>23165.485192433516</v>
      </c>
      <c r="Q96" s="19">
        <f t="shared" ca="1" si="63"/>
        <v>20690.72677372225</v>
      </c>
      <c r="R96" s="19">
        <f t="shared" ca="1" si="63"/>
        <v>17902.798841371339</v>
      </c>
      <c r="S96" s="19">
        <f t="shared" ca="1" si="63"/>
        <v>14790.85935749768</v>
      </c>
      <c r="T96" s="19">
        <f t="shared" ca="1" si="63"/>
        <v>11342.716782969728</v>
      </c>
      <c r="U96" s="19">
        <f t="shared" ca="1" si="63"/>
        <v>7547.2049866559792</v>
      </c>
    </row>
    <row r="97" spans="2:21" ht="11.25" hidden="1" customHeight="1" outlineLevel="1">
      <c r="B97" s="13" t="s">
        <v>316</v>
      </c>
      <c r="H97" s="50">
        <f>SUM($J$122:$J$123)</f>
        <v>-1199.0909999999999</v>
      </c>
      <c r="I97" s="50">
        <f>H97</f>
        <v>-1199.0909999999999</v>
      </c>
      <c r="J97" s="19">
        <f t="shared" ref="J97:U97" ca="1" si="64">J84</f>
        <v>-1365.8384052248921</v>
      </c>
      <c r="K97" s="19">
        <f t="shared" ca="1" si="64"/>
        <v>0</v>
      </c>
      <c r="L97" s="19">
        <f t="shared" ca="1" si="64"/>
        <v>0</v>
      </c>
      <c r="M97" s="19">
        <f t="shared" ca="1" si="64"/>
        <v>0</v>
      </c>
      <c r="N97" s="19">
        <f t="shared" ca="1" si="64"/>
        <v>0</v>
      </c>
      <c r="O97" s="19">
        <f t="shared" ca="1" si="64"/>
        <v>0</v>
      </c>
      <c r="P97" s="19">
        <f t="shared" ca="1" si="64"/>
        <v>0</v>
      </c>
      <c r="Q97" s="19">
        <f t="shared" ca="1" si="64"/>
        <v>0</v>
      </c>
      <c r="R97" s="19">
        <f t="shared" ca="1" si="64"/>
        <v>0</v>
      </c>
      <c r="S97" s="19">
        <f t="shared" ca="1" si="64"/>
        <v>0</v>
      </c>
      <c r="T97" s="19">
        <f t="shared" ca="1" si="64"/>
        <v>0</v>
      </c>
      <c r="U97" s="19">
        <f t="shared" ca="1" si="64"/>
        <v>0</v>
      </c>
    </row>
    <row r="98" spans="2:21" ht="13.5" hidden="1" outlineLevel="1">
      <c r="B98" s="18" t="s">
        <v>279</v>
      </c>
      <c r="H98" s="24">
        <f>$J$124</f>
        <v>31.902999999999999</v>
      </c>
      <c r="I98" s="24">
        <f t="shared" ref="I98:U98" si="65">$J$124</f>
        <v>31.902999999999999</v>
      </c>
      <c r="J98" s="24">
        <f t="shared" si="65"/>
        <v>31.902999999999999</v>
      </c>
      <c r="K98" s="24">
        <f t="shared" si="65"/>
        <v>31.902999999999999</v>
      </c>
      <c r="L98" s="24">
        <f t="shared" si="65"/>
        <v>31.902999999999999</v>
      </c>
      <c r="M98" s="24">
        <f t="shared" si="65"/>
        <v>31.902999999999999</v>
      </c>
      <c r="N98" s="24">
        <f t="shared" si="65"/>
        <v>31.902999999999999</v>
      </c>
      <c r="O98" s="24">
        <f t="shared" si="65"/>
        <v>31.902999999999999</v>
      </c>
      <c r="P98" s="24">
        <f t="shared" si="65"/>
        <v>31.902999999999999</v>
      </c>
      <c r="Q98" s="24">
        <f t="shared" si="65"/>
        <v>31.902999999999999</v>
      </c>
      <c r="R98" s="24">
        <f t="shared" si="65"/>
        <v>31.902999999999999</v>
      </c>
      <c r="S98" s="24">
        <f t="shared" si="65"/>
        <v>31.902999999999999</v>
      </c>
      <c r="T98" s="24">
        <f t="shared" si="65"/>
        <v>31.902999999999999</v>
      </c>
      <c r="U98" s="24">
        <f t="shared" si="65"/>
        <v>31.902999999999999</v>
      </c>
    </row>
    <row r="99" spans="2:21" ht="11.25" hidden="1" customHeight="1" outlineLevel="1">
      <c r="B99" s="12" t="s">
        <v>50</v>
      </c>
      <c r="H99" s="19">
        <f t="shared" ref="H99:U99" si="66">SUM(H96+SUM(H97:H98))</f>
        <v>32415.426598526323</v>
      </c>
      <c r="I99" s="19">
        <f t="shared" si="66"/>
        <v>32415.426598526323</v>
      </c>
      <c r="J99" s="19">
        <f t="shared" ca="1" si="66"/>
        <v>32248.679193301428</v>
      </c>
      <c r="K99" s="19">
        <f t="shared" ca="1" si="66"/>
        <v>31330.009287939214</v>
      </c>
      <c r="L99" s="19">
        <f t="shared" ca="1" si="66"/>
        <v>30247.019526905227</v>
      </c>
      <c r="M99" s="19">
        <f t="shared" ca="1" si="66"/>
        <v>28896.367319099008</v>
      </c>
      <c r="N99" s="19">
        <f t="shared" ca="1" si="66"/>
        <v>27234.36113216346</v>
      </c>
      <c r="O99" s="19">
        <f t="shared" ca="1" si="66"/>
        <v>25372.607995167422</v>
      </c>
      <c r="P99" s="19">
        <f t="shared" ca="1" si="66"/>
        <v>23197.388192433515</v>
      </c>
      <c r="Q99" s="19">
        <f t="shared" ca="1" si="66"/>
        <v>20722.629773722249</v>
      </c>
      <c r="R99" s="19">
        <f t="shared" ca="1" si="66"/>
        <v>17934.701841371338</v>
      </c>
      <c r="S99" s="19">
        <f t="shared" ca="1" si="66"/>
        <v>14822.762357497681</v>
      </c>
      <c r="T99" s="19">
        <f t="shared" ca="1" si="66"/>
        <v>11374.619782969728</v>
      </c>
      <c r="U99" s="19">
        <f t="shared" ca="1" si="66"/>
        <v>7579.1079866559794</v>
      </c>
    </row>
    <row r="100" spans="2:21" ht="11.25" customHeight="1" collapsed="1">
      <c r="J100" s="77"/>
      <c r="K100" s="77"/>
      <c r="L100" s="77"/>
      <c r="M100" s="77"/>
      <c r="N100" s="77"/>
      <c r="O100" s="77"/>
      <c r="P100" s="77"/>
      <c r="Q100" s="77"/>
      <c r="R100" s="77"/>
      <c r="S100" s="77"/>
    </row>
    <row r="101" spans="2:21" ht="11.25" customHeight="1">
      <c r="B101" s="65" t="s">
        <v>448</v>
      </c>
    </row>
    <row r="102" spans="2:21" ht="11.25" customHeight="1">
      <c r="B102" s="2" t="s">
        <v>317</v>
      </c>
      <c r="D102" s="77"/>
      <c r="E102" s="77"/>
      <c r="F102" s="77"/>
      <c r="G102" s="77"/>
      <c r="H102" s="77">
        <f t="shared" ref="H102:U102" si="67">H99/H12</f>
        <v>14.318455445751288</v>
      </c>
      <c r="I102" s="77">
        <f t="shared" si="67"/>
        <v>14.995090334123281</v>
      </c>
      <c r="J102" s="77">
        <f t="shared" ca="1" si="67"/>
        <v>11.170345970614013</v>
      </c>
      <c r="K102" s="77">
        <f t="shared" ca="1" si="67"/>
        <v>8.8946214724512576</v>
      </c>
      <c r="L102" s="77">
        <f t="shared" ca="1" si="67"/>
        <v>7.4288191090129043</v>
      </c>
      <c r="M102" s="77">
        <f t="shared" ca="1" si="67"/>
        <v>6.1827230016904862</v>
      </c>
      <c r="N102" s="77">
        <f t="shared" ca="1" si="67"/>
        <v>5.1783503365327945</v>
      </c>
      <c r="O102" s="77">
        <f t="shared" ca="1" si="67"/>
        <v>4.3270991362407063</v>
      </c>
      <c r="P102" s="77">
        <f t="shared" ca="1" si="67"/>
        <v>3.5674408416472025</v>
      </c>
      <c r="Q102" s="77">
        <f t="shared" ca="1" si="67"/>
        <v>2.9007541120738529</v>
      </c>
      <c r="R102" s="77">
        <f t="shared" ca="1" si="67"/>
        <v>2.3007090894298203</v>
      </c>
      <c r="S102" s="77">
        <f t="shared" ca="1" si="67"/>
        <v>1.7530231863178616</v>
      </c>
      <c r="T102" s="77">
        <f t="shared" ca="1" si="67"/>
        <v>1.2467540102400378</v>
      </c>
      <c r="U102" s="77">
        <f t="shared" ca="1" si="67"/>
        <v>0.77362341036958093</v>
      </c>
    </row>
    <row r="103" spans="2:21" ht="11.25" customHeight="1">
      <c r="B103" s="2" t="s">
        <v>318</v>
      </c>
      <c r="D103" s="77"/>
      <c r="E103" s="77"/>
      <c r="F103" s="77"/>
      <c r="G103" s="77"/>
      <c r="H103" s="77">
        <f t="shared" ref="H103:U103" si="68">H$99/H19</f>
        <v>24.040715967706767</v>
      </c>
      <c r="I103" s="77">
        <f t="shared" si="68"/>
        <v>27.584991203832086</v>
      </c>
      <c r="J103" s="77">
        <f t="shared" ca="1" si="68"/>
        <v>20.012351358722064</v>
      </c>
      <c r="K103" s="77">
        <f t="shared" ca="1" si="68"/>
        <v>15.178228638559862</v>
      </c>
      <c r="L103" s="77">
        <f t="shared" ca="1" si="68"/>
        <v>12.603808902648337</v>
      </c>
      <c r="M103" s="77">
        <f t="shared" ca="1" si="68"/>
        <v>10.429528228947088</v>
      </c>
      <c r="N103" s="77">
        <f t="shared" ca="1" si="68"/>
        <v>8.6854720554393019</v>
      </c>
      <c r="O103" s="77">
        <f t="shared" ca="1" si="68"/>
        <v>7.2165575926743655</v>
      </c>
      <c r="P103" s="77">
        <f t="shared" ca="1" si="68"/>
        <v>5.9160959556035371</v>
      </c>
      <c r="Q103" s="77">
        <f t="shared" ca="1" si="68"/>
        <v>4.7835281744965537</v>
      </c>
      <c r="R103" s="77">
        <f t="shared" ca="1" si="68"/>
        <v>3.7728693089564329</v>
      </c>
      <c r="S103" s="77">
        <f t="shared" ca="1" si="68"/>
        <v>2.8588004321016389</v>
      </c>
      <c r="T103" s="77">
        <f t="shared" ca="1" si="68"/>
        <v>2.0219779746164228</v>
      </c>
      <c r="U103" s="77">
        <f t="shared" ca="1" si="68"/>
        <v>1.2477796941444852</v>
      </c>
    </row>
    <row r="104" spans="2:21" ht="11.25" customHeight="1">
      <c r="B104" s="2" t="s">
        <v>319</v>
      </c>
      <c r="H104" s="77">
        <f t="shared" ref="H104:U104" si="69">H$99/H29</f>
        <v>28.909324224393433</v>
      </c>
      <c r="I104" s="77">
        <f t="shared" si="69"/>
        <v>35.178103802556279</v>
      </c>
      <c r="J104" s="77">
        <f t="shared" ca="1" si="69"/>
        <v>24.704368161934504</v>
      </c>
      <c r="K104" s="77">
        <f t="shared" ca="1" si="69"/>
        <v>18.530461400940126</v>
      </c>
      <c r="L104" s="77">
        <f t="shared" ca="1" si="69"/>
        <v>15.317152802088462</v>
      </c>
      <c r="M104" s="77">
        <f t="shared" ca="1" si="69"/>
        <v>12.617802044266298</v>
      </c>
      <c r="N104" s="77">
        <f t="shared" ca="1" si="69"/>
        <v>10.461313811177364</v>
      </c>
      <c r="O104" s="77">
        <f t="shared" ca="1" si="69"/>
        <v>8.6541982724814126</v>
      </c>
      <c r="P104" s="77">
        <f t="shared" ca="1" si="69"/>
        <v>7.0642392903905007</v>
      </c>
      <c r="Q104" s="77">
        <f t="shared" ca="1" si="69"/>
        <v>5.6877531609291232</v>
      </c>
      <c r="R104" s="77">
        <f t="shared" ca="1" si="69"/>
        <v>4.4673962901549906</v>
      </c>
      <c r="S104" s="77">
        <f t="shared" ca="1" si="69"/>
        <v>3.3711984352266566</v>
      </c>
      <c r="T104" s="77">
        <f t="shared" ca="1" si="69"/>
        <v>2.3747695433143576</v>
      </c>
      <c r="U104" s="77">
        <f t="shared" ca="1" si="69"/>
        <v>1.4596668120180771</v>
      </c>
    </row>
    <row r="105" spans="2:21" ht="11.25" customHeight="1">
      <c r="B105" s="2" t="s">
        <v>46</v>
      </c>
      <c r="H105" s="77">
        <f t="shared" ref="H105:U105" si="70">H$99/H63</f>
        <v>68.119485958371072</v>
      </c>
      <c r="I105" s="77">
        <f t="shared" si="70"/>
        <v>64.336746980244385</v>
      </c>
      <c r="J105" s="77">
        <f t="shared" ca="1" si="70"/>
        <v>32.99731965385746</v>
      </c>
      <c r="K105" s="77">
        <f t="shared" ca="1" si="70"/>
        <v>26.778945817918565</v>
      </c>
      <c r="L105" s="77">
        <f t="shared" ca="1" si="70"/>
        <v>22.167155986432324</v>
      </c>
      <c r="M105" s="77">
        <f t="shared" ca="1" si="70"/>
        <v>17.220158589717951</v>
      </c>
      <c r="N105" s="77">
        <f t="shared" ca="1" si="70"/>
        <v>13.370921003062131</v>
      </c>
      <c r="O105" s="77">
        <f t="shared" ca="1" si="70"/>
        <v>11.10228124317136</v>
      </c>
      <c r="P105" s="77">
        <f t="shared" ca="1" si="70"/>
        <v>8.7514631848827058</v>
      </c>
      <c r="Q105" s="77">
        <f t="shared" ca="1" si="70"/>
        <v>6.8981174845160851</v>
      </c>
      <c r="R105" s="77">
        <f t="shared" ca="1" si="70"/>
        <v>5.317642492661129</v>
      </c>
      <c r="S105" s="77">
        <f t="shared" ca="1" si="70"/>
        <v>3.948735040861687</v>
      </c>
      <c r="T105" s="77">
        <f t="shared" ca="1" si="70"/>
        <v>2.7417083427766538</v>
      </c>
      <c r="U105" s="77">
        <f t="shared" ca="1" si="70"/>
        <v>1.6634207387055326</v>
      </c>
    </row>
    <row r="106" spans="2:21" ht="11.25" customHeight="1">
      <c r="B106" s="2" t="s">
        <v>70</v>
      </c>
      <c r="H106" s="77">
        <f t="shared" ref="H106:U106" si="71">H$96/H74</f>
        <v>106.64377335385102</v>
      </c>
      <c r="I106" s="77">
        <f t="shared" si="71"/>
        <v>82.867174972523884</v>
      </c>
      <c r="J106" s="77">
        <f t="shared" ca="1" si="71"/>
        <v>39.681902717707842</v>
      </c>
      <c r="K106" s="77">
        <f t="shared" ca="1" si="71"/>
        <v>34.155568101344507</v>
      </c>
      <c r="L106" s="77">
        <f t="shared" ca="1" si="71"/>
        <v>28.283634313005322</v>
      </c>
      <c r="M106" s="77">
        <f t="shared" ca="1" si="71"/>
        <v>21.628845041472058</v>
      </c>
      <c r="N106" s="77">
        <f t="shared" ca="1" si="71"/>
        <v>16.523049172949531</v>
      </c>
      <c r="O106" s="77">
        <f t="shared" ca="1" si="71"/>
        <v>13.730506287776395</v>
      </c>
      <c r="P106" s="77">
        <f t="shared" ca="1" si="71"/>
        <v>10.734103103632703</v>
      </c>
      <c r="Q106" s="77">
        <f t="shared" ca="1" si="71"/>
        <v>8.4191032452096355</v>
      </c>
      <c r="R106" s="77">
        <f t="shared" ca="1" si="71"/>
        <v>6.4619548162117724</v>
      </c>
      <c r="S106" s="77">
        <f t="shared" ca="1" si="71"/>
        <v>4.7800836922094048</v>
      </c>
      <c r="T106" s="77">
        <f t="shared" ca="1" si="71"/>
        <v>3.3066564700786496</v>
      </c>
      <c r="U106" s="77">
        <f t="shared" ca="1" si="71"/>
        <v>1.9979442378154959</v>
      </c>
    </row>
    <row r="107" spans="2:21" ht="11.25" customHeight="1">
      <c r="B107" s="2" t="s">
        <v>71</v>
      </c>
      <c r="H107" s="77">
        <f t="shared" ref="H107:U107" si="72">H$96/H45</f>
        <v>34.530028874933471</v>
      </c>
      <c r="I107" s="77">
        <f t="shared" si="72"/>
        <v>40.349395918800134</v>
      </c>
      <c r="J107" s="77">
        <f t="shared" ca="1" si="72"/>
        <v>28.414813402210182</v>
      </c>
      <c r="K107" s="77">
        <f ca="1">K$96/K45</f>
        <v>21.778343574346611</v>
      </c>
      <c r="L107" s="77">
        <f t="shared" ca="1" si="72"/>
        <v>18.00117300867549</v>
      </c>
      <c r="M107" s="77">
        <f t="shared" ca="1" si="72"/>
        <v>14.828083970486517</v>
      </c>
      <c r="N107" s="77">
        <f t="shared" ca="1" si="72"/>
        <v>12.293010789481617</v>
      </c>
      <c r="O107" s="77">
        <f t="shared" ca="1" si="72"/>
        <v>10.168607835310773</v>
      </c>
      <c r="P107" s="77">
        <f t="shared" ca="1" si="72"/>
        <v>8.2994399460643802</v>
      </c>
      <c r="Q107" s="77">
        <f t="shared" ca="1" si="72"/>
        <v>6.6811726171249477</v>
      </c>
      <c r="R107" s="77">
        <f t="shared" ca="1" si="72"/>
        <v>5.2464111743833355</v>
      </c>
      <c r="S107" s="77">
        <f t="shared" ca="1" si="72"/>
        <v>3.957579543507006</v>
      </c>
      <c r="T107" s="77">
        <f t="shared" ca="1" si="72"/>
        <v>2.7860104718780456</v>
      </c>
      <c r="U107" s="77">
        <f t="shared" ca="1" si="72"/>
        <v>1.7100265721033479</v>
      </c>
    </row>
    <row r="109" spans="2:21" ht="13.5" customHeight="1">
      <c r="B109" s="213" t="s">
        <v>47</v>
      </c>
      <c r="I109" s="212"/>
      <c r="J109" s="212"/>
    </row>
    <row r="110" spans="2:21" ht="13.5" customHeight="1">
      <c r="B110" s="30" t="s">
        <v>62</v>
      </c>
      <c r="S110" s="145"/>
      <c r="T110" s="145">
        <v>15</v>
      </c>
      <c r="U110" s="101" t="s">
        <v>52</v>
      </c>
    </row>
    <row r="111" spans="2:21" ht="11.25" customHeight="1">
      <c r="B111" s="2" t="s">
        <v>320</v>
      </c>
      <c r="I111" s="19"/>
      <c r="J111" s="19"/>
      <c r="K111" s="19"/>
      <c r="L111" s="19"/>
      <c r="M111" s="19"/>
      <c r="N111" s="19"/>
      <c r="O111" s="19"/>
      <c r="P111" s="19"/>
      <c r="Q111" s="19"/>
      <c r="R111" s="19"/>
      <c r="S111" s="19"/>
      <c r="T111" s="19">
        <f ca="1">T110*U74</f>
        <v>56662.279485647035</v>
      </c>
      <c r="U111" s="102">
        <f ca="1">SUM(J111:T111)</f>
        <v>56662.279485647035</v>
      </c>
    </row>
    <row r="112" spans="2:21" ht="11.25" customHeight="1">
      <c r="B112" s="13" t="s">
        <v>321</v>
      </c>
      <c r="J112" s="19"/>
      <c r="K112" s="19">
        <f t="shared" ref="K112:T112" ca="1" si="73">K87</f>
        <v>2284.5083105871049</v>
      </c>
      <c r="L112" s="19">
        <f t="shared" ca="1" si="73"/>
        <v>1082.9897610339883</v>
      </c>
      <c r="M112" s="19">
        <f t="shared" ca="1" si="73"/>
        <v>1350.6522078062169</v>
      </c>
      <c r="N112" s="19">
        <f t="shared" ca="1" si="73"/>
        <v>1662.0061869355488</v>
      </c>
      <c r="O112" s="19">
        <f t="shared" ca="1" si="73"/>
        <v>1861.7531369960393</v>
      </c>
      <c r="P112" s="19">
        <f t="shared" ca="1" si="73"/>
        <v>2175.2198027339091</v>
      </c>
      <c r="Q112" s="19">
        <f t="shared" ca="1" si="73"/>
        <v>2474.7584187112625</v>
      </c>
      <c r="R112" s="19">
        <f t="shared" ca="1" si="73"/>
        <v>2787.9279323509136</v>
      </c>
      <c r="S112" s="19">
        <f t="shared" ca="1" si="73"/>
        <v>3111.9394838736598</v>
      </c>
      <c r="T112" s="19">
        <f t="shared" ca="1" si="73"/>
        <v>3448.1425745279512</v>
      </c>
      <c r="U112" s="102">
        <f ca="1">SUM(J112:T112)</f>
        <v>22239.897815556593</v>
      </c>
    </row>
    <row r="113" spans="2:24" ht="13.5">
      <c r="B113" s="30" t="s">
        <v>322</v>
      </c>
      <c r="C113" s="18"/>
      <c r="D113" s="18"/>
      <c r="E113" s="18"/>
      <c r="F113" s="18"/>
      <c r="G113" s="18"/>
      <c r="H113" s="18"/>
      <c r="I113" s="70"/>
      <c r="J113" s="70">
        <f>-J121</f>
        <v>-33582.614598526321</v>
      </c>
      <c r="K113" s="70" t="s">
        <v>51</v>
      </c>
      <c r="L113" s="70" t="s">
        <v>51</v>
      </c>
      <c r="M113" s="70" t="s">
        <v>51</v>
      </c>
      <c r="N113" s="70" t="s">
        <v>51</v>
      </c>
      <c r="O113" s="70" t="s">
        <v>51</v>
      </c>
      <c r="P113" s="70" t="s">
        <v>51</v>
      </c>
      <c r="Q113" s="70" t="s">
        <v>51</v>
      </c>
      <c r="R113" s="70" t="s">
        <v>51</v>
      </c>
      <c r="S113" s="70" t="s">
        <v>51</v>
      </c>
      <c r="T113" s="70" t="s">
        <v>51</v>
      </c>
      <c r="U113" s="103">
        <f>SUM(J113:T113)</f>
        <v>-33582.614598526321</v>
      </c>
    </row>
    <row r="114" spans="2:24" s="18" customFormat="1" ht="11.25" customHeight="1">
      <c r="B114" s="12" t="s">
        <v>15</v>
      </c>
      <c r="C114" s="2"/>
      <c r="D114" s="2"/>
      <c r="E114" s="2"/>
      <c r="F114" s="2"/>
      <c r="G114" s="2"/>
      <c r="H114" s="2"/>
      <c r="I114" s="19"/>
      <c r="J114" s="19">
        <f t="shared" ref="J114:T114" si="74">SUM(J111:J113)</f>
        <v>-33582.614598526321</v>
      </c>
      <c r="K114" s="19">
        <f t="shared" ca="1" si="74"/>
        <v>2284.5083105871049</v>
      </c>
      <c r="L114" s="19">
        <f t="shared" ca="1" si="74"/>
        <v>1082.9897610339883</v>
      </c>
      <c r="M114" s="19">
        <f t="shared" ca="1" si="74"/>
        <v>1350.6522078062169</v>
      </c>
      <c r="N114" s="19">
        <f t="shared" ca="1" si="74"/>
        <v>1662.0061869355488</v>
      </c>
      <c r="O114" s="19">
        <f t="shared" ca="1" si="74"/>
        <v>1861.7531369960393</v>
      </c>
      <c r="P114" s="19">
        <f t="shared" ca="1" si="74"/>
        <v>2175.2198027339091</v>
      </c>
      <c r="Q114" s="19">
        <f t="shared" ca="1" si="74"/>
        <v>2474.7584187112625</v>
      </c>
      <c r="R114" s="19">
        <f t="shared" ca="1" si="74"/>
        <v>2787.9279323509136</v>
      </c>
      <c r="S114" s="19">
        <f t="shared" ca="1" si="74"/>
        <v>3111.9394838736598</v>
      </c>
      <c r="T114" s="19">
        <f t="shared" ca="1" si="74"/>
        <v>60110.422060174984</v>
      </c>
      <c r="U114" s="104">
        <f ca="1">(U111+U112)/-U113</f>
        <v>2.3494947681847864</v>
      </c>
    </row>
    <row r="115" spans="2:24" ht="11.25" customHeight="1">
      <c r="S115" s="19"/>
    </row>
    <row r="116" spans="2:24" ht="11.25" customHeight="1">
      <c r="B116" s="130" t="s">
        <v>76</v>
      </c>
      <c r="C116" s="131"/>
      <c r="D116" s="131"/>
      <c r="E116" s="131"/>
      <c r="F116" s="132">
        <f ca="1">XIRR(J114:T114,J208:T208)</f>
        <v>0.10906456112861632</v>
      </c>
      <c r="I116"/>
    </row>
    <row r="118" spans="2:24" ht="11.25" customHeight="1">
      <c r="B118" s="151" t="s">
        <v>48</v>
      </c>
      <c r="C118" s="152"/>
      <c r="D118" s="152"/>
      <c r="E118" s="152"/>
      <c r="F118" s="153"/>
      <c r="G118" s="153"/>
      <c r="H118" s="153"/>
      <c r="I118" s="153"/>
      <c r="J118" s="153"/>
      <c r="K118" s="153"/>
      <c r="L118"/>
      <c r="M118"/>
      <c r="N118"/>
      <c r="O118"/>
      <c r="P118"/>
      <c r="Q118"/>
      <c r="R118"/>
      <c r="S118"/>
      <c r="T118"/>
      <c r="U118"/>
    </row>
    <row r="119" spans="2:24" ht="13.5" customHeight="1">
      <c r="B119" s="96"/>
      <c r="C119" s="96"/>
      <c r="D119" s="89" t="s">
        <v>907</v>
      </c>
      <c r="E119" s="585"/>
      <c r="G119" s="89" t="s">
        <v>908</v>
      </c>
      <c r="H119" s="585"/>
      <c r="I119" s="64" t="s">
        <v>910</v>
      </c>
      <c r="J119" s="89" t="s">
        <v>909</v>
      </c>
      <c r="K119" s="585"/>
      <c r="L119"/>
      <c r="M119"/>
      <c r="N119"/>
      <c r="O119"/>
      <c r="P119"/>
      <c r="Q119"/>
      <c r="R119"/>
      <c r="S119"/>
      <c r="T119"/>
      <c r="U119"/>
    </row>
    <row r="120" spans="2:24" ht="13.5" customHeight="1">
      <c r="B120" s="96"/>
      <c r="C120" s="96"/>
      <c r="D120" s="146" t="s">
        <v>904</v>
      </c>
      <c r="E120" s="146" t="s">
        <v>905</v>
      </c>
      <c r="G120" s="146" t="s">
        <v>904</v>
      </c>
      <c r="H120" s="146" t="s">
        <v>906</v>
      </c>
      <c r="I120" s="64" t="s">
        <v>910</v>
      </c>
      <c r="J120" s="146" t="s">
        <v>904</v>
      </c>
      <c r="K120" s="146" t="s">
        <v>905</v>
      </c>
      <c r="L120" s="146"/>
      <c r="M120" s="146"/>
      <c r="N120" s="146"/>
      <c r="O120" s="146"/>
      <c r="P120" s="146"/>
      <c r="Q120" s="146"/>
      <c r="R120" s="146"/>
      <c r="S120" s="146"/>
      <c r="T120"/>
      <c r="U120"/>
    </row>
    <row r="121" spans="2:24" ht="11.25" customHeight="1">
      <c r="B121" s="105" t="s">
        <v>75</v>
      </c>
      <c r="C121" s="97"/>
      <c r="D121" s="106">
        <f>E121*E126</f>
        <v>33582.614598526314</v>
      </c>
      <c r="E121" s="241">
        <f>'Simple Model (A)'!E121</f>
        <v>1294.7444399999999</v>
      </c>
      <c r="G121" s="287">
        <f>H121*H126</f>
        <v>1024.4848870813398</v>
      </c>
      <c r="H121" s="593">
        <f>'Simple Model (A)'!H121</f>
        <v>197.49</v>
      </c>
      <c r="I121" s="64" t="s">
        <v>910</v>
      </c>
      <c r="J121" s="106">
        <f>G121/D$126</f>
        <v>33582.614598526321</v>
      </c>
      <c r="K121" s="225">
        <f>J121/E$126</f>
        <v>1294.7444400000002</v>
      </c>
      <c r="L121" s="583">
        <f>'Simple Model (A)'!L121</f>
        <v>0</v>
      </c>
      <c r="M121" s="106"/>
      <c r="N121" s="106"/>
      <c r="O121" s="106"/>
      <c r="P121" s="106"/>
      <c r="R121" s="106"/>
      <c r="S121" s="106"/>
      <c r="T121" s="106"/>
      <c r="U121" s="106"/>
    </row>
    <row r="122" spans="2:24" ht="11.25" customHeight="1">
      <c r="B122" s="105" t="s">
        <v>278</v>
      </c>
      <c r="C122" s="97"/>
      <c r="D122" s="107">
        <f>+'Simple Model (A)'!D122</f>
        <v>-2167.6</v>
      </c>
      <c r="E122" s="225">
        <f>D122/$E$126</f>
        <v>-83.569670845913095</v>
      </c>
      <c r="G122" s="287">
        <f>D122*$D$126</f>
        <v>-66.125686394142761</v>
      </c>
      <c r="H122" s="225">
        <f>G122/H$126</f>
        <v>-12.747051684855565</v>
      </c>
      <c r="I122" s="64" t="s">
        <v>910</v>
      </c>
      <c r="J122" s="106">
        <f t="shared" ref="J122:J124" si="75">G122/D$126</f>
        <v>-2167.6</v>
      </c>
      <c r="K122" s="225">
        <f t="shared" ref="K122:K124" si="76">J122/E$126</f>
        <v>-83.569670845913095</v>
      </c>
      <c r="L122" s="583">
        <f>'Simple Model (A)'!L122</f>
        <v>0</v>
      </c>
      <c r="M122" s="107"/>
      <c r="N122" s="107"/>
      <c r="O122" s="106"/>
      <c r="P122" s="106"/>
      <c r="Q122" s="106"/>
      <c r="R122" s="106"/>
      <c r="S122" s="106"/>
      <c r="T122" s="106"/>
      <c r="U122" s="106"/>
    </row>
    <row r="123" spans="2:24" ht="11.25" customHeight="1">
      <c r="B123" s="105" t="s">
        <v>28</v>
      </c>
      <c r="C123" s="97"/>
      <c r="D123" s="107">
        <f>+'Simple Model (A)'!D123</f>
        <v>968.5089999999999</v>
      </c>
      <c r="E123" s="225">
        <f>D123/$E$126</f>
        <v>37.339905121472796</v>
      </c>
      <c r="G123" s="287">
        <f>D123*$D$126</f>
        <v>29.54572910311165</v>
      </c>
      <c r="H123" s="225">
        <f t="shared" ref="H123:H124" si="77">G123/H$126</f>
        <v>5.6955315926590604</v>
      </c>
      <c r="I123" s="64" t="s">
        <v>910</v>
      </c>
      <c r="J123" s="106">
        <f t="shared" si="75"/>
        <v>968.5089999999999</v>
      </c>
      <c r="K123" s="225">
        <f t="shared" si="76"/>
        <v>37.339905121472796</v>
      </c>
      <c r="L123" s="107"/>
      <c r="M123" s="107"/>
      <c r="N123" s="107"/>
      <c r="O123" s="106"/>
      <c r="P123" s="106"/>
      <c r="Q123" s="106"/>
      <c r="R123" s="106"/>
      <c r="S123" s="106"/>
      <c r="T123" s="106"/>
      <c r="U123" s="106"/>
    </row>
    <row r="124" spans="2:24" ht="13.5" customHeight="1">
      <c r="B124" s="105" t="s">
        <v>279</v>
      </c>
      <c r="C124" s="97"/>
      <c r="D124" s="108">
        <f>+'Simple Model (A)'!D124</f>
        <v>31.902999999999999</v>
      </c>
      <c r="E124" s="289">
        <f>D124/$E$126</f>
        <v>1.2299885629254315</v>
      </c>
      <c r="G124" s="288">
        <f>D124*$D$126</f>
        <v>0.97324588163514336</v>
      </c>
      <c r="H124" s="289">
        <f t="shared" si="77"/>
        <v>0.18761265450357406</v>
      </c>
      <c r="I124" s="64" t="s">
        <v>910</v>
      </c>
      <c r="J124" s="588">
        <f t="shared" si="75"/>
        <v>31.902999999999999</v>
      </c>
      <c r="K124" s="289">
        <f t="shared" si="76"/>
        <v>1.2299885629254315</v>
      </c>
      <c r="L124" s="108"/>
      <c r="M124" s="108"/>
      <c r="N124" s="108"/>
      <c r="O124" s="106"/>
      <c r="P124" s="106"/>
      <c r="Q124" s="106"/>
      <c r="R124" s="106"/>
      <c r="S124" s="106"/>
      <c r="T124" s="106"/>
      <c r="U124" s="106"/>
    </row>
    <row r="125" spans="2:24" ht="11.25" customHeight="1">
      <c r="B125" s="226" t="s">
        <v>50</v>
      </c>
      <c r="C125" s="106"/>
      <c r="D125" s="106">
        <f>SUM(D121:D124)</f>
        <v>32415.426598526312</v>
      </c>
      <c r="E125" s="193">
        <f>SUM(E121:E124)</f>
        <v>1249.7446628384851</v>
      </c>
      <c r="G125" s="287">
        <f>SUM(G121:G124)</f>
        <v>988.87817567194384</v>
      </c>
      <c r="H125" s="193">
        <f>SUM(H121:H124)</f>
        <v>190.62609256230706</v>
      </c>
      <c r="I125" s="64" t="s">
        <v>910</v>
      </c>
      <c r="J125" s="106">
        <f>SUM(J121:J124)</f>
        <v>32415.426598526319</v>
      </c>
      <c r="K125" s="193">
        <f>SUM(K121:K124)</f>
        <v>1249.7446628384853</v>
      </c>
      <c r="L125" s="19"/>
      <c r="M125" s="97"/>
      <c r="N125" s="97"/>
      <c r="O125" s="106"/>
      <c r="P125" s="106"/>
      <c r="Q125" s="106"/>
      <c r="R125" s="106"/>
      <c r="S125" s="106"/>
      <c r="T125" s="106"/>
      <c r="U125" s="106"/>
    </row>
    <row r="126" spans="2:24" s="18" customFormat="1" ht="11.25" customHeight="1">
      <c r="B126" s="224" t="s">
        <v>911</v>
      </c>
      <c r="C126" s="277"/>
      <c r="D126" s="286">
        <f>+'Simple Model (A)'!D126</f>
        <v>3.0506406345332519E-2</v>
      </c>
      <c r="E126" s="276">
        <f>+'Simple Model (A)'!E126</f>
        <v>25.937639553429026</v>
      </c>
      <c r="G126" s="54"/>
      <c r="H126" s="586">
        <f>E126/5</f>
        <v>5.1875279106858052</v>
      </c>
      <c r="I126" s="64"/>
      <c r="J126" s="587"/>
      <c r="K126" s="590">
        <f>J121/D121-1</f>
        <v>0</v>
      </c>
      <c r="L126" s="336" t="s">
        <v>912</v>
      </c>
      <c r="M126" s="174"/>
      <c r="N126" s="174"/>
      <c r="O126" s="106"/>
      <c r="P126" s="106"/>
      <c r="Q126" s="106"/>
      <c r="R126" s="106"/>
      <c r="S126" s="106"/>
      <c r="T126" s="106"/>
      <c r="U126" s="106"/>
      <c r="W126" s="175"/>
      <c r="X126" s="175"/>
    </row>
    <row r="127" spans="2:24" s="18" customFormat="1" ht="11.25" customHeight="1">
      <c r="B127" s="224"/>
      <c r="C127" s="277"/>
      <c r="E127" s="286"/>
      <c r="F127" s="276"/>
      <c r="G127" s="54"/>
      <c r="H127" s="54"/>
      <c r="J127" s="174"/>
      <c r="K127" s="174"/>
      <c r="L127" s="174"/>
      <c r="M127" s="174"/>
      <c r="N127" s="174"/>
      <c r="O127" s="106"/>
      <c r="P127" s="106"/>
      <c r="Q127" s="106"/>
      <c r="R127" s="106"/>
      <c r="S127" s="106"/>
      <c r="T127" s="106"/>
      <c r="U127" s="106"/>
      <c r="W127" s="175"/>
      <c r="X127" s="175"/>
    </row>
    <row r="128" spans="2:24" s="18" customFormat="1" ht="11.25" customHeight="1">
      <c r="B128" s="55" t="s">
        <v>114</v>
      </c>
      <c r="C128" s="2"/>
      <c r="D128" s="3"/>
      <c r="E128" s="3"/>
      <c r="F128" s="3"/>
      <c r="G128" s="3"/>
      <c r="H128" s="3"/>
      <c r="I128" s="3"/>
      <c r="J128" s="3"/>
      <c r="K128" s="3"/>
      <c r="L128" s="3"/>
      <c r="M128" s="3"/>
      <c r="N128" s="3"/>
      <c r="O128" s="3"/>
      <c r="P128" s="3"/>
      <c r="Q128" s="3"/>
      <c r="R128" s="3"/>
      <c r="S128" s="3"/>
      <c r="T128" s="2"/>
      <c r="U128" s="124">
        <f ca="1">U2</f>
        <v>45796</v>
      </c>
      <c r="W128" s="175"/>
      <c r="X128" s="175"/>
    </row>
    <row r="129" spans="2:24" s="18" customFormat="1" ht="11.25" customHeight="1">
      <c r="B129" s="5" t="str">
        <f>B3</f>
        <v>Simple Model – Case C (High)</v>
      </c>
      <c r="C129" s="2"/>
      <c r="D129" s="2"/>
      <c r="E129" s="2"/>
      <c r="F129" s="2"/>
      <c r="G129" s="2"/>
      <c r="H129" s="2"/>
      <c r="I129" s="2"/>
      <c r="J129" s="2"/>
      <c r="K129" s="2"/>
      <c r="L129" s="2"/>
      <c r="M129" s="2"/>
      <c r="N129" s="2"/>
      <c r="O129" s="2"/>
      <c r="P129" s="2"/>
      <c r="Q129" s="2"/>
      <c r="R129" s="2"/>
      <c r="S129" s="2"/>
      <c r="T129" s="2"/>
      <c r="U129" s="2"/>
      <c r="W129" s="175"/>
      <c r="X129" s="175"/>
    </row>
    <row r="130" spans="2:24" s="18" customFormat="1" ht="11.25" customHeight="1">
      <c r="B130" s="7" t="str">
        <f>B4</f>
        <v>(TWD in billions, unless otherwise noted)</v>
      </c>
      <c r="C130" s="123"/>
      <c r="D130" s="123"/>
      <c r="E130" s="123"/>
      <c r="F130" s="123"/>
      <c r="G130" s="123"/>
      <c r="H130" s="235"/>
      <c r="I130" s="123"/>
      <c r="J130" s="123"/>
      <c r="K130" s="123"/>
      <c r="L130" s="123"/>
      <c r="M130" s="123"/>
      <c r="N130" s="123"/>
      <c r="O130" s="123"/>
      <c r="P130" s="123"/>
      <c r="Q130" s="123"/>
      <c r="R130" s="123"/>
      <c r="S130" s="123"/>
      <c r="T130" s="123"/>
      <c r="U130" s="565" t="str">
        <f>U4</f>
        <v>(ROIC-driven model)</v>
      </c>
      <c r="W130" s="175"/>
      <c r="X130" s="175"/>
    </row>
    <row r="131" spans="2:24" s="18" customFormat="1" ht="11.25" customHeight="1">
      <c r="B131" s="224"/>
      <c r="C131" s="277"/>
      <c r="E131" s="286"/>
      <c r="F131" s="276"/>
      <c r="G131" s="54"/>
      <c r="H131" s="54"/>
      <c r="J131" s="174"/>
      <c r="K131" s="174"/>
      <c r="L131" s="174"/>
      <c r="M131" s="174"/>
      <c r="N131" s="174"/>
      <c r="O131" s="106"/>
      <c r="P131" s="106"/>
      <c r="Q131" s="106"/>
      <c r="R131" s="106"/>
      <c r="S131" s="106"/>
      <c r="T131" s="106"/>
      <c r="U131" s="106"/>
      <c r="W131" s="175"/>
      <c r="X131" s="175"/>
    </row>
    <row r="132" spans="2:24" s="18" customFormat="1" ht="13.5" customHeight="1">
      <c r="B132" s="224"/>
      <c r="C132" s="277"/>
      <c r="D132" s="22" t="s">
        <v>0</v>
      </c>
      <c r="E132" s="22"/>
      <c r="F132" s="22"/>
      <c r="G132" s="22"/>
      <c r="H132" s="22"/>
      <c r="I132" s="22"/>
      <c r="J132" s="22"/>
      <c r="K132" s="22"/>
      <c r="L132" s="22"/>
      <c r="M132" s="22"/>
      <c r="N132" s="22"/>
      <c r="O132" s="22"/>
      <c r="P132" s="22"/>
      <c r="Q132" s="22"/>
      <c r="R132" s="22"/>
      <c r="S132" s="22"/>
      <c r="T132" s="22"/>
      <c r="U132" s="22"/>
      <c r="W132" s="175"/>
      <c r="X132" s="175"/>
    </row>
    <row r="133" spans="2:24" s="18" customFormat="1" ht="13.5" customHeight="1">
      <c r="B133" s="224"/>
      <c r="C133" s="277"/>
      <c r="D133" s="8" t="s">
        <v>1</v>
      </c>
      <c r="E133" s="8" t="s">
        <v>2</v>
      </c>
      <c r="F133" s="8" t="s">
        <v>3</v>
      </c>
      <c r="G133" s="8" t="s">
        <v>4</v>
      </c>
      <c r="H133" s="8" t="s">
        <v>5</v>
      </c>
      <c r="I133" s="8" t="s">
        <v>68</v>
      </c>
      <c r="J133" s="8" t="s">
        <v>6</v>
      </c>
      <c r="K133" s="8" t="s">
        <v>22</v>
      </c>
      <c r="L133" s="8" t="s">
        <v>23</v>
      </c>
      <c r="M133" s="8" t="s">
        <v>24</v>
      </c>
      <c r="N133" s="8" t="s">
        <v>25</v>
      </c>
      <c r="O133" s="8" t="s">
        <v>26</v>
      </c>
      <c r="P133" s="8" t="s">
        <v>27</v>
      </c>
      <c r="Q133" s="8" t="s">
        <v>38</v>
      </c>
      <c r="R133" s="8" t="s">
        <v>39</v>
      </c>
      <c r="S133" s="8" t="s">
        <v>40</v>
      </c>
      <c r="T133" s="8" t="s">
        <v>41</v>
      </c>
      <c r="U133" s="8" t="s">
        <v>112</v>
      </c>
      <c r="W133" s="175"/>
      <c r="X133" s="175"/>
    </row>
    <row r="134" spans="2:24" s="18" customFormat="1" ht="11.25" customHeight="1">
      <c r="B134" s="224"/>
      <c r="C134" s="277"/>
      <c r="E134" s="286"/>
      <c r="F134" s="276"/>
      <c r="G134" s="54"/>
      <c r="H134" s="54"/>
      <c r="J134" s="174"/>
      <c r="K134" s="174"/>
      <c r="L134" s="174"/>
      <c r="M134" s="174"/>
      <c r="N134" s="174"/>
      <c r="O134" s="106"/>
      <c r="P134" s="106"/>
      <c r="Q134" s="106"/>
      <c r="R134" s="106"/>
      <c r="S134" s="106"/>
      <c r="T134" s="106"/>
      <c r="U134" s="106"/>
      <c r="W134" s="175"/>
      <c r="X134" s="175"/>
    </row>
    <row r="135" spans="2:24" s="18" customFormat="1" ht="11.25" customHeight="1">
      <c r="B135" s="447" t="s">
        <v>683</v>
      </c>
      <c r="C135" s="488"/>
      <c r="E135" s="286"/>
      <c r="F135" s="276"/>
      <c r="G135" s="54"/>
      <c r="H135" s="54"/>
      <c r="J135" s="174"/>
      <c r="K135" s="174"/>
      <c r="L135" s="174"/>
      <c r="M135" s="174"/>
      <c r="N135" s="174"/>
      <c r="O135" s="106"/>
      <c r="P135" s="106"/>
      <c r="Q135" s="106"/>
      <c r="R135" s="106"/>
      <c r="S135" s="106"/>
      <c r="T135" s="106"/>
      <c r="U135" s="106"/>
      <c r="W135" s="175"/>
      <c r="X135" s="175"/>
    </row>
    <row r="136" spans="2:24" s="18" customFormat="1" ht="11.25" customHeight="1">
      <c r="B136" s="440"/>
      <c r="C136" s="277"/>
      <c r="E136" s="286"/>
      <c r="F136" s="276"/>
      <c r="G136" s="54"/>
      <c r="H136" s="54"/>
      <c r="J136" s="174"/>
      <c r="K136" s="174"/>
      <c r="L136" s="174"/>
      <c r="M136" s="174"/>
      <c r="N136" s="174"/>
      <c r="O136" s="106"/>
      <c r="P136" s="106"/>
      <c r="Q136" s="106"/>
      <c r="R136" s="106"/>
      <c r="S136" s="106"/>
      <c r="T136" s="106"/>
      <c r="U136" s="106"/>
      <c r="W136" s="175"/>
      <c r="X136" s="175"/>
    </row>
    <row r="137" spans="2:24" s="18" customFormat="1" ht="11.25" customHeight="1">
      <c r="B137" s="449" t="s">
        <v>520</v>
      </c>
      <c r="C137" s="277"/>
      <c r="E137" s="286"/>
      <c r="F137" s="276"/>
      <c r="G137" s="54"/>
      <c r="H137" s="54"/>
      <c r="J137" s="174"/>
      <c r="K137" s="174"/>
      <c r="L137" s="174"/>
      <c r="M137" s="174"/>
      <c r="N137" s="174"/>
      <c r="O137" s="106"/>
      <c r="P137" s="106"/>
      <c r="Q137" s="106"/>
      <c r="R137" s="106"/>
      <c r="S137" s="106"/>
      <c r="T137" s="106"/>
      <c r="U137" s="106"/>
      <c r="W137" s="175"/>
      <c r="X137" s="175"/>
    </row>
    <row r="138" spans="2:24" s="18" customFormat="1" ht="11.25" customHeight="1">
      <c r="B138" s="30" t="s">
        <v>7</v>
      </c>
      <c r="C138" s="277"/>
      <c r="D138" s="56">
        <f t="shared" ref="D138:J138" si="78">D12</f>
        <v>1031.473557</v>
      </c>
      <c r="E138" s="56">
        <f t="shared" si="78"/>
        <v>1069.9854480000001</v>
      </c>
      <c r="F138" s="56">
        <f t="shared" si="78"/>
        <v>1339.254811</v>
      </c>
      <c r="G138" s="56">
        <f t="shared" si="78"/>
        <v>1587.4150369999998</v>
      </c>
      <c r="H138" s="56">
        <f t="shared" si="78"/>
        <v>2263.8912920000002</v>
      </c>
      <c r="I138" s="56">
        <f t="shared" si="78"/>
        <v>2161.7359999999999</v>
      </c>
      <c r="J138" s="56">
        <f t="shared" ca="1" si="78"/>
        <v>2886.9901861713579</v>
      </c>
      <c r="K138" s="56">
        <f ca="1">IF($W$138=1,K141/K143,2000)</f>
        <v>3522.3544233979646</v>
      </c>
      <c r="L138" s="56">
        <f t="shared" ref="L138:U138" ca="1" si="79">IF($W$138=1,L141/L143,2000)</f>
        <v>4071.5784141531299</v>
      </c>
      <c r="M138" s="56">
        <f t="shared" ca="1" si="79"/>
        <v>4673.7282765535729</v>
      </c>
      <c r="N138" s="56">
        <f t="shared" ca="1" si="79"/>
        <v>5259.273583717868</v>
      </c>
      <c r="O138" s="56">
        <f t="shared" ca="1" si="79"/>
        <v>5863.6530378203024</v>
      </c>
      <c r="P138" s="56">
        <f t="shared" ca="1" si="79"/>
        <v>6502.5291860824609</v>
      </c>
      <c r="Q138" s="56">
        <f t="shared" ca="1" si="79"/>
        <v>7143.8767207010524</v>
      </c>
      <c r="R138" s="56">
        <f t="shared" ca="1" si="79"/>
        <v>7795.2931658196112</v>
      </c>
      <c r="S138" s="56">
        <f t="shared" ca="1" si="79"/>
        <v>8455.5426723317669</v>
      </c>
      <c r="T138" s="56">
        <f t="shared" ca="1" si="79"/>
        <v>9123.3873639434059</v>
      </c>
      <c r="U138" s="56">
        <f t="shared" ca="1" si="79"/>
        <v>9796.8958605262906</v>
      </c>
      <c r="W138" s="564">
        <v>1</v>
      </c>
      <c r="X138" s="175" t="s">
        <v>691</v>
      </c>
    </row>
    <row r="139" spans="2:24" s="18" customFormat="1" ht="11.25" customHeight="1">
      <c r="B139" s="9" t="s">
        <v>249</v>
      </c>
      <c r="C139" s="277"/>
      <c r="D139" s="134">
        <f>D13</f>
        <v>5.5273131944750142E-2</v>
      </c>
      <c r="E139" s="134">
        <f>(E138/D138)-1</f>
        <v>3.7336770039951839E-2</v>
      </c>
      <c r="F139" s="134">
        <f t="shared" ref="F139:U139" si="80">(F138/E138)-1</f>
        <v>0.25165703281601992</v>
      </c>
      <c r="G139" s="134">
        <f t="shared" si="80"/>
        <v>0.18529724437928463</v>
      </c>
      <c r="H139" s="134">
        <f t="shared" si="80"/>
        <v>0.42614958232879618</v>
      </c>
      <c r="I139" s="134">
        <f t="shared" si="80"/>
        <v>-4.5123762064455342E-2</v>
      </c>
      <c r="J139" s="134">
        <f t="shared" ca="1" si="80"/>
        <v>0.33549618740279019</v>
      </c>
      <c r="K139" s="134">
        <f t="shared" ca="1" si="80"/>
        <v>0.22007841947991102</v>
      </c>
      <c r="L139" s="134">
        <f t="shared" ca="1" si="80"/>
        <v>0.15592524906262462</v>
      </c>
      <c r="M139" s="134">
        <f t="shared" ca="1" si="80"/>
        <v>0.14789101452825326</v>
      </c>
      <c r="N139" s="134">
        <f t="shared" ca="1" si="80"/>
        <v>0.12528441375202903</v>
      </c>
      <c r="O139" s="134">
        <f t="shared" ca="1" si="80"/>
        <v>0.11491690715111802</v>
      </c>
      <c r="P139" s="134">
        <f t="shared" ca="1" si="80"/>
        <v>0.10895531235245937</v>
      </c>
      <c r="Q139" s="134">
        <f t="shared" ca="1" si="80"/>
        <v>9.8630473814909525E-2</v>
      </c>
      <c r="R139" s="134">
        <f t="shared" ca="1" si="80"/>
        <v>9.1185286446912928E-2</v>
      </c>
      <c r="S139" s="134">
        <f t="shared" ca="1" si="80"/>
        <v>8.469848310608552E-2</v>
      </c>
      <c r="T139" s="134">
        <f t="shared" ca="1" si="80"/>
        <v>7.8983066787299272E-2</v>
      </c>
      <c r="U139" s="134">
        <f t="shared" ca="1" si="80"/>
        <v>7.3822196703459353E-2</v>
      </c>
      <c r="W139" s="175"/>
      <c r="X139" s="175"/>
    </row>
    <row r="140" spans="2:24" s="18" customFormat="1" ht="11.25" customHeight="1">
      <c r="B140" s="35"/>
      <c r="C140" s="277"/>
      <c r="E140" s="286"/>
      <c r="F140" s="276"/>
      <c r="G140" s="54"/>
      <c r="H140" s="54"/>
      <c r="K140" s="174"/>
      <c r="L140" s="174"/>
      <c r="M140" s="174"/>
      <c r="N140" s="174"/>
      <c r="O140" s="106"/>
      <c r="P140" s="106"/>
      <c r="Q140" s="106"/>
      <c r="R140" s="106"/>
      <c r="S140" s="106"/>
      <c r="T140" s="106"/>
      <c r="U140" s="106"/>
      <c r="W140" s="175"/>
      <c r="X140" s="175"/>
    </row>
    <row r="141" spans="2:24" s="18" customFormat="1" ht="11.25" customHeight="1">
      <c r="B141" s="30" t="s">
        <v>253</v>
      </c>
      <c r="C141" s="277"/>
      <c r="D141" s="56">
        <f t="shared" ref="D141:J141" si="81">D29</f>
        <v>383.62355700000001</v>
      </c>
      <c r="E141" s="56">
        <f t="shared" si="81"/>
        <v>372.70144800000014</v>
      </c>
      <c r="F141" s="56">
        <f t="shared" si="81"/>
        <v>566.78381100000001</v>
      </c>
      <c r="G141" s="56">
        <f t="shared" si="81"/>
        <v>649.98103699999967</v>
      </c>
      <c r="H141" s="56">
        <f t="shared" si="81"/>
        <v>1121.2792920000002</v>
      </c>
      <c r="I141" s="56">
        <f t="shared" si="81"/>
        <v>921.46599999999989</v>
      </c>
      <c r="J141" s="56">
        <f t="shared" ca="1" si="81"/>
        <v>1305.3836868813955</v>
      </c>
      <c r="K141" s="56">
        <f ca="1">K158*K160</f>
        <v>1690.7301232310231</v>
      </c>
      <c r="L141" s="56">
        <f t="shared" ref="L141:U141" ca="1" si="82">L158*L160</f>
        <v>1974.715530864268</v>
      </c>
      <c r="M141" s="56">
        <f t="shared" ca="1" si="82"/>
        <v>2290.1268555112501</v>
      </c>
      <c r="N141" s="56">
        <f t="shared" ca="1" si="82"/>
        <v>2603.3404239403444</v>
      </c>
      <c r="O141" s="56">
        <f t="shared" ca="1" si="82"/>
        <v>2931.8265189101512</v>
      </c>
      <c r="P141" s="56">
        <f t="shared" ca="1" si="82"/>
        <v>3283.7772389716429</v>
      </c>
      <c r="Q141" s="56">
        <f t="shared" ca="1" si="82"/>
        <v>3643.3771275575368</v>
      </c>
      <c r="R141" s="56">
        <f t="shared" ca="1" si="82"/>
        <v>4014.5759803971</v>
      </c>
      <c r="S141" s="56">
        <f t="shared" ca="1" si="82"/>
        <v>4396.8821896125191</v>
      </c>
      <c r="T141" s="56">
        <f t="shared" ca="1" si="82"/>
        <v>4789.778366070288</v>
      </c>
      <c r="U141" s="56">
        <f t="shared" ca="1" si="82"/>
        <v>5192.3548060789344</v>
      </c>
      <c r="W141" s="175"/>
      <c r="X141" s="175"/>
    </row>
    <row r="142" spans="2:24" s="18" customFormat="1" ht="11.25" customHeight="1">
      <c r="B142" s="9" t="s">
        <v>249</v>
      </c>
      <c r="C142" s="277"/>
      <c r="D142" s="134">
        <f>D30</f>
        <v>-5.019836134028566E-6</v>
      </c>
      <c r="E142" s="134">
        <f>(E141/D141)-1</f>
        <v>-2.8470902791821628E-2</v>
      </c>
      <c r="F142" s="134">
        <f t="shared" ref="F142:U142" si="83">(F141/E141)-1</f>
        <v>0.52074485903258361</v>
      </c>
      <c r="G142" s="134">
        <f t="shared" si="83"/>
        <v>0.14678828926537513</v>
      </c>
      <c r="H142" s="134">
        <f t="shared" si="83"/>
        <v>0.72509539228296083</v>
      </c>
      <c r="I142" s="134">
        <f t="shared" si="83"/>
        <v>-0.17820117915813627</v>
      </c>
      <c r="J142" s="134">
        <f t="shared" ca="1" si="83"/>
        <v>0.41663793008249428</v>
      </c>
      <c r="K142" s="134">
        <f t="shared" ca="1" si="83"/>
        <v>0.29519783357353946</v>
      </c>
      <c r="L142" s="134">
        <f t="shared" ca="1" si="83"/>
        <v>0.16796613707369357</v>
      </c>
      <c r="M142" s="134">
        <f t="shared" ca="1" si="83"/>
        <v>0.15972494251308045</v>
      </c>
      <c r="N142" s="134">
        <f t="shared" ca="1" si="83"/>
        <v>0.13676690776990696</v>
      </c>
      <c r="O142" s="134">
        <f t="shared" ca="1" si="83"/>
        <v>0.12617869409203863</v>
      </c>
      <c r="P142" s="134">
        <f t="shared" ca="1" si="83"/>
        <v>0.12004486547598403</v>
      </c>
      <c r="Q142" s="134">
        <f t="shared" ca="1" si="83"/>
        <v>0.10950800325862153</v>
      </c>
      <c r="R142" s="134">
        <f t="shared" ca="1" si="83"/>
        <v>0.10188318141207886</v>
      </c>
      <c r="S142" s="134">
        <f t="shared" ca="1" si="83"/>
        <v>9.5229536340125209E-2</v>
      </c>
      <c r="T142" s="134">
        <f t="shared" ca="1" si="83"/>
        <v>8.9357903967946184E-2</v>
      </c>
      <c r="U142" s="134">
        <f t="shared" ca="1" si="83"/>
        <v>8.4049074767301724E-2</v>
      </c>
      <c r="W142" s="175"/>
      <c r="X142" s="175"/>
    </row>
    <row r="143" spans="2:24" s="18" customFormat="1" ht="11.25" customHeight="1">
      <c r="B143" s="35" t="s">
        <v>17</v>
      </c>
      <c r="C143" s="277"/>
      <c r="D143" s="134">
        <f>D141/D138</f>
        <v>0.37191797540186483</v>
      </c>
      <c r="E143" s="134">
        <f t="shared" ref="E143:J143" si="84">E141/E138</f>
        <v>0.34832384748469969</v>
      </c>
      <c r="F143" s="134">
        <f t="shared" si="84"/>
        <v>0.42320834418118808</v>
      </c>
      <c r="G143" s="134">
        <f t="shared" si="84"/>
        <v>0.40945878793511753</v>
      </c>
      <c r="H143" s="134">
        <f t="shared" si="84"/>
        <v>0.49528848666996861</v>
      </c>
      <c r="I143" s="134">
        <f t="shared" si="84"/>
        <v>0.42626204124833</v>
      </c>
      <c r="J143" s="134">
        <f t="shared" ca="1" si="84"/>
        <v>0.45216076352949341</v>
      </c>
      <c r="K143" s="142">
        <v>0.48</v>
      </c>
      <c r="L143" s="142">
        <f t="shared" ref="L143:T143" ca="1" si="85">K143+(($U143-$K143)/COUNTA($L143:$U143))</f>
        <v>0.48499999999999999</v>
      </c>
      <c r="M143" s="142">
        <f t="shared" ca="1" si="85"/>
        <v>0.49</v>
      </c>
      <c r="N143" s="142">
        <f t="shared" ca="1" si="85"/>
        <v>0.495</v>
      </c>
      <c r="O143" s="142">
        <f t="shared" ca="1" si="85"/>
        <v>0.5</v>
      </c>
      <c r="P143" s="142">
        <f t="shared" ca="1" si="85"/>
        <v>0.505</v>
      </c>
      <c r="Q143" s="142">
        <f t="shared" ca="1" si="85"/>
        <v>0.51</v>
      </c>
      <c r="R143" s="142">
        <f t="shared" ca="1" si="85"/>
        <v>0.51500000000000001</v>
      </c>
      <c r="S143" s="142">
        <f t="shared" ca="1" si="85"/>
        <v>0.52</v>
      </c>
      <c r="T143" s="142">
        <f t="shared" ca="1" si="85"/>
        <v>0.52500000000000002</v>
      </c>
      <c r="U143" s="233">
        <v>0.53</v>
      </c>
      <c r="W143" s="175"/>
      <c r="X143" s="175"/>
    </row>
    <row r="144" spans="2:24" s="18" customFormat="1" ht="11.25" customHeight="1">
      <c r="B144" s="482" t="s">
        <v>295</v>
      </c>
      <c r="C144" s="277"/>
      <c r="D144" s="134"/>
      <c r="E144" s="136">
        <f>(IF(E138&gt;D138,((E141-D141)/(E138-D138)),"n/m"))</f>
        <v>-0.28360354987502001</v>
      </c>
      <c r="F144" s="136">
        <f t="shared" ref="F144:U144" si="86">(IF(F138&gt;E138,((F141-E141)/(F138-E138)),"n/m"))</f>
        <v>0.72077402656461875</v>
      </c>
      <c r="G144" s="136">
        <f t="shared" si="86"/>
        <v>0.33525608571939225</v>
      </c>
      <c r="H144" s="136">
        <f t="shared" si="86"/>
        <v>0.696695932069338</v>
      </c>
      <c r="I144" s="136" t="str">
        <f t="shared" si="86"/>
        <v>n/m</v>
      </c>
      <c r="J144" s="136">
        <f t="shared" ca="1" si="86"/>
        <v>0.52935604399350034</v>
      </c>
      <c r="K144" s="136">
        <f t="shared" ca="1" si="86"/>
        <v>0.60649689386308858</v>
      </c>
      <c r="L144" s="136">
        <f t="shared" ca="1" si="86"/>
        <v>0.51706664751256437</v>
      </c>
      <c r="M144" s="136">
        <f t="shared" ca="1" si="86"/>
        <v>0.52380868010101223</v>
      </c>
      <c r="N144" s="136">
        <f t="shared" ca="1" si="86"/>
        <v>0.53490919421067329</v>
      </c>
      <c r="O144" s="136">
        <f t="shared" ca="1" si="86"/>
        <v>0.54350969865056442</v>
      </c>
      <c r="P144" s="136">
        <f t="shared" ca="1" si="86"/>
        <v>0.55089037369582794</v>
      </c>
      <c r="Q144" s="136">
        <f t="shared" ca="1" si="86"/>
        <v>0.5606942713200691</v>
      </c>
      <c r="R144" s="136">
        <f t="shared" ca="1" si="86"/>
        <v>0.56983340783176639</v>
      </c>
      <c r="S144" s="136">
        <f t="shared" ca="1" si="86"/>
        <v>0.57903293443564363</v>
      </c>
      <c r="T144" s="136">
        <f t="shared" ca="1" si="86"/>
        <v>0.58830470825430092</v>
      </c>
      <c r="U144" s="136">
        <f t="shared" ca="1" si="86"/>
        <v>0.59773030637498981</v>
      </c>
      <c r="W144" s="175"/>
      <c r="X144" s="175"/>
    </row>
    <row r="145" spans="2:25 16384:16384" s="18" customFormat="1" ht="11.25" customHeight="1">
      <c r="B145" s="128"/>
      <c r="C145" s="277"/>
      <c r="E145" s="479"/>
      <c r="F145" s="479"/>
      <c r="G145" s="479"/>
      <c r="H145" s="479"/>
      <c r="I145" s="479"/>
      <c r="J145" s="479"/>
      <c r="K145" s="174"/>
      <c r="L145" s="174"/>
      <c r="M145" s="174"/>
      <c r="N145" s="174"/>
      <c r="O145" s="106"/>
      <c r="P145" s="106"/>
      <c r="Q145" s="106"/>
      <c r="R145" s="106"/>
      <c r="S145" s="106"/>
      <c r="T145" s="106"/>
      <c r="U145" s="106"/>
      <c r="W145" s="175"/>
      <c r="X145" s="175"/>
    </row>
    <row r="146" spans="2:25 16384:16384" s="18" customFormat="1" ht="11.25" customHeight="1">
      <c r="B146" s="263" t="s">
        <v>537</v>
      </c>
      <c r="C146" s="277"/>
      <c r="E146" s="561"/>
      <c r="F146" s="561"/>
      <c r="G146" s="561"/>
      <c r="H146" s="561"/>
      <c r="I146" s="561"/>
      <c r="J146" s="561"/>
      <c r="K146" s="174"/>
      <c r="L146" s="174"/>
      <c r="M146" s="174"/>
      <c r="N146" s="174"/>
      <c r="O146" s="106"/>
      <c r="P146" s="106"/>
      <c r="Q146" s="106"/>
      <c r="R146" s="106"/>
      <c r="S146" s="106"/>
      <c r="T146" s="106"/>
      <c r="U146" s="106"/>
      <c r="W146" s="175"/>
      <c r="X146" s="175"/>
    </row>
    <row r="147" spans="2:25 16384:16384" s="18" customFormat="1" ht="11.25" customHeight="1">
      <c r="B147" s="2" t="s">
        <v>547</v>
      </c>
      <c r="C147" s="277"/>
      <c r="D147" s="57">
        <f>('Historical Financials'!AX521/1000)*1000</f>
        <v>82.744</v>
      </c>
      <c r="E147" s="57">
        <f>('Historical Financials'!AY521/1000)*1000</f>
        <v>69.214999999999975</v>
      </c>
      <c r="F147" s="57">
        <f>('Historical Financials'!AZ521/1000)*1000</f>
        <v>62.17300000000003</v>
      </c>
      <c r="G147" s="57">
        <f>('Historical Financials'!BA521/1000)*1000</f>
        <v>86.961999999999989</v>
      </c>
      <c r="H147" s="57">
        <f>('Historical Financials'!BB521/1000)*1000</f>
        <v>-77.384999999999991</v>
      </c>
      <c r="I147" s="57">
        <f>('Historical Financials'!BC521/1000)*1000</f>
        <v>-57.858999999999924</v>
      </c>
      <c r="J147" s="57">
        <f ca="1">('Historical Financials'!BD521/1000)*1000</f>
        <v>-91.945927778524151</v>
      </c>
      <c r="K147" s="20">
        <f ca="1">K148*K138</f>
        <v>-94.276037676840545</v>
      </c>
      <c r="L147" s="20">
        <f t="shared" ref="L147:U147" ca="1" si="87">L148*L138</f>
        <v>-108.97605233223929</v>
      </c>
      <c r="M147" s="20">
        <f t="shared" ca="1" si="87"/>
        <v>-125.09263127093818</v>
      </c>
      <c r="N147" s="20">
        <f t="shared" ca="1" si="87"/>
        <v>-140.76478824441639</v>
      </c>
      <c r="O147" s="20">
        <f t="shared" ca="1" si="87"/>
        <v>-156.94104234524679</v>
      </c>
      <c r="P147" s="20">
        <f t="shared" ca="1" si="87"/>
        <v>-174.04060263489373</v>
      </c>
      <c r="Q147" s="20">
        <f t="shared" ca="1" si="87"/>
        <v>-191.20630973580569</v>
      </c>
      <c r="R147" s="20">
        <f t="shared" ca="1" si="87"/>
        <v>-208.6415118595223</v>
      </c>
      <c r="S147" s="20">
        <f t="shared" ca="1" si="87"/>
        <v>-226.31313142698417</v>
      </c>
      <c r="T147" s="20">
        <f t="shared" ca="1" si="87"/>
        <v>-244.18803660132451</v>
      </c>
      <c r="U147" s="20">
        <f t="shared" ca="1" si="87"/>
        <v>-262.21453387193901</v>
      </c>
      <c r="W147" s="175"/>
      <c r="X147" s="175"/>
    </row>
    <row r="148" spans="2:25 16384:16384" s="18" customFormat="1" ht="11.25" customHeight="1">
      <c r="B148" s="9" t="s">
        <v>602</v>
      </c>
      <c r="C148" s="277"/>
      <c r="D148" s="436">
        <f>D147/D138</f>
        <v>8.0219215934781346E-2</v>
      </c>
      <c r="E148" s="436">
        <f t="shared" ref="E148:J148" si="88">E147/E138</f>
        <v>6.468779564187116E-2</v>
      </c>
      <c r="F148" s="436">
        <f t="shared" si="88"/>
        <v>4.6423577865347711E-2</v>
      </c>
      <c r="G148" s="436">
        <f t="shared" si="88"/>
        <v>5.4782144538800918E-2</v>
      </c>
      <c r="H148" s="436">
        <f t="shared" si="88"/>
        <v>-3.4182295003942258E-2</v>
      </c>
      <c r="I148" s="436">
        <f t="shared" si="88"/>
        <v>-2.6765062893896352E-2</v>
      </c>
      <c r="J148" s="436">
        <f t="shared" ca="1" si="88"/>
        <v>-3.1848368663996103E-2</v>
      </c>
      <c r="K148" s="233">
        <f>I148</f>
        <v>-2.6765062893896352E-2</v>
      </c>
      <c r="L148" s="196">
        <f t="shared" ref="L148:U148" si="89">K148</f>
        <v>-2.6765062893896352E-2</v>
      </c>
      <c r="M148" s="196">
        <f t="shared" si="89"/>
        <v>-2.6765062893896352E-2</v>
      </c>
      <c r="N148" s="196">
        <f t="shared" si="89"/>
        <v>-2.6765062893896352E-2</v>
      </c>
      <c r="O148" s="196">
        <f t="shared" si="89"/>
        <v>-2.6765062893896352E-2</v>
      </c>
      <c r="P148" s="196">
        <f t="shared" si="89"/>
        <v>-2.6765062893896352E-2</v>
      </c>
      <c r="Q148" s="196">
        <f t="shared" si="89"/>
        <v>-2.6765062893896352E-2</v>
      </c>
      <c r="R148" s="196">
        <f t="shared" si="89"/>
        <v>-2.6765062893896352E-2</v>
      </c>
      <c r="S148" s="196">
        <f t="shared" si="89"/>
        <v>-2.6765062893896352E-2</v>
      </c>
      <c r="T148" s="196">
        <f t="shared" si="89"/>
        <v>-2.6765062893896352E-2</v>
      </c>
      <c r="U148" s="196">
        <f t="shared" si="89"/>
        <v>-2.6765062893896352E-2</v>
      </c>
      <c r="W148" s="492"/>
      <c r="X148" s="175"/>
    </row>
    <row r="149" spans="2:25 16384:16384" s="18" customFormat="1" ht="11.25" customHeight="1">
      <c r="B149" s="2"/>
      <c r="C149" s="277"/>
      <c r="E149" s="286"/>
      <c r="F149" s="276"/>
      <c r="G149" s="54"/>
      <c r="H149" s="54"/>
      <c r="J149" s="174"/>
      <c r="K149" s="174"/>
      <c r="L149" s="174"/>
      <c r="M149" s="174"/>
      <c r="N149" s="174"/>
      <c r="O149" s="106"/>
      <c r="P149" s="106"/>
      <c r="Q149" s="106"/>
      <c r="R149" s="106"/>
      <c r="S149" s="106"/>
      <c r="T149" s="106"/>
      <c r="U149" s="106"/>
      <c r="W149" s="175"/>
      <c r="X149" s="175"/>
    </row>
    <row r="150" spans="2:25 16384:16384" s="18" customFormat="1" ht="11.25" customHeight="1">
      <c r="B150" s="25" t="s">
        <v>611</v>
      </c>
      <c r="C150" s="277"/>
      <c r="E150" s="286"/>
      <c r="F150" s="276"/>
      <c r="G150" s="54"/>
      <c r="H150" s="54"/>
      <c r="J150" s="174"/>
      <c r="K150" s="174"/>
      <c r="L150" s="174"/>
      <c r="M150" s="174"/>
      <c r="N150" s="174"/>
      <c r="O150" s="106"/>
      <c r="P150" s="106"/>
      <c r="Q150" s="106"/>
      <c r="R150" s="106"/>
      <c r="S150" s="106"/>
      <c r="T150" s="106"/>
      <c r="U150" s="106"/>
      <c r="W150" s="175"/>
      <c r="X150" s="175"/>
    </row>
    <row r="151" spans="2:25 16384:16384" s="18" customFormat="1" ht="11.25" customHeight="1">
      <c r="B151" s="30" t="s">
        <v>603</v>
      </c>
      <c r="C151" s="277"/>
      <c r="D151" s="57">
        <f>('Historical Financials'!AX526/1000)*1000</f>
        <v>1072.05</v>
      </c>
      <c r="E151" s="57">
        <f>('Historical Financials'!AY526/1000)*1000</f>
        <v>1352.377</v>
      </c>
      <c r="F151" s="57">
        <f>('Historical Financials'!AZ526/1000)*1000</f>
        <v>1555.5889999999999</v>
      </c>
      <c r="G151" s="57">
        <f>('Historical Financials'!BA526/1000)*1000</f>
        <v>1975.1189999999999</v>
      </c>
      <c r="H151" s="57">
        <f>('Historical Financials'!BB526/1000)*1000</f>
        <v>2693.837</v>
      </c>
      <c r="I151" s="57">
        <f>('Historical Financials'!BC526/1000)*1000</f>
        <v>3064.4749999999999</v>
      </c>
      <c r="J151" s="57">
        <f ca="1">('Historical Financials'!BD526/1000)*1000</f>
        <v>3432.7617022213999</v>
      </c>
      <c r="K151" s="57">
        <f ca="1">('D&amp;A Build (C)'!S176/1000)*1000</f>
        <v>4000.9063922331147</v>
      </c>
      <c r="L151" s="57">
        <f ca="1">('D&amp;A Build (C)'!T176/1000)*1000</f>
        <v>4665.2845571741127</v>
      </c>
      <c r="M151" s="57">
        <f ca="1">('D&amp;A Build (C)'!U176/1000)*1000</f>
        <v>5340.6173048566488</v>
      </c>
      <c r="N151" s="57">
        <f ca="1">('D&amp;A Build (C)'!V176/1000)*1000</f>
        <v>5981.4712543179648</v>
      </c>
      <c r="O151" s="57">
        <f ca="1">('D&amp;A Build (C)'!W176/1000)*1000</f>
        <v>6712.7783445572313</v>
      </c>
      <c r="P151" s="57">
        <f ca="1">('D&amp;A Build (C)'!X176/1000)*1000</f>
        <v>7443.4572576847549</v>
      </c>
      <c r="Q151" s="57">
        <f ca="1">('D&amp;A Build (C)'!Y176/1000)*1000</f>
        <v>8193.971947304386</v>
      </c>
      <c r="R151" s="57">
        <f ca="1">('D&amp;A Build (C)'!Z176/1000)*1000</f>
        <v>8961.8531421526986</v>
      </c>
      <c r="S151" s="57">
        <f ca="1">('D&amp;A Build (C)'!AA176/1000)*1000</f>
        <v>9746.6930911669187</v>
      </c>
      <c r="T151" s="57">
        <f ca="1">('D&amp;A Build (C)'!AB176/1000)*1000</f>
        <v>10546.26943439302</v>
      </c>
      <c r="U151" s="57">
        <f ca="1">('D&amp;A Build (C)'!AC176/1000)*1000</f>
        <v>11358.540624979032</v>
      </c>
      <c r="W151" s="175"/>
      <c r="X151" s="175"/>
    </row>
    <row r="152" spans="2:25 16384:16384" s="18" customFormat="1" ht="13.5" customHeight="1">
      <c r="B152" s="30" t="s">
        <v>693</v>
      </c>
      <c r="C152" s="277"/>
      <c r="D152" s="210">
        <f>('Historical Financials'!AX527/1000)*1000</f>
        <v>37.093000000000004</v>
      </c>
      <c r="E152" s="210">
        <f>('Historical Financials'!AY527/1000)*1000</f>
        <v>59.642000000000003</v>
      </c>
      <c r="F152" s="210">
        <f>('Historical Financials'!AZ527/1000)*1000</f>
        <v>85.209000000000003</v>
      </c>
      <c r="G152" s="210">
        <f>('Historical Financials'!BA527/1000)*1000</f>
        <v>113.92700000000001</v>
      </c>
      <c r="H152" s="210">
        <f>('Historical Financials'!BB527/1000)*1000</f>
        <v>149.11699999999999</v>
      </c>
      <c r="I152" s="210">
        <f>('Historical Financials'!BC527/1000)*1000</f>
        <v>144.42099999999999</v>
      </c>
      <c r="J152" s="210">
        <f ca="1">('Historical Financials'!BD527/1000)*1000</f>
        <v>218.56189229970042</v>
      </c>
      <c r="K152" s="21">
        <f ca="1">K154*K138</f>
        <v>219.12890247852681</v>
      </c>
      <c r="L152" s="21">
        <f t="shared" ref="L152:U152" ca="1" si="90">L154*L138</f>
        <v>253.2966311743107</v>
      </c>
      <c r="M152" s="21">
        <f t="shared" ca="1" si="90"/>
        <v>290.75692693526827</v>
      </c>
      <c r="N152" s="21">
        <f t="shared" ca="1" si="90"/>
        <v>327.1842380706949</v>
      </c>
      <c r="O152" s="21">
        <f t="shared" ca="1" si="90"/>
        <v>364.78323877837425</v>
      </c>
      <c r="P152" s="21">
        <f t="shared" ca="1" si="90"/>
        <v>404.5283105004138</v>
      </c>
      <c r="Q152" s="21">
        <f t="shared" ca="1" si="90"/>
        <v>444.42712943661451</v>
      </c>
      <c r="R152" s="21">
        <f t="shared" ca="1" si="90"/>
        <v>484.95234453907148</v>
      </c>
      <c r="S152" s="21">
        <f t="shared" ca="1" si="90"/>
        <v>526.02707250027049</v>
      </c>
      <c r="T152" s="21">
        <f t="shared" ca="1" si="90"/>
        <v>567.57430389948695</v>
      </c>
      <c r="U152" s="21">
        <f t="shared" ca="1" si="90"/>
        <v>609.47388580578377</v>
      </c>
      <c r="W152" s="175"/>
      <c r="X152" s="175"/>
    </row>
    <row r="153" spans="2:25 16384:16384" s="18" customFormat="1" ht="11.25" customHeight="1">
      <c r="B153" s="12" t="s">
        <v>631</v>
      </c>
      <c r="C153" s="277"/>
      <c r="D153" s="56">
        <f>SUM(D151:D152)</f>
        <v>1109.143</v>
      </c>
      <c r="E153" s="56">
        <f t="shared" ref="E153:U153" si="91">SUM(E151:E152)</f>
        <v>1412.019</v>
      </c>
      <c r="F153" s="56">
        <f t="shared" si="91"/>
        <v>1640.798</v>
      </c>
      <c r="G153" s="56">
        <f t="shared" si="91"/>
        <v>2089.0459999999998</v>
      </c>
      <c r="H153" s="56">
        <f t="shared" si="91"/>
        <v>2842.9540000000002</v>
      </c>
      <c r="I153" s="56">
        <f t="shared" si="91"/>
        <v>3208.8959999999997</v>
      </c>
      <c r="J153" s="56">
        <f t="shared" ca="1" si="91"/>
        <v>3651.3235945211004</v>
      </c>
      <c r="K153" s="56">
        <f t="shared" ca="1" si="91"/>
        <v>4220.0352947116417</v>
      </c>
      <c r="L153" s="56">
        <f t="shared" ca="1" si="91"/>
        <v>4918.581188348423</v>
      </c>
      <c r="M153" s="56">
        <f t="shared" ca="1" si="91"/>
        <v>5631.3742317919168</v>
      </c>
      <c r="N153" s="56">
        <f t="shared" ca="1" si="91"/>
        <v>6308.6554923886597</v>
      </c>
      <c r="O153" s="56">
        <f t="shared" ca="1" si="91"/>
        <v>7077.561583335606</v>
      </c>
      <c r="P153" s="56">
        <f t="shared" ca="1" si="91"/>
        <v>7847.9855681851686</v>
      </c>
      <c r="Q153" s="56">
        <f t="shared" ca="1" si="91"/>
        <v>8638.3990767410014</v>
      </c>
      <c r="R153" s="56">
        <f t="shared" ca="1" si="91"/>
        <v>9446.8054866917701</v>
      </c>
      <c r="S153" s="56">
        <f t="shared" ca="1" si="91"/>
        <v>10272.720163667189</v>
      </c>
      <c r="T153" s="56">
        <f t="shared" ca="1" si="91"/>
        <v>11113.843738292508</v>
      </c>
      <c r="U153" s="56">
        <f t="shared" ca="1" si="91"/>
        <v>11968.014510784817</v>
      </c>
      <c r="W153" s="175"/>
      <c r="X153" s="175"/>
    </row>
    <row r="154" spans="2:25 16384:16384" s="18" customFormat="1" ht="11.25" customHeight="1">
      <c r="B154" s="41" t="s">
        <v>687</v>
      </c>
      <c r="C154" s="277"/>
      <c r="D154" s="436">
        <f>D152/D138</f>
        <v>3.5961173942144986E-2</v>
      </c>
      <c r="E154" s="436">
        <f t="shared" ref="E154:J154" si="92">E152/E138</f>
        <v>5.5740944992739745E-2</v>
      </c>
      <c r="F154" s="436">
        <f t="shared" si="92"/>
        <v>6.3624188093359027E-2</v>
      </c>
      <c r="G154" s="436">
        <f t="shared" si="92"/>
        <v>7.1768880440559929E-2</v>
      </c>
      <c r="H154" s="436">
        <f t="shared" si="92"/>
        <v>6.5867561983625478E-2</v>
      </c>
      <c r="I154" s="436">
        <f t="shared" si="92"/>
        <v>6.6807880333213679E-2</v>
      </c>
      <c r="J154" s="436">
        <f t="shared" ca="1" si="92"/>
        <v>7.5705796765991373E-2</v>
      </c>
      <c r="K154" s="142">
        <f ca="1">AVERAGE(D154:J154)</f>
        <v>6.221091807880489E-2</v>
      </c>
      <c r="L154" s="196">
        <f t="shared" ref="L154:U154" ca="1" si="93">K154</f>
        <v>6.221091807880489E-2</v>
      </c>
      <c r="M154" s="196">
        <f t="shared" ca="1" si="93"/>
        <v>6.221091807880489E-2</v>
      </c>
      <c r="N154" s="196">
        <f t="shared" ca="1" si="93"/>
        <v>6.221091807880489E-2</v>
      </c>
      <c r="O154" s="196">
        <f t="shared" ca="1" si="93"/>
        <v>6.221091807880489E-2</v>
      </c>
      <c r="P154" s="196">
        <f t="shared" ca="1" si="93"/>
        <v>6.221091807880489E-2</v>
      </c>
      <c r="Q154" s="196">
        <f t="shared" ca="1" si="93"/>
        <v>6.221091807880489E-2</v>
      </c>
      <c r="R154" s="196">
        <f t="shared" ca="1" si="93"/>
        <v>6.221091807880489E-2</v>
      </c>
      <c r="S154" s="196">
        <f t="shared" ca="1" si="93"/>
        <v>6.221091807880489E-2</v>
      </c>
      <c r="T154" s="196">
        <f t="shared" ca="1" si="93"/>
        <v>6.221091807880489E-2</v>
      </c>
      <c r="U154" s="196">
        <f t="shared" ca="1" si="93"/>
        <v>6.221091807880489E-2</v>
      </c>
      <c r="W154" s="492"/>
      <c r="X154" s="175"/>
    </row>
    <row r="155" spans="2:25 16384:16384" s="18" customFormat="1" ht="11.25" customHeight="1">
      <c r="B155" s="13"/>
      <c r="C155" s="277"/>
      <c r="E155" s="286"/>
      <c r="F155" s="276"/>
      <c r="G155" s="54"/>
      <c r="H155" s="54"/>
      <c r="J155" s="174"/>
      <c r="K155" s="174"/>
      <c r="L155" s="174"/>
      <c r="M155" s="174"/>
      <c r="N155" s="174"/>
      <c r="O155" s="106"/>
      <c r="P155" s="106"/>
      <c r="Q155" s="106"/>
      <c r="R155" s="106"/>
      <c r="S155" s="106"/>
      <c r="T155" s="106"/>
      <c r="U155" s="106"/>
      <c r="W155" s="175"/>
      <c r="X155" s="175"/>
    </row>
    <row r="156" spans="2:25 16384:16384" s="18" customFormat="1" ht="11.25" customHeight="1">
      <c r="B156" s="13" t="s">
        <v>537</v>
      </c>
      <c r="C156" s="277"/>
      <c r="D156" s="20">
        <f>D147+D153</f>
        <v>1191.8869999999999</v>
      </c>
      <c r="E156" s="20">
        <f t="shared" ref="E156:U156" si="94">E147+E153</f>
        <v>1481.2339999999999</v>
      </c>
      <c r="F156" s="20">
        <f t="shared" si="94"/>
        <v>1702.971</v>
      </c>
      <c r="G156" s="20">
        <f t="shared" si="94"/>
        <v>2176.0079999999998</v>
      </c>
      <c r="H156" s="20">
        <f t="shared" si="94"/>
        <v>2765.5690000000004</v>
      </c>
      <c r="I156" s="20">
        <f t="shared" si="94"/>
        <v>3151.0369999999998</v>
      </c>
      <c r="J156" s="20">
        <f t="shared" ca="1" si="94"/>
        <v>3559.3776667425764</v>
      </c>
      <c r="K156" s="20">
        <f t="shared" ca="1" si="94"/>
        <v>4125.7592570348015</v>
      </c>
      <c r="L156" s="20">
        <f t="shared" ca="1" si="94"/>
        <v>4809.6051360161837</v>
      </c>
      <c r="M156" s="20">
        <f t="shared" ca="1" si="94"/>
        <v>5506.2816005209788</v>
      </c>
      <c r="N156" s="20">
        <f t="shared" ca="1" si="94"/>
        <v>6167.8907041442435</v>
      </c>
      <c r="O156" s="20">
        <f t="shared" ca="1" si="94"/>
        <v>6920.6205409903596</v>
      </c>
      <c r="P156" s="20">
        <f t="shared" ca="1" si="94"/>
        <v>7673.9449655502749</v>
      </c>
      <c r="Q156" s="20">
        <f t="shared" ca="1" si="94"/>
        <v>8447.1927670051955</v>
      </c>
      <c r="R156" s="20">
        <f t="shared" ca="1" si="94"/>
        <v>9238.1639748322486</v>
      </c>
      <c r="S156" s="20">
        <f t="shared" ca="1" si="94"/>
        <v>10046.407032240204</v>
      </c>
      <c r="T156" s="20">
        <f t="shared" ca="1" si="94"/>
        <v>10869.655701691183</v>
      </c>
      <c r="U156" s="20">
        <f t="shared" ca="1" si="94"/>
        <v>11705.799976912878</v>
      </c>
      <c r="W156" s="175"/>
      <c r="X156" s="175"/>
    </row>
    <row r="157" spans="2:25 16384:16384" s="18" customFormat="1" ht="11.25" customHeight="1">
      <c r="B157" s="9" t="s">
        <v>249</v>
      </c>
      <c r="C157" s="277"/>
      <c r="D157" s="548">
        <f>'Historical Financials'!AW532/'Historical Financials'!AV532-1</f>
        <v>6.7618843376938909E-2</v>
      </c>
      <c r="E157" s="134">
        <f>(E156/D156)-1</f>
        <v>0.24276378549308775</v>
      </c>
      <c r="F157" s="134">
        <f t="shared" ref="F157:U157" si="95">(F156/E156)-1</f>
        <v>0.14969748196436217</v>
      </c>
      <c r="G157" s="134">
        <f t="shared" si="95"/>
        <v>0.27777161208264833</v>
      </c>
      <c r="H157" s="134">
        <f t="shared" si="95"/>
        <v>0.27093696346704643</v>
      </c>
      <c r="I157" s="134">
        <f t="shared" si="95"/>
        <v>0.13938108215705314</v>
      </c>
      <c r="J157" s="134">
        <f t="shared" ca="1" si="95"/>
        <v>0.12958929607699843</v>
      </c>
      <c r="K157" s="134">
        <f t="shared" ca="1" si="95"/>
        <v>0.15912376918703286</v>
      </c>
      <c r="L157" s="134">
        <f t="shared" ca="1" si="95"/>
        <v>0.16575031076167646</v>
      </c>
      <c r="M157" s="134">
        <f t="shared" ca="1" si="95"/>
        <v>0.14485107296809296</v>
      </c>
      <c r="N157" s="134">
        <f t="shared" ca="1" si="95"/>
        <v>0.12015533378472076</v>
      </c>
      <c r="O157" s="134">
        <f t="shared" ca="1" si="95"/>
        <v>0.12204007381978288</v>
      </c>
      <c r="P157" s="134">
        <f t="shared" ca="1" si="95"/>
        <v>0.10885214990448122</v>
      </c>
      <c r="Q157" s="134">
        <f t="shared" ca="1" si="95"/>
        <v>0.10076275044011518</v>
      </c>
      <c r="R157" s="134">
        <f t="shared" ca="1" si="95"/>
        <v>9.3637167949640387E-2</v>
      </c>
      <c r="S157" s="134">
        <f t="shared" ca="1" si="95"/>
        <v>8.7489576891021992E-2</v>
      </c>
      <c r="T157" s="134">
        <f t="shared" ca="1" si="95"/>
        <v>8.1944586438621236E-2</v>
      </c>
      <c r="U157" s="134">
        <f t="shared" ca="1" si="95"/>
        <v>7.6924632957012795E-2</v>
      </c>
      <c r="W157" s="175"/>
      <c r="X157" s="175"/>
    </row>
    <row r="158" spans="2:25 16384:16384" s="18" customFormat="1" ht="11.25" customHeight="1">
      <c r="B158" s="9" t="s">
        <v>312</v>
      </c>
      <c r="C158" s="277"/>
      <c r="D158" s="487">
        <f>AVERAGE(D156,('Historical Financials'!AW532))</f>
        <v>1156.0029999999999</v>
      </c>
      <c r="E158" s="177">
        <f t="shared" ref="E158:U158" si="96">AVERAGE(D156:E156)</f>
        <v>1336.5605</v>
      </c>
      <c r="F158" s="177">
        <f t="shared" si="96"/>
        <v>1592.1025</v>
      </c>
      <c r="G158" s="177">
        <f t="shared" si="96"/>
        <v>1939.4894999999999</v>
      </c>
      <c r="H158" s="177">
        <f t="shared" si="96"/>
        <v>2470.7885000000001</v>
      </c>
      <c r="I158" s="177">
        <f t="shared" si="96"/>
        <v>2958.3029999999999</v>
      </c>
      <c r="J158" s="177">
        <f t="shared" ca="1" si="96"/>
        <v>3355.2073333712879</v>
      </c>
      <c r="K158" s="177">
        <f t="shared" ca="1" si="96"/>
        <v>3842.5684618886889</v>
      </c>
      <c r="L158" s="177">
        <f t="shared" ca="1" si="96"/>
        <v>4467.6821965254931</v>
      </c>
      <c r="M158" s="177">
        <f t="shared" ca="1" si="96"/>
        <v>5157.9433682685813</v>
      </c>
      <c r="N158" s="177">
        <f t="shared" ca="1" si="96"/>
        <v>5837.0861523326112</v>
      </c>
      <c r="O158" s="177">
        <f t="shared" ca="1" si="96"/>
        <v>6544.2556225673015</v>
      </c>
      <c r="P158" s="177">
        <f t="shared" ca="1" si="96"/>
        <v>7297.2827532703177</v>
      </c>
      <c r="Q158" s="177">
        <f t="shared" ca="1" si="96"/>
        <v>8060.5688662777357</v>
      </c>
      <c r="R158" s="177">
        <f t="shared" ca="1" si="96"/>
        <v>8842.6783709187221</v>
      </c>
      <c r="S158" s="177">
        <f t="shared" ca="1" si="96"/>
        <v>9642.2855035362263</v>
      </c>
      <c r="T158" s="177">
        <f t="shared" ca="1" si="96"/>
        <v>10458.031366965693</v>
      </c>
      <c r="U158" s="177">
        <f t="shared" ca="1" si="96"/>
        <v>11287.727839302031</v>
      </c>
      <c r="W158" s="175"/>
      <c r="X158" s="175"/>
      <c r="XFD158" s="56"/>
    </row>
    <row r="159" spans="2:25 16384:16384" s="18" customFormat="1" ht="11.25" customHeight="1">
      <c r="B159" s="30"/>
      <c r="C159" s="277"/>
      <c r="E159" s="286"/>
      <c r="F159" s="276"/>
      <c r="G159" s="54"/>
      <c r="H159" s="54"/>
      <c r="J159" s="174"/>
      <c r="K159" s="174"/>
      <c r="L159" s="174"/>
      <c r="M159" s="174"/>
      <c r="N159" s="174"/>
      <c r="O159" s="106"/>
      <c r="P159" s="106"/>
      <c r="Q159" s="106"/>
      <c r="R159" s="106"/>
      <c r="S159" s="106"/>
      <c r="T159" s="106"/>
      <c r="U159" s="106"/>
      <c r="W159" s="175"/>
      <c r="X159" s="175"/>
    </row>
    <row r="160" spans="2:25 16384:16384" s="18" customFormat="1" ht="11.25" customHeight="1">
      <c r="B160" s="415" t="s">
        <v>546</v>
      </c>
      <c r="C160" s="481"/>
      <c r="D160" s="439">
        <f t="shared" ref="D160:J160" si="97">D141/D158</f>
        <v>0.33185342685096841</v>
      </c>
      <c r="E160" s="439">
        <f t="shared" si="97"/>
        <v>0.27885116161969481</v>
      </c>
      <c r="F160" s="439">
        <f t="shared" si="97"/>
        <v>0.35599706111886642</v>
      </c>
      <c r="G160" s="439">
        <f t="shared" si="97"/>
        <v>0.33512995919802591</v>
      </c>
      <c r="H160" s="439">
        <f t="shared" si="97"/>
        <v>0.45381435602440279</v>
      </c>
      <c r="I160" s="439">
        <f t="shared" si="97"/>
        <v>0.31148465860326002</v>
      </c>
      <c r="J160" s="439">
        <f t="shared" ca="1" si="97"/>
        <v>0.38906200338139924</v>
      </c>
      <c r="K160" s="563">
        <v>0.44</v>
      </c>
      <c r="L160" s="563">
        <f t="shared" ref="L160:T160" ca="1" si="98">K160+(($U160-$K160)/COUNTA($L160:$U160))</f>
        <v>0.442</v>
      </c>
      <c r="M160" s="563">
        <f t="shared" ca="1" si="98"/>
        <v>0.44400000000000001</v>
      </c>
      <c r="N160" s="563">
        <f t="shared" ca="1" si="98"/>
        <v>0.44600000000000001</v>
      </c>
      <c r="O160" s="563">
        <f t="shared" ca="1" si="98"/>
        <v>0.44800000000000001</v>
      </c>
      <c r="P160" s="563">
        <f t="shared" ca="1" si="98"/>
        <v>0.45</v>
      </c>
      <c r="Q160" s="563">
        <f t="shared" ca="1" si="98"/>
        <v>0.45200000000000001</v>
      </c>
      <c r="R160" s="563">
        <f t="shared" ca="1" si="98"/>
        <v>0.45400000000000001</v>
      </c>
      <c r="S160" s="563">
        <f t="shared" ca="1" si="98"/>
        <v>0.45600000000000002</v>
      </c>
      <c r="T160" s="563">
        <f t="shared" ca="1" si="98"/>
        <v>0.45800000000000002</v>
      </c>
      <c r="U160" s="563">
        <v>0.46</v>
      </c>
      <c r="W160" s="175"/>
      <c r="Y160" s="118" t="str">
        <f ca="1">TEXT(MIN(K160:U160),"#%")&amp;"-"&amp;TEXT(MAX(K160:U160),"#%")</f>
        <v>44%-46%</v>
      </c>
    </row>
    <row r="161" spans="2:24" s="18" customFormat="1" ht="11.25" customHeight="1">
      <c r="B161" s="483" t="s">
        <v>684</v>
      </c>
      <c r="C161" s="277"/>
      <c r="E161" s="68">
        <f>(IF(E158&gt;D158,(E141-D141)/(E158-D158),"n/m"))</f>
        <v>-6.0491029173531184E-2</v>
      </c>
      <c r="F161" s="68">
        <f t="shared" ref="F161:U161" si="99">(IF(F158&gt;E158,(F141-E141)/(F158-E158),"n/m"))</f>
        <v>0.7594930109336232</v>
      </c>
      <c r="G161" s="68">
        <f t="shared" si="99"/>
        <v>0.23949435643820774</v>
      </c>
      <c r="H161" s="68">
        <f t="shared" si="99"/>
        <v>0.88706783750769402</v>
      </c>
      <c r="I161" s="68">
        <f t="shared" si="99"/>
        <v>-0.40986122874294073</v>
      </c>
      <c r="J161" s="68">
        <f t="shared" ca="1" si="99"/>
        <v>0.96728015947927726</v>
      </c>
      <c r="K161" s="68">
        <f t="shared" ca="1" si="99"/>
        <v>0.79067946498295438</v>
      </c>
      <c r="L161" s="68">
        <f t="shared" ca="1" si="99"/>
        <v>0.45429398187554237</v>
      </c>
      <c r="M161" s="68">
        <f t="shared" ca="1" si="99"/>
        <v>0.45694490369563578</v>
      </c>
      <c r="N161" s="68">
        <f t="shared" ca="1" si="99"/>
        <v>0.46118956982036391</v>
      </c>
      <c r="O161" s="68">
        <f t="shared" ca="1" si="99"/>
        <v>0.4645083092469916</v>
      </c>
      <c r="P161" s="68">
        <f t="shared" ca="1" si="99"/>
        <v>0.46738119479561796</v>
      </c>
      <c r="Q161" s="68">
        <f t="shared" ca="1" si="99"/>
        <v>0.47112070095057423</v>
      </c>
      <c r="R161" s="68">
        <f t="shared" ca="1" si="99"/>
        <v>0.47461237926005706</v>
      </c>
      <c r="S161" s="68">
        <f t="shared" ca="1" si="99"/>
        <v>0.47811755751095464</v>
      </c>
      <c r="T161" s="68">
        <f t="shared" ca="1" si="99"/>
        <v>0.48164041532003476</v>
      </c>
      <c r="U161" s="68">
        <f t="shared" ca="1" si="99"/>
        <v>0.48520929452072209</v>
      </c>
      <c r="W161" s="175"/>
      <c r="X161" s="175"/>
    </row>
    <row r="162" spans="2:24" s="18" customFormat="1" ht="11.25" customHeight="1">
      <c r="B162" s="483"/>
      <c r="C162" s="277"/>
      <c r="E162" s="68"/>
      <c r="F162" s="68"/>
      <c r="G162" s="68"/>
      <c r="H162" s="68"/>
      <c r="I162" s="68"/>
      <c r="J162" s="68"/>
      <c r="K162" s="68"/>
      <c r="L162" s="68"/>
      <c r="M162" s="68"/>
      <c r="N162" s="68"/>
      <c r="O162" s="68"/>
      <c r="P162" s="68"/>
      <c r="Q162" s="68"/>
      <c r="R162" s="68"/>
      <c r="S162" s="68"/>
      <c r="T162" s="68"/>
      <c r="U162" s="68"/>
      <c r="W162" s="175"/>
      <c r="X162" s="175"/>
    </row>
    <row r="163" spans="2:24" s="18" customFormat="1" ht="11.25" customHeight="1">
      <c r="B163" s="447" t="s">
        <v>688</v>
      </c>
      <c r="C163" s="488"/>
      <c r="E163" s="68"/>
      <c r="F163" s="68"/>
      <c r="G163" s="68"/>
      <c r="H163" s="68"/>
      <c r="I163" s="68"/>
      <c r="J163" s="68"/>
      <c r="K163" s="68"/>
      <c r="L163" s="68"/>
      <c r="M163" s="68"/>
      <c r="N163" s="68"/>
      <c r="O163" s="68"/>
      <c r="P163" s="68"/>
      <c r="Q163" s="68"/>
      <c r="R163" s="68"/>
      <c r="S163" s="68"/>
      <c r="T163" s="68"/>
      <c r="U163" s="68"/>
      <c r="W163" s="175"/>
      <c r="X163" s="175"/>
    </row>
    <row r="164" spans="2:24" s="18" customFormat="1" ht="11.25" customHeight="1">
      <c r="B164" s="483"/>
      <c r="C164" s="277"/>
      <c r="E164" s="68"/>
      <c r="F164" s="68"/>
      <c r="G164" s="68"/>
      <c r="H164" s="68"/>
      <c r="I164" s="68"/>
      <c r="J164" s="68"/>
      <c r="K164" s="68"/>
      <c r="L164" s="68"/>
      <c r="M164" s="68"/>
      <c r="N164" s="68"/>
      <c r="O164" s="68"/>
      <c r="P164" s="68"/>
      <c r="Q164" s="68"/>
      <c r="R164" s="68"/>
      <c r="S164" s="68"/>
      <c r="T164" s="68"/>
      <c r="U164" s="68"/>
      <c r="W164" s="175"/>
      <c r="X164" s="175"/>
    </row>
    <row r="165" spans="2:24" s="18" customFormat="1" ht="11.25" customHeight="1">
      <c r="B165" s="449" t="s">
        <v>639</v>
      </c>
      <c r="C165" s="277"/>
      <c r="E165" s="68"/>
      <c r="F165" s="68"/>
      <c r="G165" s="68"/>
      <c r="H165" s="68"/>
      <c r="I165" s="68"/>
      <c r="J165" s="68"/>
      <c r="K165" s="68"/>
      <c r="L165" s="68"/>
      <c r="M165" s="68"/>
      <c r="N165" s="68"/>
      <c r="O165" s="68"/>
      <c r="P165" s="68"/>
      <c r="Q165" s="68"/>
      <c r="R165" s="68"/>
      <c r="S165" s="68"/>
      <c r="T165" s="68"/>
      <c r="U165" s="68"/>
      <c r="W165" s="175"/>
      <c r="X165" s="175"/>
    </row>
    <row r="166" spans="2:24" s="18" customFormat="1" ht="11.25" customHeight="1">
      <c r="B166" s="444" t="s">
        <v>640</v>
      </c>
      <c r="C166" s="277"/>
      <c r="D166" s="473">
        <f>('D&amp;A Build (C)'!L15/1000)*1000</f>
        <v>300.02440000000001</v>
      </c>
      <c r="E166" s="473">
        <f>('D&amp;A Build (C)'!M15/1000)*1000</f>
        <v>564.28300000000002</v>
      </c>
      <c r="F166" s="473">
        <f>('D&amp;A Build (C)'!N15/1000)*1000</f>
        <v>525.72069999999997</v>
      </c>
      <c r="G166" s="473">
        <f>('D&amp;A Build (C)'!O15/1000)*1000</f>
        <v>835.4063000000001</v>
      </c>
      <c r="H166" s="473">
        <f>('D&amp;A Build (C)'!P15/1000)*1000</f>
        <v>1139.8921</v>
      </c>
      <c r="I166" s="473">
        <f>('D&amp;A Build (C)'!Q15/1000)*1000</f>
        <v>897.51880000000006</v>
      </c>
      <c r="J166" s="473">
        <f ca="1">('D&amp;A Build (C)'!R15/1000)*1000</f>
        <v>990.18415175882456</v>
      </c>
      <c r="K166" s="473">
        <f ca="1">('D&amp;A Build (C)'!S15/1000)*1000</f>
        <v>1338.4946808912268</v>
      </c>
      <c r="L166" s="473">
        <f ca="1">('D&amp;A Build (C)'!T15/1000)*1000</f>
        <v>1518.6987484791175</v>
      </c>
      <c r="M166" s="473">
        <f ca="1">('D&amp;A Build (C)'!U15/1000)*1000</f>
        <v>1710.5845492186077</v>
      </c>
      <c r="N166" s="473">
        <f ca="1">('D&amp;A Build (C)'!V15/1000)*1000</f>
        <v>1888.0792165547145</v>
      </c>
      <c r="O166" s="473">
        <f ca="1">('D&amp;A Build (C)'!W15/1000)*1000</f>
        <v>2064.0058693127462</v>
      </c>
      <c r="P166" s="473">
        <f ca="1">('D&amp;A Build (C)'!X15/1000)*1000</f>
        <v>2243.3725691984487</v>
      </c>
      <c r="Q166" s="473">
        <f ca="1">('D&amp;A Build (C)'!Y15/1000)*1000</f>
        <v>2414.6303315969553</v>
      </c>
      <c r="R166" s="473">
        <f ca="1">('D&amp;A Build (C)'!Z15/1000)*1000</f>
        <v>2580.2420378862912</v>
      </c>
      <c r="S166" s="473">
        <f ca="1">('D&amp;A Build (C)'!AA15/1000)*1000</f>
        <v>2739.5958258354922</v>
      </c>
      <c r="T166" s="473">
        <f ca="1">('D&amp;A Build (C)'!AB15/1000)*1000</f>
        <v>2892.1137943700592</v>
      </c>
      <c r="U166" s="473">
        <f ca="1">('D&amp;A Build (C)'!AC15/1000)*1000</f>
        <v>3037.03771676315</v>
      </c>
      <c r="W166" s="175"/>
      <c r="X166" s="175"/>
    </row>
    <row r="167" spans="2:24" s="18" customFormat="1" ht="13.5" customHeight="1">
      <c r="B167" s="444" t="s">
        <v>641</v>
      </c>
      <c r="C167" s="277"/>
      <c r="D167" s="472">
        <f>('D&amp;A Build (C)'!L16/1000)*1000</f>
        <v>-7.1741999999999999</v>
      </c>
      <c r="E167" s="472">
        <f>('D&amp;A Build (C)'!M16/1000)*1000</f>
        <v>-18.5839</v>
      </c>
      <c r="F167" s="472">
        <f>('D&amp;A Build (C)'!N16/1000)*1000</f>
        <v>-7.1728999999999994</v>
      </c>
      <c r="G167" s="472">
        <f>('D&amp;A Build (C)'!O16/1000)*1000</f>
        <v>-26.566700000000001</v>
      </c>
      <c r="H167" s="472">
        <f>('D&amp;A Build (C)'!P16/1000)*1000</f>
        <v>-27.792400000000001</v>
      </c>
      <c r="I167" s="472">
        <f>('D&amp;A Build (C)'!Q16/1000)*1000</f>
        <v>-32.436700000000002</v>
      </c>
      <c r="J167" s="472">
        <f>('D&amp;A Build (C)'!R16/1000)*1000</f>
        <v>0</v>
      </c>
      <c r="K167" s="472">
        <f>('D&amp;A Build (C)'!S16/1000)*1000</f>
        <v>0</v>
      </c>
      <c r="L167" s="472">
        <f>('D&amp;A Build (C)'!T16/1000)*1000</f>
        <v>0</v>
      </c>
      <c r="M167" s="472">
        <f>('D&amp;A Build (C)'!U16/1000)*1000</f>
        <v>0</v>
      </c>
      <c r="N167" s="472">
        <f>('D&amp;A Build (C)'!V16/1000)*1000</f>
        <v>0</v>
      </c>
      <c r="O167" s="472">
        <f>('D&amp;A Build (C)'!W16/1000)*1000</f>
        <v>0</v>
      </c>
      <c r="P167" s="472">
        <f>('D&amp;A Build (C)'!X16/1000)*1000</f>
        <v>0</v>
      </c>
      <c r="Q167" s="472">
        <f>('D&amp;A Build (C)'!Y16/1000)*1000</f>
        <v>0</v>
      </c>
      <c r="R167" s="472">
        <f>('D&amp;A Build (C)'!Z16/1000)*1000</f>
        <v>0</v>
      </c>
      <c r="S167" s="472">
        <f>('D&amp;A Build (C)'!AA16/1000)*1000</f>
        <v>0</v>
      </c>
      <c r="T167" s="472">
        <f>('D&amp;A Build (C)'!AB16/1000)*1000</f>
        <v>0</v>
      </c>
      <c r="U167" s="472">
        <f>('D&amp;A Build (C)'!AC16/1000)*1000</f>
        <v>0</v>
      </c>
      <c r="W167" s="175"/>
      <c r="X167" s="175"/>
    </row>
    <row r="168" spans="2:24" s="18" customFormat="1" ht="11.25" customHeight="1">
      <c r="B168" s="455" t="s">
        <v>642</v>
      </c>
      <c r="C168" s="277"/>
      <c r="D168" s="456">
        <f>SUM(D166:D167)</f>
        <v>292.85020000000003</v>
      </c>
      <c r="E168" s="456">
        <f t="shared" ref="E168:U168" si="100">SUM(E166:E167)</f>
        <v>545.69910000000004</v>
      </c>
      <c r="F168" s="456">
        <f t="shared" si="100"/>
        <v>518.54779999999994</v>
      </c>
      <c r="G168" s="456">
        <f t="shared" si="100"/>
        <v>808.83960000000013</v>
      </c>
      <c r="H168" s="456">
        <f t="shared" si="100"/>
        <v>1112.0997</v>
      </c>
      <c r="I168" s="456">
        <f t="shared" si="100"/>
        <v>865.08210000000008</v>
      </c>
      <c r="J168" s="456">
        <f t="shared" ca="1" si="100"/>
        <v>990.18415175882456</v>
      </c>
      <c r="K168" s="456">
        <f t="shared" ca="1" si="100"/>
        <v>1338.4946808912268</v>
      </c>
      <c r="L168" s="456">
        <f t="shared" ca="1" si="100"/>
        <v>1518.6987484791175</v>
      </c>
      <c r="M168" s="456">
        <f t="shared" ca="1" si="100"/>
        <v>1710.5845492186077</v>
      </c>
      <c r="N168" s="456">
        <f t="shared" ca="1" si="100"/>
        <v>1888.0792165547145</v>
      </c>
      <c r="O168" s="456">
        <f t="shared" ca="1" si="100"/>
        <v>2064.0058693127462</v>
      </c>
      <c r="P168" s="456">
        <f t="shared" ca="1" si="100"/>
        <v>2243.3725691984487</v>
      </c>
      <c r="Q168" s="456">
        <f t="shared" ca="1" si="100"/>
        <v>2414.6303315969553</v>
      </c>
      <c r="R168" s="456">
        <f t="shared" ca="1" si="100"/>
        <v>2580.2420378862912</v>
      </c>
      <c r="S168" s="456">
        <f t="shared" ca="1" si="100"/>
        <v>2739.5958258354922</v>
      </c>
      <c r="T168" s="456">
        <f t="shared" ca="1" si="100"/>
        <v>2892.1137943700592</v>
      </c>
      <c r="U168" s="456">
        <f t="shared" ca="1" si="100"/>
        <v>3037.03771676315</v>
      </c>
      <c r="W168" s="175"/>
      <c r="X168" s="175"/>
    </row>
    <row r="169" spans="2:24" s="18" customFormat="1" ht="13.5" customHeight="1">
      <c r="B169" s="444" t="s">
        <v>643</v>
      </c>
      <c r="C169" s="277"/>
      <c r="D169" s="472">
        <f>('D&amp;A Build (C)'!L18/1000)*1000</f>
        <v>-6.271899999999448</v>
      </c>
      <c r="E169" s="472">
        <f>('D&amp;A Build (C)'!M18/1000)*1000</f>
        <v>-362.24640000000022</v>
      </c>
      <c r="F169" s="472">
        <f>('D&amp;A Build (C)'!N18/1000)*1000</f>
        <v>300.45859999999936</v>
      </c>
      <c r="G169" s="472">
        <f>('D&amp;A Build (C)'!O18/1000)*1000</f>
        <v>-369.65419999999892</v>
      </c>
      <c r="H169" s="472">
        <f>('D&amp;A Build (C)'!P18/1000)*1000</f>
        <v>-731.58340000000067</v>
      </c>
      <c r="I169" s="472">
        <f>('D&amp;A Build (C)'!Q18/1000)*1000</f>
        <v>419.5340999999994</v>
      </c>
      <c r="J169" s="472">
        <f ca="1">('D&amp;A Build (C)'!R18/1000)*1000</f>
        <v>-99.018415175882467</v>
      </c>
      <c r="K169" s="472">
        <f ca="1">('D&amp;A Build (C)'!S18/1000)*1000</f>
        <v>-133.84946808912269</v>
      </c>
      <c r="L169" s="472">
        <f ca="1">('D&amp;A Build (C)'!T18/1000)*1000</f>
        <v>-151.86987484791175</v>
      </c>
      <c r="M169" s="472">
        <f ca="1">('D&amp;A Build (C)'!U18/1000)*1000</f>
        <v>-171.05845492186077</v>
      </c>
      <c r="N169" s="472">
        <f ca="1">('D&amp;A Build (C)'!V18/1000)*1000</f>
        <v>-188.80792165547146</v>
      </c>
      <c r="O169" s="472">
        <f ca="1">('D&amp;A Build (C)'!W18/1000)*1000</f>
        <v>-206.40058693127463</v>
      </c>
      <c r="P169" s="472">
        <f ca="1">('D&amp;A Build (C)'!X18/1000)*1000</f>
        <v>-224.33725691984489</v>
      </c>
      <c r="Q169" s="472">
        <f ca="1">('D&amp;A Build (C)'!Y18/1000)*1000</f>
        <v>-241.46303315969556</v>
      </c>
      <c r="R169" s="472">
        <f ca="1">('D&amp;A Build (C)'!Z18/1000)*1000</f>
        <v>-258.02420378862911</v>
      </c>
      <c r="S169" s="472">
        <f ca="1">('D&amp;A Build (C)'!AA18/1000)*1000</f>
        <v>-273.95958258354921</v>
      </c>
      <c r="T169" s="472">
        <f ca="1">('D&amp;A Build (C)'!AB18/1000)*1000</f>
        <v>-289.21137943700592</v>
      </c>
      <c r="U169" s="472">
        <f ca="1">('D&amp;A Build (C)'!AC18/1000)*1000</f>
        <v>-303.703771676315</v>
      </c>
      <c r="W169" s="175"/>
      <c r="X169" s="175"/>
    </row>
    <row r="170" spans="2:24" s="18" customFormat="1" ht="11.25" customHeight="1">
      <c r="B170" s="455" t="s">
        <v>639</v>
      </c>
      <c r="C170" s="277"/>
      <c r="D170" s="456">
        <f>SUM(D168:D169)</f>
        <v>286.57830000000058</v>
      </c>
      <c r="E170" s="456">
        <f t="shared" ref="E170:U170" si="101">SUM(E168:E169)</f>
        <v>183.45269999999982</v>
      </c>
      <c r="F170" s="456">
        <f t="shared" si="101"/>
        <v>819.0063999999993</v>
      </c>
      <c r="G170" s="456">
        <f t="shared" si="101"/>
        <v>439.18540000000121</v>
      </c>
      <c r="H170" s="456">
        <f t="shared" si="101"/>
        <v>380.51629999999932</v>
      </c>
      <c r="I170" s="456">
        <f t="shared" si="101"/>
        <v>1284.6161999999995</v>
      </c>
      <c r="J170" s="456">
        <f t="shared" ca="1" si="101"/>
        <v>891.16573658294215</v>
      </c>
      <c r="K170" s="456">
        <f t="shared" ca="1" si="101"/>
        <v>1204.6452128021042</v>
      </c>
      <c r="L170" s="456">
        <f t="shared" ca="1" si="101"/>
        <v>1366.8288736312059</v>
      </c>
      <c r="M170" s="456">
        <f t="shared" ca="1" si="101"/>
        <v>1539.5260942967468</v>
      </c>
      <c r="N170" s="456">
        <f t="shared" ca="1" si="101"/>
        <v>1699.271294899243</v>
      </c>
      <c r="O170" s="456">
        <f t="shared" ca="1" si="101"/>
        <v>1857.6052823814716</v>
      </c>
      <c r="P170" s="456">
        <f t="shared" ca="1" si="101"/>
        <v>2019.0353122786037</v>
      </c>
      <c r="Q170" s="456">
        <f t="shared" ca="1" si="101"/>
        <v>2173.1672984372599</v>
      </c>
      <c r="R170" s="456">
        <f t="shared" ca="1" si="101"/>
        <v>2322.217834097662</v>
      </c>
      <c r="S170" s="456">
        <f t="shared" ca="1" si="101"/>
        <v>2465.6362432519431</v>
      </c>
      <c r="T170" s="456">
        <f t="shared" ca="1" si="101"/>
        <v>2602.9024149330535</v>
      </c>
      <c r="U170" s="456">
        <f t="shared" ca="1" si="101"/>
        <v>2733.3339450868352</v>
      </c>
      <c r="W170" s="175"/>
      <c r="X170" s="175"/>
    </row>
    <row r="171" spans="2:24" s="18" customFormat="1" ht="11.25" customHeight="1">
      <c r="B171" s="444"/>
      <c r="C171" s="277"/>
      <c r="E171" s="68"/>
      <c r="F171" s="68"/>
      <c r="G171" s="68"/>
      <c r="H171" s="68"/>
      <c r="I171" s="68"/>
      <c r="J171" s="68"/>
      <c r="K171" s="68"/>
      <c r="L171" s="68"/>
      <c r="M171" s="68"/>
      <c r="N171" s="68"/>
      <c r="O171" s="68"/>
      <c r="P171" s="68"/>
      <c r="Q171" s="68"/>
      <c r="R171" s="68"/>
      <c r="S171" s="68"/>
      <c r="T171" s="68"/>
      <c r="U171" s="68"/>
      <c r="W171" s="175"/>
      <c r="X171" s="175"/>
    </row>
    <row r="172" spans="2:24" s="18" customFormat="1" ht="11.25" customHeight="1">
      <c r="B172" s="440" t="s">
        <v>692</v>
      </c>
      <c r="C172" s="493"/>
      <c r="D172" s="494">
        <f>'D&amp;A Build (C)'!J11</f>
        <v>5.45</v>
      </c>
      <c r="E172" s="484"/>
      <c r="F172" s="68"/>
      <c r="G172" s="68"/>
      <c r="H172" s="68"/>
      <c r="I172" s="68"/>
      <c r="J172" s="68"/>
      <c r="K172" s="68"/>
      <c r="L172" s="68"/>
      <c r="M172" s="68"/>
      <c r="N172" s="68"/>
      <c r="O172" s="68"/>
      <c r="P172" s="68"/>
      <c r="Q172" s="68"/>
      <c r="R172" s="68"/>
      <c r="S172" s="68"/>
      <c r="T172" s="68"/>
      <c r="U172" s="68"/>
      <c r="W172" s="175"/>
      <c r="X172" s="175"/>
    </row>
    <row r="173" spans="2:24" s="18" customFormat="1" ht="11.25" customHeight="1">
      <c r="B173" s="444"/>
      <c r="C173" s="277"/>
      <c r="E173" s="68"/>
      <c r="F173" s="68"/>
      <c r="G173" s="68"/>
      <c r="H173" s="68"/>
      <c r="I173" s="68"/>
      <c r="J173" s="68"/>
      <c r="K173" s="68"/>
      <c r="L173" s="68"/>
      <c r="M173" s="68"/>
      <c r="N173" s="68"/>
      <c r="O173" s="68"/>
      <c r="P173" s="68"/>
      <c r="Q173" s="68"/>
      <c r="R173" s="68"/>
      <c r="S173" s="68"/>
      <c r="T173" s="68"/>
      <c r="U173" s="68"/>
      <c r="W173" s="175"/>
      <c r="X173" s="175"/>
    </row>
    <row r="174" spans="2:24" s="18" customFormat="1" ht="11.25" customHeight="1">
      <c r="B174" s="449" t="s">
        <v>644</v>
      </c>
      <c r="C174" s="277"/>
      <c r="E174" s="68"/>
      <c r="F174" s="68"/>
      <c r="G174" s="68"/>
      <c r="H174" s="68"/>
      <c r="I174" s="68"/>
      <c r="J174" s="68"/>
      <c r="K174" s="68"/>
      <c r="L174" s="68"/>
      <c r="M174" s="68"/>
      <c r="N174" s="68"/>
      <c r="O174" s="68"/>
      <c r="P174" s="68"/>
      <c r="Q174" s="68"/>
      <c r="R174" s="68"/>
      <c r="S174" s="68"/>
      <c r="T174" s="68"/>
      <c r="U174" s="68"/>
      <c r="W174" s="175"/>
      <c r="X174" s="175"/>
    </row>
    <row r="175" spans="2:24" s="18" customFormat="1" ht="11.25" customHeight="1">
      <c r="B175" s="444" t="s">
        <v>1</v>
      </c>
      <c r="C175" s="277"/>
      <c r="D175" s="473">
        <f>('D&amp;A Build (C)'!L29/1000)*1000</f>
        <v>26.291587155963356</v>
      </c>
      <c r="E175" s="473">
        <f>('D&amp;A Build (C)'!M29/1000)*1000</f>
        <v>52.583174311926712</v>
      </c>
      <c r="F175" s="473">
        <f>('D&amp;A Build (C)'!N29/1000)*1000</f>
        <v>52.583174311926712</v>
      </c>
      <c r="G175" s="473">
        <f>('D&amp;A Build (C)'!O29/1000)*1000</f>
        <v>52.583174311926712</v>
      </c>
      <c r="H175" s="473">
        <f>('D&amp;A Build (C)'!P29/1000)*1000</f>
        <v>52.583174311926712</v>
      </c>
      <c r="I175" s="473">
        <f>('D&amp;A Build (C)'!Q29/1000)*1000</f>
        <v>49.954015596330379</v>
      </c>
      <c r="J175" s="473">
        <f>('D&amp;A Build (C)'!R29/1000)*1000</f>
        <v>0</v>
      </c>
      <c r="K175" s="473">
        <f>('D&amp;A Build (C)'!S29/1000)*1000</f>
        <v>0</v>
      </c>
      <c r="L175" s="473">
        <f>('D&amp;A Build (C)'!T29/1000)*1000</f>
        <v>0</v>
      </c>
      <c r="M175" s="473">
        <f>('D&amp;A Build (C)'!U29/1000)*1000</f>
        <v>0</v>
      </c>
      <c r="N175" s="473">
        <f>('D&amp;A Build (C)'!V29/1000)*1000</f>
        <v>0</v>
      </c>
      <c r="O175" s="473">
        <f>('D&amp;A Build (C)'!W29/1000)*1000</f>
        <v>0</v>
      </c>
      <c r="P175" s="473">
        <f>('D&amp;A Build (C)'!X29/1000)*1000</f>
        <v>0</v>
      </c>
      <c r="Q175" s="473">
        <f>('D&amp;A Build (C)'!Y29/1000)*1000</f>
        <v>0</v>
      </c>
      <c r="R175" s="473">
        <f>('D&amp;A Build (C)'!Z29/1000)*1000</f>
        <v>0</v>
      </c>
      <c r="S175" s="473">
        <f>('D&amp;A Build (C)'!AA29/1000)*1000</f>
        <v>0</v>
      </c>
      <c r="T175" s="473">
        <f>('D&amp;A Build (C)'!AB29/1000)*1000</f>
        <v>0</v>
      </c>
      <c r="U175" s="473">
        <f>('D&amp;A Build (C)'!AC29/1000)*1000</f>
        <v>0</v>
      </c>
      <c r="W175" s="175"/>
      <c r="X175" s="175"/>
    </row>
    <row r="176" spans="2:24" s="18" customFormat="1" ht="11.25" customHeight="1">
      <c r="B176" s="444" t="s">
        <v>2</v>
      </c>
      <c r="C176" s="277"/>
      <c r="D176" s="473">
        <f>('D&amp;A Build (C)'!L30/1000)*1000</f>
        <v>0</v>
      </c>
      <c r="E176" s="473">
        <f>('D&amp;A Build (C)'!M30/1000)*1000</f>
        <v>16.830522935779801</v>
      </c>
      <c r="F176" s="473">
        <f>('D&amp;A Build (C)'!N30/1000)*1000</f>
        <v>33.661045871559601</v>
      </c>
      <c r="G176" s="473">
        <f>('D&amp;A Build (C)'!O30/1000)*1000</f>
        <v>33.661045871559601</v>
      </c>
      <c r="H176" s="473">
        <f>('D&amp;A Build (C)'!P30/1000)*1000</f>
        <v>33.661045871559601</v>
      </c>
      <c r="I176" s="473">
        <f>('D&amp;A Build (C)'!Q30/1000)*1000</f>
        <v>33.661045871559601</v>
      </c>
      <c r="J176" s="473">
        <f>('D&amp;A Build (C)'!R30/1000)*1000</f>
        <v>31.977993577981639</v>
      </c>
      <c r="K176" s="473">
        <f>('D&amp;A Build (C)'!S30/1000)*1000</f>
        <v>0</v>
      </c>
      <c r="L176" s="473">
        <f>('D&amp;A Build (C)'!T30/1000)*1000</f>
        <v>0</v>
      </c>
      <c r="M176" s="473">
        <f>('D&amp;A Build (C)'!U30/1000)*1000</f>
        <v>0</v>
      </c>
      <c r="N176" s="473">
        <f>('D&amp;A Build (C)'!V30/1000)*1000</f>
        <v>0</v>
      </c>
      <c r="O176" s="473">
        <f>('D&amp;A Build (C)'!W30/1000)*1000</f>
        <v>0</v>
      </c>
      <c r="P176" s="473">
        <f>('D&amp;A Build (C)'!X30/1000)*1000</f>
        <v>0</v>
      </c>
      <c r="Q176" s="473">
        <f>('D&amp;A Build (C)'!Y30/1000)*1000</f>
        <v>0</v>
      </c>
      <c r="R176" s="473">
        <f>('D&amp;A Build (C)'!Z30/1000)*1000</f>
        <v>0</v>
      </c>
      <c r="S176" s="473">
        <f>('D&amp;A Build (C)'!AA30/1000)*1000</f>
        <v>0</v>
      </c>
      <c r="T176" s="473">
        <f>('D&amp;A Build (C)'!AB30/1000)*1000</f>
        <v>0</v>
      </c>
      <c r="U176" s="473">
        <f>('D&amp;A Build (C)'!AC30/1000)*1000</f>
        <v>0</v>
      </c>
      <c r="W176" s="175"/>
      <c r="X176" s="175"/>
    </row>
    <row r="177" spans="2:24" s="18" customFormat="1" ht="11.25" customHeight="1">
      <c r="B177" s="444" t="s">
        <v>3</v>
      </c>
      <c r="C177" s="277"/>
      <c r="D177" s="473">
        <f>('D&amp;A Build (C)'!L31/1000)*1000</f>
        <v>0</v>
      </c>
      <c r="E177" s="473">
        <f>('D&amp;A Build (C)'!M31/1000)*1000</f>
        <v>0</v>
      </c>
      <c r="F177" s="473">
        <f>('D&amp;A Build (C)'!N31/1000)*1000</f>
        <v>75.138201834862315</v>
      </c>
      <c r="G177" s="473">
        <f>('D&amp;A Build (C)'!O31/1000)*1000</f>
        <v>150.27640366972463</v>
      </c>
      <c r="H177" s="473">
        <f>('D&amp;A Build (C)'!P31/1000)*1000</f>
        <v>150.27640366972463</v>
      </c>
      <c r="I177" s="473">
        <f>('D&amp;A Build (C)'!Q31/1000)*1000</f>
        <v>150.27640366972463</v>
      </c>
      <c r="J177" s="473">
        <f>('D&amp;A Build (C)'!R31/1000)*1000</f>
        <v>150.27640366972463</v>
      </c>
      <c r="K177" s="473">
        <f>('D&amp;A Build (C)'!S31/1000)*1000</f>
        <v>142.76258348623833</v>
      </c>
      <c r="L177" s="473">
        <f>('D&amp;A Build (C)'!T31/1000)*1000</f>
        <v>0</v>
      </c>
      <c r="M177" s="473">
        <f>('D&amp;A Build (C)'!U31/1000)*1000</f>
        <v>0</v>
      </c>
      <c r="N177" s="473">
        <f>('D&amp;A Build (C)'!V31/1000)*1000</f>
        <v>0</v>
      </c>
      <c r="O177" s="473">
        <f>('D&amp;A Build (C)'!W31/1000)*1000</f>
        <v>0</v>
      </c>
      <c r="P177" s="473">
        <f>('D&amp;A Build (C)'!X31/1000)*1000</f>
        <v>0</v>
      </c>
      <c r="Q177" s="473">
        <f>('D&amp;A Build (C)'!Y31/1000)*1000</f>
        <v>0</v>
      </c>
      <c r="R177" s="473">
        <f>('D&amp;A Build (C)'!Z31/1000)*1000</f>
        <v>0</v>
      </c>
      <c r="S177" s="473">
        <f>('D&amp;A Build (C)'!AA31/1000)*1000</f>
        <v>0</v>
      </c>
      <c r="T177" s="473">
        <f>('D&amp;A Build (C)'!AB31/1000)*1000</f>
        <v>0</v>
      </c>
      <c r="U177" s="473">
        <f>('D&amp;A Build (C)'!AC31/1000)*1000</f>
        <v>0</v>
      </c>
      <c r="W177" s="175"/>
      <c r="X177" s="175"/>
    </row>
    <row r="178" spans="2:24" s="18" customFormat="1" ht="11.25" customHeight="1">
      <c r="B178" s="444" t="s">
        <v>4</v>
      </c>
      <c r="C178" s="277"/>
      <c r="D178" s="473">
        <f>('D&amp;A Build (C)'!L32/1000)*1000</f>
        <v>0</v>
      </c>
      <c r="E178" s="473">
        <f>('D&amp;A Build (C)'!M32/1000)*1000</f>
        <v>0</v>
      </c>
      <c r="F178" s="473">
        <f>('D&amp;A Build (C)'!N32/1000)*1000</f>
        <v>0</v>
      </c>
      <c r="G178" s="473">
        <f>('D&amp;A Build (C)'!O32/1000)*1000</f>
        <v>40.292238532110204</v>
      </c>
      <c r="H178" s="473">
        <f>('D&amp;A Build (C)'!P32/1000)*1000</f>
        <v>80.584477064220408</v>
      </c>
      <c r="I178" s="473">
        <f>('D&amp;A Build (C)'!Q32/1000)*1000</f>
        <v>80.584477064220408</v>
      </c>
      <c r="J178" s="473">
        <f>('D&amp;A Build (C)'!R32/1000)*1000</f>
        <v>80.584477064220408</v>
      </c>
      <c r="K178" s="473">
        <f>('D&amp;A Build (C)'!S32/1000)*1000</f>
        <v>80.584477064220408</v>
      </c>
      <c r="L178" s="473">
        <f>('D&amp;A Build (C)'!T32/1000)*1000</f>
        <v>76.555253211009358</v>
      </c>
      <c r="M178" s="473">
        <f>('D&amp;A Build (C)'!U32/1000)*1000</f>
        <v>0</v>
      </c>
      <c r="N178" s="473">
        <f>('D&amp;A Build (C)'!V32/1000)*1000</f>
        <v>0</v>
      </c>
      <c r="O178" s="473">
        <f>('D&amp;A Build (C)'!W32/1000)*1000</f>
        <v>0</v>
      </c>
      <c r="P178" s="473">
        <f>('D&amp;A Build (C)'!X32/1000)*1000</f>
        <v>0</v>
      </c>
      <c r="Q178" s="473">
        <f>('D&amp;A Build (C)'!Y32/1000)*1000</f>
        <v>0</v>
      </c>
      <c r="R178" s="473">
        <f>('D&amp;A Build (C)'!Z32/1000)*1000</f>
        <v>0</v>
      </c>
      <c r="S178" s="473">
        <f>('D&amp;A Build (C)'!AA32/1000)*1000</f>
        <v>0</v>
      </c>
      <c r="T178" s="473">
        <f>('D&amp;A Build (C)'!AB32/1000)*1000</f>
        <v>0</v>
      </c>
      <c r="U178" s="473">
        <f>('D&amp;A Build (C)'!AC32/1000)*1000</f>
        <v>0</v>
      </c>
      <c r="W178" s="175"/>
      <c r="X178" s="175"/>
    </row>
    <row r="179" spans="2:24" s="18" customFormat="1" ht="11.25" customHeight="1">
      <c r="B179" s="444" t="s">
        <v>5</v>
      </c>
      <c r="C179" s="277"/>
      <c r="D179" s="473">
        <f>('D&amp;A Build (C)'!L33/1000)*1000</f>
        <v>0</v>
      </c>
      <c r="E179" s="473">
        <f>('D&amp;A Build (C)'!M33/1000)*1000</f>
        <v>0</v>
      </c>
      <c r="F179" s="473">
        <f>('D&amp;A Build (C)'!N33/1000)*1000</f>
        <v>0</v>
      </c>
      <c r="G179" s="473">
        <f>('D&amp;A Build (C)'!O33/1000)*1000</f>
        <v>0</v>
      </c>
      <c r="H179" s="473">
        <f>('D&amp;A Build (C)'!P33/1000)*1000</f>
        <v>34.909752293577917</v>
      </c>
      <c r="I179" s="473">
        <f>('D&amp;A Build (C)'!Q33/1000)*1000</f>
        <v>69.819504587155834</v>
      </c>
      <c r="J179" s="473">
        <f>('D&amp;A Build (C)'!R33/1000)*1000</f>
        <v>69.819504587155834</v>
      </c>
      <c r="K179" s="473">
        <f>('D&amp;A Build (C)'!S33/1000)*1000</f>
        <v>69.819504587155834</v>
      </c>
      <c r="L179" s="473">
        <f>('D&amp;A Build (C)'!T33/1000)*1000</f>
        <v>69.819504587155834</v>
      </c>
      <c r="M179" s="473">
        <f>('D&amp;A Build (C)'!U33/1000)*1000</f>
        <v>66.328529357798061</v>
      </c>
      <c r="N179" s="473">
        <f>('D&amp;A Build (C)'!V33/1000)*1000</f>
        <v>0</v>
      </c>
      <c r="O179" s="473">
        <f>('D&amp;A Build (C)'!W33/1000)*1000</f>
        <v>0</v>
      </c>
      <c r="P179" s="473">
        <f>('D&amp;A Build (C)'!X33/1000)*1000</f>
        <v>0</v>
      </c>
      <c r="Q179" s="473">
        <f>('D&amp;A Build (C)'!Y33/1000)*1000</f>
        <v>0</v>
      </c>
      <c r="R179" s="473">
        <f>('D&amp;A Build (C)'!Z33/1000)*1000</f>
        <v>0</v>
      </c>
      <c r="S179" s="473">
        <f>('D&amp;A Build (C)'!AA33/1000)*1000</f>
        <v>0</v>
      </c>
      <c r="T179" s="473">
        <f>('D&amp;A Build (C)'!AB33/1000)*1000</f>
        <v>0</v>
      </c>
      <c r="U179" s="473">
        <f>('D&amp;A Build (C)'!AC33/1000)*1000</f>
        <v>0</v>
      </c>
      <c r="W179" s="175"/>
      <c r="X179" s="175"/>
    </row>
    <row r="180" spans="2:24" s="18" customFormat="1" ht="11.25" customHeight="1">
      <c r="B180" s="444" t="s">
        <v>68</v>
      </c>
      <c r="C180" s="277"/>
      <c r="D180" s="473">
        <f>('D&amp;A Build (C)'!L34/1000)*1000</f>
        <v>0</v>
      </c>
      <c r="E180" s="473">
        <f>('D&amp;A Build (C)'!M34/1000)*1000</f>
        <v>0</v>
      </c>
      <c r="F180" s="473">
        <f>('D&amp;A Build (C)'!N34/1000)*1000</f>
        <v>0</v>
      </c>
      <c r="G180" s="473">
        <f>('D&amp;A Build (C)'!O34/1000)*1000</f>
        <v>0</v>
      </c>
      <c r="H180" s="473">
        <f>('D&amp;A Build (C)'!P34/1000)*1000</f>
        <v>0</v>
      </c>
      <c r="I180" s="473">
        <f>('D&amp;A Build (C)'!Q34/1000)*1000</f>
        <v>117.85469724770637</v>
      </c>
      <c r="J180" s="473">
        <f>('D&amp;A Build (C)'!R34/1000)*1000</f>
        <v>235.70939449541274</v>
      </c>
      <c r="K180" s="473">
        <f>('D&amp;A Build (C)'!S34/1000)*1000</f>
        <v>235.70939449541274</v>
      </c>
      <c r="L180" s="473">
        <f>('D&amp;A Build (C)'!T34/1000)*1000</f>
        <v>235.70939449541274</v>
      </c>
      <c r="M180" s="473">
        <f>('D&amp;A Build (C)'!U34/1000)*1000</f>
        <v>235.70939449541274</v>
      </c>
      <c r="N180" s="473">
        <f>('D&amp;A Build (C)'!V34/1000)*1000</f>
        <v>223.92392477064209</v>
      </c>
      <c r="O180" s="473">
        <f>('D&amp;A Build (C)'!W34/1000)*1000</f>
        <v>0</v>
      </c>
      <c r="P180" s="473">
        <f>('D&amp;A Build (C)'!X34/1000)*1000</f>
        <v>0</v>
      </c>
      <c r="Q180" s="473">
        <f>('D&amp;A Build (C)'!Y34/1000)*1000</f>
        <v>0</v>
      </c>
      <c r="R180" s="473">
        <f>('D&amp;A Build (C)'!Z34/1000)*1000</f>
        <v>0</v>
      </c>
      <c r="S180" s="473">
        <f>('D&amp;A Build (C)'!AA34/1000)*1000</f>
        <v>0</v>
      </c>
      <c r="T180" s="473">
        <f>('D&amp;A Build (C)'!AB34/1000)*1000</f>
        <v>0</v>
      </c>
      <c r="U180" s="473">
        <f>('D&amp;A Build (C)'!AC34/1000)*1000</f>
        <v>0</v>
      </c>
      <c r="W180" s="175"/>
      <c r="X180" s="175"/>
    </row>
    <row r="181" spans="2:24" s="18" customFormat="1" ht="11.25" customHeight="1">
      <c r="B181" s="444" t="s">
        <v>6</v>
      </c>
      <c r="C181" s="277"/>
      <c r="D181" s="473">
        <f>('D&amp;A Build (C)'!L35/1000)*1000</f>
        <v>0</v>
      </c>
      <c r="E181" s="473">
        <f>('D&amp;A Build (C)'!M35/1000)*1000</f>
        <v>0</v>
      </c>
      <c r="F181" s="473">
        <f>('D&amp;A Build (C)'!N35/1000)*1000</f>
        <v>0</v>
      </c>
      <c r="G181" s="473">
        <f>('D&amp;A Build (C)'!O35/1000)*1000</f>
        <v>0</v>
      </c>
      <c r="H181" s="473">
        <f>('D&amp;A Build (C)'!P35/1000)*1000</f>
        <v>0</v>
      </c>
      <c r="I181" s="473">
        <f>('D&amp;A Build (C)'!Q35/1000)*1000</f>
        <v>0</v>
      </c>
      <c r="J181" s="473">
        <f ca="1">('D&amp;A Build (C)'!R35/1000)*1000</f>
        <v>81.75832445715065</v>
      </c>
      <c r="K181" s="473">
        <f ca="1">('D&amp;A Build (C)'!S35/1000)*1000</f>
        <v>163.5166489143013</v>
      </c>
      <c r="L181" s="473">
        <f ca="1">('D&amp;A Build (C)'!T35/1000)*1000</f>
        <v>163.5166489143013</v>
      </c>
      <c r="M181" s="473">
        <f ca="1">('D&amp;A Build (C)'!U35/1000)*1000</f>
        <v>163.5166489143013</v>
      </c>
      <c r="N181" s="473">
        <f ca="1">('D&amp;A Build (C)'!V35/1000)*1000</f>
        <v>163.5166489143013</v>
      </c>
      <c r="O181" s="473">
        <f ca="1">('D&amp;A Build (C)'!W35/1000)*1000</f>
        <v>155.34081646858624</v>
      </c>
      <c r="P181" s="473">
        <f ca="1">('D&amp;A Build (C)'!X35/1000)*1000</f>
        <v>0</v>
      </c>
      <c r="Q181" s="473">
        <f ca="1">('D&amp;A Build (C)'!Y35/1000)*1000</f>
        <v>0</v>
      </c>
      <c r="R181" s="473">
        <f ca="1">('D&amp;A Build (C)'!Z35/1000)*1000</f>
        <v>0</v>
      </c>
      <c r="S181" s="473">
        <f ca="1">('D&amp;A Build (C)'!AA35/1000)*1000</f>
        <v>0</v>
      </c>
      <c r="T181" s="473">
        <f ca="1">('D&amp;A Build (C)'!AB35/1000)*1000</f>
        <v>0</v>
      </c>
      <c r="U181" s="473">
        <f ca="1">('D&amp;A Build (C)'!AC35/1000)*1000</f>
        <v>0</v>
      </c>
      <c r="W181" s="175"/>
      <c r="X181" s="175"/>
    </row>
    <row r="182" spans="2:24" s="18" customFormat="1" ht="11.25" customHeight="1">
      <c r="B182" s="444" t="s">
        <v>22</v>
      </c>
      <c r="C182" s="277"/>
      <c r="D182" s="473">
        <f>('D&amp;A Build (C)'!L36/1000)*1000</f>
        <v>0</v>
      </c>
      <c r="E182" s="473">
        <f>('D&amp;A Build (C)'!M36/1000)*1000</f>
        <v>0</v>
      </c>
      <c r="F182" s="473">
        <f>('D&amp;A Build (C)'!N36/1000)*1000</f>
        <v>0</v>
      </c>
      <c r="G182" s="473">
        <f>('D&amp;A Build (C)'!O36/1000)*1000</f>
        <v>0</v>
      </c>
      <c r="H182" s="473">
        <f>('D&amp;A Build (C)'!P36/1000)*1000</f>
        <v>0</v>
      </c>
      <c r="I182" s="473">
        <f>('D&amp;A Build (C)'!Q36/1000)*1000</f>
        <v>0</v>
      </c>
      <c r="J182" s="473">
        <f>('D&amp;A Build (C)'!R36/1000)*1000</f>
        <v>0</v>
      </c>
      <c r="K182" s="473">
        <f ca="1">('D&amp;A Build (C)'!S36/1000)*1000</f>
        <v>110.5179094313857</v>
      </c>
      <c r="L182" s="473">
        <f ca="1">('D&amp;A Build (C)'!T36/1000)*1000</f>
        <v>221.03581886277141</v>
      </c>
      <c r="M182" s="473">
        <f ca="1">('D&amp;A Build (C)'!U36/1000)*1000</f>
        <v>221.03581886277141</v>
      </c>
      <c r="N182" s="473">
        <f ca="1">('D&amp;A Build (C)'!V36/1000)*1000</f>
        <v>221.03581886277141</v>
      </c>
      <c r="O182" s="473">
        <f ca="1">('D&amp;A Build (C)'!W36/1000)*1000</f>
        <v>221.03581886277141</v>
      </c>
      <c r="P182" s="473">
        <f ca="1">('D&amp;A Build (C)'!X36/1000)*1000</f>
        <v>209.98402791963281</v>
      </c>
      <c r="Q182" s="473">
        <f ca="1">('D&amp;A Build (C)'!Y36/1000)*1000</f>
        <v>0</v>
      </c>
      <c r="R182" s="473">
        <f ca="1">('D&amp;A Build (C)'!Z36/1000)*1000</f>
        <v>0</v>
      </c>
      <c r="S182" s="473">
        <f ca="1">('D&amp;A Build (C)'!AA36/1000)*1000</f>
        <v>0</v>
      </c>
      <c r="T182" s="473">
        <f ca="1">('D&amp;A Build (C)'!AB36/1000)*1000</f>
        <v>0</v>
      </c>
      <c r="U182" s="473">
        <f ca="1">('D&amp;A Build (C)'!AC36/1000)*1000</f>
        <v>0</v>
      </c>
      <c r="W182" s="175"/>
      <c r="X182" s="175"/>
    </row>
    <row r="183" spans="2:24" s="18" customFormat="1" ht="11.25" customHeight="1">
      <c r="B183" s="444" t="s">
        <v>23</v>
      </c>
      <c r="C183" s="277"/>
      <c r="D183" s="473">
        <f>('D&amp;A Build (C)'!L37/1000)*1000</f>
        <v>0</v>
      </c>
      <c r="E183" s="473">
        <f>('D&amp;A Build (C)'!M37/1000)*1000</f>
        <v>0</v>
      </c>
      <c r="F183" s="473">
        <f>('D&amp;A Build (C)'!N37/1000)*1000</f>
        <v>0</v>
      </c>
      <c r="G183" s="473">
        <f>('D&amp;A Build (C)'!O37/1000)*1000</f>
        <v>0</v>
      </c>
      <c r="H183" s="473">
        <f>('D&amp;A Build (C)'!P37/1000)*1000</f>
        <v>0</v>
      </c>
      <c r="I183" s="473">
        <f>('D&amp;A Build (C)'!Q37/1000)*1000</f>
        <v>0</v>
      </c>
      <c r="J183" s="473">
        <f>('D&amp;A Build (C)'!R37/1000)*1000</f>
        <v>0</v>
      </c>
      <c r="K183" s="473">
        <f>('D&amp;A Build (C)'!S37/1000)*1000</f>
        <v>0</v>
      </c>
      <c r="L183" s="473">
        <f ca="1">('D&amp;A Build (C)'!T37/1000)*1000</f>
        <v>125.3971443698354</v>
      </c>
      <c r="M183" s="473">
        <f ca="1">('D&amp;A Build (C)'!U37/1000)*1000</f>
        <v>250.7942887396708</v>
      </c>
      <c r="N183" s="473">
        <f ca="1">('D&amp;A Build (C)'!V37/1000)*1000</f>
        <v>250.7942887396708</v>
      </c>
      <c r="O183" s="473">
        <f ca="1">('D&amp;A Build (C)'!W37/1000)*1000</f>
        <v>250.7942887396708</v>
      </c>
      <c r="P183" s="473">
        <f ca="1">('D&amp;A Build (C)'!X37/1000)*1000</f>
        <v>250.7942887396708</v>
      </c>
      <c r="Q183" s="473">
        <f ca="1">('D&amp;A Build (C)'!Y37/1000)*1000</f>
        <v>238.25457430268716</v>
      </c>
      <c r="R183" s="473">
        <f ca="1">('D&amp;A Build (C)'!Z37/1000)*1000</f>
        <v>0</v>
      </c>
      <c r="S183" s="473">
        <f ca="1">('D&amp;A Build (C)'!AA37/1000)*1000</f>
        <v>0</v>
      </c>
      <c r="T183" s="473">
        <f ca="1">('D&amp;A Build (C)'!AB37/1000)*1000</f>
        <v>0</v>
      </c>
      <c r="U183" s="473">
        <f ca="1">('D&amp;A Build (C)'!AC37/1000)*1000</f>
        <v>0</v>
      </c>
      <c r="W183" s="175"/>
      <c r="X183" s="175"/>
    </row>
    <row r="184" spans="2:24" s="18" customFormat="1" ht="11.25" customHeight="1">
      <c r="B184" s="444" t="s">
        <v>24</v>
      </c>
      <c r="C184" s="277"/>
      <c r="D184" s="473">
        <f>('D&amp;A Build (C)'!L38/1000)*1000</f>
        <v>0</v>
      </c>
      <c r="E184" s="473">
        <f>('D&amp;A Build (C)'!M38/1000)*1000</f>
        <v>0</v>
      </c>
      <c r="F184" s="473">
        <f>('D&amp;A Build (C)'!N38/1000)*1000</f>
        <v>0</v>
      </c>
      <c r="G184" s="473">
        <f>('D&amp;A Build (C)'!O38/1000)*1000</f>
        <v>0</v>
      </c>
      <c r="H184" s="473">
        <f>('D&amp;A Build (C)'!P38/1000)*1000</f>
        <v>0</v>
      </c>
      <c r="I184" s="473">
        <f>('D&amp;A Build (C)'!Q38/1000)*1000</f>
        <v>0</v>
      </c>
      <c r="J184" s="473">
        <f>('D&amp;A Build (C)'!R38/1000)*1000</f>
        <v>0</v>
      </c>
      <c r="K184" s="473">
        <f>('D&amp;A Build (C)'!S38/1000)*1000</f>
        <v>0</v>
      </c>
      <c r="L184" s="473">
        <f>('D&amp;A Build (C)'!T38/1000)*1000</f>
        <v>0</v>
      </c>
      <c r="M184" s="473">
        <f ca="1">('D&amp;A Build (C)'!U38/1000)*1000</f>
        <v>141.24092608227033</v>
      </c>
      <c r="N184" s="473">
        <f ca="1">('D&amp;A Build (C)'!V38/1000)*1000</f>
        <v>282.48185216454067</v>
      </c>
      <c r="O184" s="473">
        <f ca="1">('D&amp;A Build (C)'!W38/1000)*1000</f>
        <v>282.48185216454067</v>
      </c>
      <c r="P184" s="473">
        <f ca="1">('D&amp;A Build (C)'!X38/1000)*1000</f>
        <v>282.48185216454067</v>
      </c>
      <c r="Q184" s="473">
        <f ca="1">('D&amp;A Build (C)'!Y38/1000)*1000</f>
        <v>282.48185216454067</v>
      </c>
      <c r="R184" s="473">
        <f ca="1">('D&amp;A Build (C)'!Z38/1000)*1000</f>
        <v>268.35775955631379</v>
      </c>
      <c r="S184" s="473">
        <f ca="1">('D&amp;A Build (C)'!AA38/1000)*1000</f>
        <v>0</v>
      </c>
      <c r="T184" s="473">
        <f ca="1">('D&amp;A Build (C)'!AB38/1000)*1000</f>
        <v>0</v>
      </c>
      <c r="U184" s="473">
        <f ca="1">('D&amp;A Build (C)'!AC38/1000)*1000</f>
        <v>0</v>
      </c>
      <c r="W184" s="175"/>
      <c r="X184" s="175"/>
    </row>
    <row r="185" spans="2:24" s="18" customFormat="1" ht="11.25" customHeight="1">
      <c r="B185" s="444" t="s">
        <v>25</v>
      </c>
      <c r="C185" s="277"/>
      <c r="D185" s="473">
        <f>('D&amp;A Build (C)'!L39/1000)*1000</f>
        <v>0</v>
      </c>
      <c r="E185" s="473">
        <f>('D&amp;A Build (C)'!M39/1000)*1000</f>
        <v>0</v>
      </c>
      <c r="F185" s="473">
        <f>('D&amp;A Build (C)'!N39/1000)*1000</f>
        <v>0</v>
      </c>
      <c r="G185" s="473">
        <f>('D&amp;A Build (C)'!O39/1000)*1000</f>
        <v>0</v>
      </c>
      <c r="H185" s="473">
        <f>('D&amp;A Build (C)'!P39/1000)*1000</f>
        <v>0</v>
      </c>
      <c r="I185" s="473">
        <f>('D&amp;A Build (C)'!Q39/1000)*1000</f>
        <v>0</v>
      </c>
      <c r="J185" s="473">
        <f>('D&amp;A Build (C)'!R39/1000)*1000</f>
        <v>0</v>
      </c>
      <c r="K185" s="473">
        <f>('D&amp;A Build (C)'!S39/1000)*1000</f>
        <v>0</v>
      </c>
      <c r="L185" s="473">
        <f>('D&amp;A Build (C)'!T39/1000)*1000</f>
        <v>0</v>
      </c>
      <c r="M185" s="473">
        <f>('D&amp;A Build (C)'!U39/1000)*1000</f>
        <v>0</v>
      </c>
      <c r="N185" s="473">
        <f ca="1">('D&amp;A Build (C)'!V39/1000)*1000</f>
        <v>155.89644907332504</v>
      </c>
      <c r="O185" s="473">
        <f ca="1">('D&amp;A Build (C)'!W39/1000)*1000</f>
        <v>311.79289814665009</v>
      </c>
      <c r="P185" s="473">
        <f ca="1">('D&amp;A Build (C)'!X39/1000)*1000</f>
        <v>311.79289814665009</v>
      </c>
      <c r="Q185" s="473">
        <f ca="1">('D&amp;A Build (C)'!Y39/1000)*1000</f>
        <v>311.79289814665009</v>
      </c>
      <c r="R185" s="473">
        <f ca="1">('D&amp;A Build (C)'!Z39/1000)*1000</f>
        <v>311.79289814665009</v>
      </c>
      <c r="S185" s="473">
        <f ca="1">('D&amp;A Build (C)'!AA39/1000)*1000</f>
        <v>296.20325323931775</v>
      </c>
      <c r="T185" s="473">
        <f ca="1">('D&amp;A Build (C)'!AB39/1000)*1000</f>
        <v>0</v>
      </c>
      <c r="U185" s="473">
        <f ca="1">('D&amp;A Build (C)'!AC39/1000)*1000</f>
        <v>0</v>
      </c>
      <c r="W185" s="175"/>
      <c r="X185" s="175"/>
    </row>
    <row r="186" spans="2:24" s="18" customFormat="1" ht="11.25" customHeight="1">
      <c r="B186" s="444" t="s">
        <v>26</v>
      </c>
      <c r="C186" s="277"/>
      <c r="D186" s="473">
        <f>('D&amp;A Build (C)'!L40/1000)*1000</f>
        <v>0</v>
      </c>
      <c r="E186" s="473">
        <f>('D&amp;A Build (C)'!M40/1000)*1000</f>
        <v>0</v>
      </c>
      <c r="F186" s="473">
        <f>('D&amp;A Build (C)'!N40/1000)*1000</f>
        <v>0</v>
      </c>
      <c r="G186" s="473">
        <f>('D&amp;A Build (C)'!O40/1000)*1000</f>
        <v>0</v>
      </c>
      <c r="H186" s="473">
        <f>('D&amp;A Build (C)'!P40/1000)*1000</f>
        <v>0</v>
      </c>
      <c r="I186" s="473">
        <f>('D&amp;A Build (C)'!Q40/1000)*1000</f>
        <v>0</v>
      </c>
      <c r="J186" s="473">
        <f>('D&amp;A Build (C)'!R40/1000)*1000</f>
        <v>0</v>
      </c>
      <c r="K186" s="473">
        <f>('D&amp;A Build (C)'!S40/1000)*1000</f>
        <v>0</v>
      </c>
      <c r="L186" s="473">
        <f>('D&amp;A Build (C)'!T40/1000)*1000</f>
        <v>0</v>
      </c>
      <c r="M186" s="473">
        <f>('D&amp;A Build (C)'!U40/1000)*1000</f>
        <v>0</v>
      </c>
      <c r="N186" s="473">
        <f>('D&amp;A Build (C)'!V40/1000)*1000</f>
        <v>0</v>
      </c>
      <c r="O186" s="473">
        <f ca="1">('D&amp;A Build (C)'!W40/1000)*1000</f>
        <v>170.4225029707772</v>
      </c>
      <c r="P186" s="473">
        <f ca="1">('D&amp;A Build (C)'!X40/1000)*1000</f>
        <v>340.8450059415544</v>
      </c>
      <c r="Q186" s="473">
        <f ca="1">('D&amp;A Build (C)'!Y40/1000)*1000</f>
        <v>340.8450059415544</v>
      </c>
      <c r="R186" s="473">
        <f ca="1">('D&amp;A Build (C)'!Z40/1000)*1000</f>
        <v>340.8450059415544</v>
      </c>
      <c r="S186" s="473">
        <f ca="1">('D&amp;A Build (C)'!AA40/1000)*1000</f>
        <v>340.8450059415544</v>
      </c>
      <c r="T186" s="473">
        <f ca="1">('D&amp;A Build (C)'!AB40/1000)*1000</f>
        <v>323.80275564447675</v>
      </c>
      <c r="U186" s="473">
        <f ca="1">('D&amp;A Build (C)'!AC40/1000)*1000</f>
        <v>0</v>
      </c>
      <c r="W186" s="175"/>
      <c r="X186" s="175"/>
    </row>
    <row r="187" spans="2:24" s="18" customFormat="1" ht="11.25" customHeight="1">
      <c r="B187" s="444" t="s">
        <v>27</v>
      </c>
      <c r="C187" s="277"/>
      <c r="D187" s="473">
        <f>('D&amp;A Build (C)'!L41/1000)*1000</f>
        <v>0</v>
      </c>
      <c r="E187" s="473">
        <f>('D&amp;A Build (C)'!M41/1000)*1000</f>
        <v>0</v>
      </c>
      <c r="F187" s="473">
        <f>('D&amp;A Build (C)'!N41/1000)*1000</f>
        <v>0</v>
      </c>
      <c r="G187" s="473">
        <f>('D&amp;A Build (C)'!O41/1000)*1000</f>
        <v>0</v>
      </c>
      <c r="H187" s="473">
        <f>('D&amp;A Build (C)'!P41/1000)*1000</f>
        <v>0</v>
      </c>
      <c r="I187" s="473">
        <f>('D&amp;A Build (C)'!Q41/1000)*1000</f>
        <v>0</v>
      </c>
      <c r="J187" s="473">
        <f>('D&amp;A Build (C)'!R41/1000)*1000</f>
        <v>0</v>
      </c>
      <c r="K187" s="473">
        <f>('D&amp;A Build (C)'!S41/1000)*1000</f>
        <v>0</v>
      </c>
      <c r="L187" s="473">
        <f>('D&amp;A Build (C)'!T41/1000)*1000</f>
        <v>0</v>
      </c>
      <c r="M187" s="473">
        <f>('D&amp;A Build (C)'!U41/1000)*1000</f>
        <v>0</v>
      </c>
      <c r="N187" s="473">
        <f>('D&amp;A Build (C)'!V41/1000)*1000</f>
        <v>0</v>
      </c>
      <c r="O187" s="473">
        <f>('D&amp;A Build (C)'!W41/1000)*1000</f>
        <v>0</v>
      </c>
      <c r="P187" s="473">
        <f ca="1">('D&amp;A Build (C)'!X41/1000)*1000</f>
        <v>185.23259745675261</v>
      </c>
      <c r="Q187" s="473">
        <f ca="1">('D&amp;A Build (C)'!Y41/1000)*1000</f>
        <v>370.46519491350523</v>
      </c>
      <c r="R187" s="473">
        <f ca="1">('D&amp;A Build (C)'!Z41/1000)*1000</f>
        <v>370.46519491350523</v>
      </c>
      <c r="S187" s="473">
        <f ca="1">('D&amp;A Build (C)'!AA41/1000)*1000</f>
        <v>370.46519491350523</v>
      </c>
      <c r="T187" s="473">
        <f ca="1">('D&amp;A Build (C)'!AB41/1000)*1000</f>
        <v>370.46519491350523</v>
      </c>
      <c r="U187" s="473">
        <f ca="1">('D&amp;A Build (C)'!AC41/1000)*1000</f>
        <v>351.94193516783002</v>
      </c>
      <c r="W187" s="175"/>
      <c r="X187" s="175"/>
    </row>
    <row r="188" spans="2:24" s="18" customFormat="1" ht="11.25" customHeight="1">
      <c r="B188" s="444" t="s">
        <v>38</v>
      </c>
      <c r="C188" s="277"/>
      <c r="D188" s="473">
        <f>('D&amp;A Build (C)'!L42/1000)*1000</f>
        <v>0</v>
      </c>
      <c r="E188" s="473">
        <f>('D&amp;A Build (C)'!M42/1000)*1000</f>
        <v>0</v>
      </c>
      <c r="F188" s="473">
        <f>('D&amp;A Build (C)'!N42/1000)*1000</f>
        <v>0</v>
      </c>
      <c r="G188" s="473">
        <f>('D&amp;A Build (C)'!O42/1000)*1000</f>
        <v>0</v>
      </c>
      <c r="H188" s="473">
        <f>('D&amp;A Build (C)'!P42/1000)*1000</f>
        <v>0</v>
      </c>
      <c r="I188" s="473">
        <f>('D&amp;A Build (C)'!Q42/1000)*1000</f>
        <v>0</v>
      </c>
      <c r="J188" s="473">
        <f>('D&amp;A Build (C)'!R42/1000)*1000</f>
        <v>0</v>
      </c>
      <c r="K188" s="473">
        <f>('D&amp;A Build (C)'!S42/1000)*1000</f>
        <v>0</v>
      </c>
      <c r="L188" s="473">
        <f>('D&amp;A Build (C)'!T42/1000)*1000</f>
        <v>0</v>
      </c>
      <c r="M188" s="473">
        <f>('D&amp;A Build (C)'!U42/1000)*1000</f>
        <v>0</v>
      </c>
      <c r="N188" s="473">
        <f>('D&amp;A Build (C)'!V42/1000)*1000</f>
        <v>0</v>
      </c>
      <c r="O188" s="473">
        <f>('D&amp;A Build (C)'!W42/1000)*1000</f>
        <v>0</v>
      </c>
      <c r="P188" s="473">
        <f>('D&amp;A Build (C)'!X42/1000)*1000</f>
        <v>0</v>
      </c>
      <c r="Q188" s="473">
        <f ca="1">('D&amp;A Build (C)'!Y42/1000)*1000</f>
        <v>199.37314664562015</v>
      </c>
      <c r="R188" s="473">
        <f ca="1">('D&amp;A Build (C)'!Z42/1000)*1000</f>
        <v>398.74629329124031</v>
      </c>
      <c r="S188" s="473">
        <f ca="1">('D&amp;A Build (C)'!AA42/1000)*1000</f>
        <v>398.74629329124031</v>
      </c>
      <c r="T188" s="473">
        <f ca="1">('D&amp;A Build (C)'!AB42/1000)*1000</f>
        <v>398.74629329124031</v>
      </c>
      <c r="U188" s="473">
        <f ca="1">('D&amp;A Build (C)'!AC42/1000)*1000</f>
        <v>398.74629329124031</v>
      </c>
      <c r="W188" s="175"/>
      <c r="X188" s="175"/>
    </row>
    <row r="189" spans="2:24" s="18" customFormat="1" ht="11.25" customHeight="1">
      <c r="B189" s="444" t="s">
        <v>39</v>
      </c>
      <c r="C189" s="277"/>
      <c r="D189" s="473">
        <f>('D&amp;A Build (C)'!L43/1000)*1000</f>
        <v>0</v>
      </c>
      <c r="E189" s="473">
        <f>('D&amp;A Build (C)'!M43/1000)*1000</f>
        <v>0</v>
      </c>
      <c r="F189" s="473">
        <f>('D&amp;A Build (C)'!N43/1000)*1000</f>
        <v>0</v>
      </c>
      <c r="G189" s="473">
        <f>('D&amp;A Build (C)'!O43/1000)*1000</f>
        <v>0</v>
      </c>
      <c r="H189" s="473">
        <f>('D&amp;A Build (C)'!P43/1000)*1000</f>
        <v>0</v>
      </c>
      <c r="I189" s="473">
        <f>('D&amp;A Build (C)'!Q43/1000)*1000</f>
        <v>0</v>
      </c>
      <c r="J189" s="473">
        <f>('D&amp;A Build (C)'!R43/1000)*1000</f>
        <v>0</v>
      </c>
      <c r="K189" s="473">
        <f>('D&amp;A Build (C)'!S43/1000)*1000</f>
        <v>0</v>
      </c>
      <c r="L189" s="473">
        <f>('D&amp;A Build (C)'!T43/1000)*1000</f>
        <v>0</v>
      </c>
      <c r="M189" s="473">
        <f>('D&amp;A Build (C)'!U43/1000)*1000</f>
        <v>0</v>
      </c>
      <c r="N189" s="473">
        <f>('D&amp;A Build (C)'!V43/1000)*1000</f>
        <v>0</v>
      </c>
      <c r="O189" s="473">
        <f>('D&amp;A Build (C)'!W43/1000)*1000</f>
        <v>0</v>
      </c>
      <c r="P189" s="473">
        <f>('D&amp;A Build (C)'!X43/1000)*1000</f>
        <v>0</v>
      </c>
      <c r="Q189" s="473">
        <f>('D&amp;A Build (C)'!Y43/1000)*1000</f>
        <v>0</v>
      </c>
      <c r="R189" s="473">
        <f ca="1">('D&amp;A Build (C)'!Z43/1000)*1000</f>
        <v>213.04750771538184</v>
      </c>
      <c r="S189" s="473">
        <f ca="1">('D&amp;A Build (C)'!AA43/1000)*1000</f>
        <v>426.09501543076368</v>
      </c>
      <c r="T189" s="473">
        <f ca="1">('D&amp;A Build (C)'!AB43/1000)*1000</f>
        <v>426.09501543076368</v>
      </c>
      <c r="U189" s="473">
        <f ca="1">('D&amp;A Build (C)'!AC43/1000)*1000</f>
        <v>426.09501543076368</v>
      </c>
      <c r="W189" s="175"/>
      <c r="X189" s="175"/>
    </row>
    <row r="190" spans="2:24" s="18" customFormat="1" ht="11.25" customHeight="1">
      <c r="B190" s="444" t="s">
        <v>40</v>
      </c>
      <c r="C190" s="277"/>
      <c r="D190" s="473">
        <f>('D&amp;A Build (C)'!L44/1000)*1000</f>
        <v>0</v>
      </c>
      <c r="E190" s="473">
        <f>('D&amp;A Build (C)'!M44/1000)*1000</f>
        <v>0</v>
      </c>
      <c r="F190" s="473">
        <f>('D&amp;A Build (C)'!N44/1000)*1000</f>
        <v>0</v>
      </c>
      <c r="G190" s="473">
        <f>('D&amp;A Build (C)'!O44/1000)*1000</f>
        <v>0</v>
      </c>
      <c r="H190" s="473">
        <f>('D&amp;A Build (C)'!P44/1000)*1000</f>
        <v>0</v>
      </c>
      <c r="I190" s="473">
        <f>('D&amp;A Build (C)'!Q44/1000)*1000</f>
        <v>0</v>
      </c>
      <c r="J190" s="473">
        <f>('D&amp;A Build (C)'!R44/1000)*1000</f>
        <v>0</v>
      </c>
      <c r="K190" s="473">
        <f>('D&amp;A Build (C)'!S44/1000)*1000</f>
        <v>0</v>
      </c>
      <c r="L190" s="473">
        <f>('D&amp;A Build (C)'!T44/1000)*1000</f>
        <v>0</v>
      </c>
      <c r="M190" s="473">
        <f>('D&amp;A Build (C)'!U44/1000)*1000</f>
        <v>0</v>
      </c>
      <c r="N190" s="473">
        <f>('D&amp;A Build (C)'!V44/1000)*1000</f>
        <v>0</v>
      </c>
      <c r="O190" s="473">
        <f>('D&amp;A Build (C)'!W44/1000)*1000</f>
        <v>0</v>
      </c>
      <c r="P190" s="473">
        <f>('D&amp;A Build (C)'!X44/1000)*1000</f>
        <v>0</v>
      </c>
      <c r="Q190" s="473">
        <f>('D&amp;A Build (C)'!Y44/1000)*1000</f>
        <v>0</v>
      </c>
      <c r="R190" s="473">
        <f>('D&amp;A Build (C)'!Z44/1000)*1000</f>
        <v>0</v>
      </c>
      <c r="S190" s="473">
        <f ca="1">('D&amp;A Build (C)'!AA44/1000)*1000</f>
        <v>226.20515993137093</v>
      </c>
      <c r="T190" s="473">
        <f ca="1">('D&amp;A Build (C)'!AB44/1000)*1000</f>
        <v>452.41031986274186</v>
      </c>
      <c r="U190" s="473">
        <f ca="1">('D&amp;A Build (C)'!AC44/1000)*1000</f>
        <v>452.41031986274186</v>
      </c>
      <c r="W190" s="175"/>
      <c r="X190" s="175"/>
    </row>
    <row r="191" spans="2:24" s="18" customFormat="1" ht="11.25" customHeight="1">
      <c r="B191" s="444" t="s">
        <v>41</v>
      </c>
      <c r="C191" s="277"/>
      <c r="D191" s="473">
        <f>('D&amp;A Build (C)'!L45/1000)*1000</f>
        <v>0</v>
      </c>
      <c r="E191" s="473">
        <f>('D&amp;A Build (C)'!M45/1000)*1000</f>
        <v>0</v>
      </c>
      <c r="F191" s="473">
        <f>('D&amp;A Build (C)'!N45/1000)*1000</f>
        <v>0</v>
      </c>
      <c r="G191" s="473">
        <f>('D&amp;A Build (C)'!O45/1000)*1000</f>
        <v>0</v>
      </c>
      <c r="H191" s="473">
        <f>('D&amp;A Build (C)'!P45/1000)*1000</f>
        <v>0</v>
      </c>
      <c r="I191" s="473">
        <f>('D&amp;A Build (C)'!Q45/1000)*1000</f>
        <v>0</v>
      </c>
      <c r="J191" s="473">
        <f>('D&amp;A Build (C)'!R45/1000)*1000</f>
        <v>0</v>
      </c>
      <c r="K191" s="473">
        <f>('D&amp;A Build (C)'!S45/1000)*1000</f>
        <v>0</v>
      </c>
      <c r="L191" s="473">
        <f>('D&amp;A Build (C)'!T45/1000)*1000</f>
        <v>0</v>
      </c>
      <c r="M191" s="473">
        <f>('D&amp;A Build (C)'!U45/1000)*1000</f>
        <v>0</v>
      </c>
      <c r="N191" s="473">
        <f>('D&amp;A Build (C)'!V45/1000)*1000</f>
        <v>0</v>
      </c>
      <c r="O191" s="473">
        <f>('D&amp;A Build (C)'!W45/1000)*1000</f>
        <v>0</v>
      </c>
      <c r="P191" s="473">
        <f>('D&amp;A Build (C)'!X45/1000)*1000</f>
        <v>0</v>
      </c>
      <c r="Q191" s="473">
        <f>('D&amp;A Build (C)'!Y45/1000)*1000</f>
        <v>0</v>
      </c>
      <c r="R191" s="473">
        <f>('D&amp;A Build (C)'!Z45/1000)*1000</f>
        <v>0</v>
      </c>
      <c r="S191" s="473">
        <f>('D&amp;A Build (C)'!AA45/1000)*1000</f>
        <v>0</v>
      </c>
      <c r="T191" s="473">
        <f ca="1">('D&amp;A Build (C)'!AB45/1000)*1000</f>
        <v>238.7983866911058</v>
      </c>
      <c r="U191" s="473">
        <f ca="1">('D&amp;A Build (C)'!AC45/1000)*1000</f>
        <v>477.59677338221161</v>
      </c>
      <c r="W191" s="175"/>
      <c r="X191" s="175"/>
    </row>
    <row r="192" spans="2:24" s="18" customFormat="1" ht="13.5" customHeight="1">
      <c r="B192" s="444" t="s">
        <v>112</v>
      </c>
      <c r="C192" s="277"/>
      <c r="D192" s="472">
        <f>('D&amp;A Build (C)'!L46/1000)*1000</f>
        <v>0</v>
      </c>
      <c r="E192" s="472">
        <f>('D&amp;A Build (C)'!M46/1000)*1000</f>
        <v>0</v>
      </c>
      <c r="F192" s="472">
        <f>('D&amp;A Build (C)'!N46/1000)*1000</f>
        <v>0</v>
      </c>
      <c r="G192" s="472">
        <f>('D&amp;A Build (C)'!O46/1000)*1000</f>
        <v>0</v>
      </c>
      <c r="H192" s="472">
        <f>('D&amp;A Build (C)'!P46/1000)*1000</f>
        <v>0</v>
      </c>
      <c r="I192" s="472">
        <f>('D&amp;A Build (C)'!Q46/1000)*1000</f>
        <v>0</v>
      </c>
      <c r="J192" s="472">
        <f>('D&amp;A Build (C)'!R46/1000)*1000</f>
        <v>0</v>
      </c>
      <c r="K192" s="472">
        <f>('D&amp;A Build (C)'!S46/1000)*1000</f>
        <v>0</v>
      </c>
      <c r="L192" s="472">
        <f>('D&amp;A Build (C)'!T46/1000)*1000</f>
        <v>0</v>
      </c>
      <c r="M192" s="472">
        <f>('D&amp;A Build (C)'!U46/1000)*1000</f>
        <v>0</v>
      </c>
      <c r="N192" s="472">
        <f>('D&amp;A Build (C)'!V46/1000)*1000</f>
        <v>0</v>
      </c>
      <c r="O192" s="472">
        <f>('D&amp;A Build (C)'!W46/1000)*1000</f>
        <v>0</v>
      </c>
      <c r="P192" s="472">
        <f>('D&amp;A Build (C)'!X46/1000)*1000</f>
        <v>0</v>
      </c>
      <c r="Q192" s="472">
        <f>('D&amp;A Build (C)'!Y46/1000)*1000</f>
        <v>0</v>
      </c>
      <c r="R192" s="472">
        <f>('D&amp;A Build (C)'!Z46/1000)*1000</f>
        <v>0</v>
      </c>
      <c r="S192" s="472">
        <f>('D&amp;A Build (C)'!AA46/1000)*1000</f>
        <v>0</v>
      </c>
      <c r="T192" s="472">
        <f>('D&amp;A Build (C)'!AB46/1000)*1000</f>
        <v>0</v>
      </c>
      <c r="U192" s="472">
        <f ca="1">('D&amp;A Build (C)'!AC46/1000)*1000</f>
        <v>250.76458211805826</v>
      </c>
      <c r="W192" s="175"/>
      <c r="X192" s="175"/>
    </row>
    <row r="193" spans="2:24" s="18" customFormat="1" ht="11.25" customHeight="1">
      <c r="B193" s="455" t="s">
        <v>645</v>
      </c>
      <c r="C193" s="277"/>
      <c r="D193" s="456">
        <f>SUM(D175:D192)</f>
        <v>26.291587155963356</v>
      </c>
      <c r="E193" s="456">
        <f t="shared" ref="E193:U193" si="102">SUM(E175:E192)</f>
        <v>69.413697247706509</v>
      </c>
      <c r="F193" s="456">
        <f t="shared" si="102"/>
        <v>161.38242201834862</v>
      </c>
      <c r="G193" s="456">
        <f t="shared" si="102"/>
        <v>276.81286238532113</v>
      </c>
      <c r="H193" s="456">
        <f t="shared" si="102"/>
        <v>352.01485321100927</v>
      </c>
      <c r="I193" s="456">
        <f t="shared" si="102"/>
        <v>502.15014403669721</v>
      </c>
      <c r="J193" s="456">
        <f t="shared" ca="1" si="102"/>
        <v>650.12609785164591</v>
      </c>
      <c r="K193" s="456">
        <f t="shared" ca="1" si="102"/>
        <v>802.91051797871432</v>
      </c>
      <c r="L193" s="456">
        <f t="shared" ca="1" si="102"/>
        <v>892.03376444048604</v>
      </c>
      <c r="M193" s="456">
        <f t="shared" ca="1" si="102"/>
        <v>1078.6256064522247</v>
      </c>
      <c r="N193" s="456">
        <f t="shared" ca="1" si="102"/>
        <v>1297.6489825252515</v>
      </c>
      <c r="O193" s="456">
        <f t="shared" ca="1" si="102"/>
        <v>1391.8681773529966</v>
      </c>
      <c r="P193" s="456">
        <f t="shared" ca="1" si="102"/>
        <v>1581.1306703688015</v>
      </c>
      <c r="Q193" s="456">
        <f t="shared" ca="1" si="102"/>
        <v>1743.2126721145576</v>
      </c>
      <c r="R193" s="456">
        <f t="shared" ca="1" si="102"/>
        <v>1903.2546595646459</v>
      </c>
      <c r="S193" s="456">
        <f t="shared" ca="1" si="102"/>
        <v>2058.5599227477524</v>
      </c>
      <c r="T193" s="456">
        <f t="shared" ca="1" si="102"/>
        <v>2210.3179658338336</v>
      </c>
      <c r="U193" s="456">
        <f t="shared" ca="1" si="102"/>
        <v>2357.5549192528456</v>
      </c>
      <c r="W193" s="175"/>
      <c r="X193" s="175"/>
    </row>
    <row r="194" spans="2:24" s="18" customFormat="1" ht="11.25" customHeight="1">
      <c r="B194" s="455"/>
      <c r="C194" s="277"/>
      <c r="E194" s="68"/>
      <c r="F194" s="68"/>
      <c r="G194" s="68"/>
      <c r="H194" s="68"/>
      <c r="I194" s="68"/>
      <c r="J194" s="68"/>
      <c r="K194" s="68"/>
      <c r="L194" s="68"/>
      <c r="M194" s="68"/>
      <c r="N194" s="68"/>
      <c r="O194" s="68"/>
      <c r="P194" s="68"/>
      <c r="Q194" s="68"/>
      <c r="R194" s="68"/>
      <c r="S194" s="68"/>
      <c r="T194" s="68"/>
      <c r="U194" s="68"/>
      <c r="W194" s="175"/>
      <c r="X194" s="175"/>
    </row>
    <row r="195" spans="2:24" s="18" customFormat="1" ht="11.25" customHeight="1">
      <c r="B195" s="458" t="s">
        <v>35</v>
      </c>
      <c r="C195" s="277"/>
      <c r="E195" s="68"/>
      <c r="F195" s="68"/>
      <c r="G195" s="68"/>
      <c r="H195" s="68"/>
      <c r="I195" s="68"/>
      <c r="J195" s="68"/>
      <c r="K195" s="68"/>
      <c r="L195" s="68"/>
      <c r="M195" s="68"/>
      <c r="N195" s="68"/>
      <c r="O195" s="68"/>
      <c r="P195" s="68"/>
      <c r="Q195" s="68"/>
      <c r="R195" s="68"/>
      <c r="S195" s="68"/>
      <c r="T195" s="68"/>
      <c r="U195" s="68"/>
      <c r="W195" s="175"/>
      <c r="X195" s="175"/>
    </row>
    <row r="196" spans="2:24" s="18" customFormat="1" ht="11.25" customHeight="1">
      <c r="B196" s="459" t="s">
        <v>646</v>
      </c>
      <c r="C196" s="277"/>
      <c r="D196" s="489">
        <f>('D&amp;A Build (C)'!L50/1000)*1000</f>
        <v>288.12490000000003</v>
      </c>
      <c r="E196" s="489">
        <f>('D&amp;A Build (C)'!M50/1000)*1000</f>
        <v>278.76490000000001</v>
      </c>
      <c r="F196" s="489">
        <f>('D&amp;A Build (C)'!N50/1000)*1000</f>
        <v>321.8211</v>
      </c>
      <c r="G196" s="489">
        <f>('D&amp;A Build (C)'!O50/1000)*1000</f>
        <v>411.48390000000001</v>
      </c>
      <c r="H196" s="489">
        <f>('D&amp;A Build (C)'!P50/1000)*1000</f>
        <v>425.41629999999998</v>
      </c>
      <c r="I196" s="489">
        <f>('D&amp;A Build (C)'!Q50/1000)*1000</f>
        <v>519.46619999999996</v>
      </c>
      <c r="J196" s="489"/>
      <c r="K196" s="489"/>
      <c r="L196" s="489"/>
      <c r="M196" s="489"/>
      <c r="N196" s="489"/>
      <c r="O196" s="489"/>
      <c r="P196" s="489"/>
      <c r="Q196" s="489"/>
      <c r="R196" s="489"/>
      <c r="S196" s="489"/>
      <c r="T196" s="489"/>
      <c r="U196" s="489"/>
      <c r="W196" s="175"/>
      <c r="X196" s="175"/>
    </row>
    <row r="197" spans="2:24" s="18" customFormat="1" ht="11.25" customHeight="1">
      <c r="B197" s="461" t="s">
        <v>647</v>
      </c>
      <c r="C197" s="277"/>
      <c r="D197" s="490">
        <f>'D&amp;A Build (C)'!L51/1000</f>
        <v>1.5176854184994592E-5</v>
      </c>
      <c r="E197" s="490">
        <f>'D&amp;A Build (C)'!M51/1000</f>
        <v>-5.2300352957865501E-5</v>
      </c>
      <c r="F197" s="490">
        <f>'D&amp;A Build (C)'!N51/1000</f>
        <v>1.439655973688958E-5</v>
      </c>
      <c r="G197" s="490">
        <f>'D&amp;A Build (C)'!O51/1000</f>
        <v>2.4542734958089562E-5</v>
      </c>
      <c r="H197" s="490">
        <f>'D&amp;A Build (C)'!P51/1000</f>
        <v>-4.1694282400633996E-5</v>
      </c>
      <c r="I197" s="490">
        <f>'D&amp;A Build (C)'!Q51/1000</f>
        <v>3.4483821560025829E-5</v>
      </c>
      <c r="J197" s="490"/>
      <c r="K197" s="490"/>
      <c r="L197" s="490"/>
      <c r="M197" s="490"/>
      <c r="N197" s="490"/>
      <c r="O197" s="490"/>
      <c r="P197" s="490"/>
      <c r="Q197" s="490"/>
      <c r="R197" s="490"/>
      <c r="S197" s="490"/>
      <c r="T197" s="490"/>
      <c r="U197" s="490"/>
      <c r="W197" s="175"/>
      <c r="X197" s="175"/>
    </row>
    <row r="198" spans="2:24" s="18" customFormat="1" ht="11.25" customHeight="1">
      <c r="B198" s="461" t="s">
        <v>648</v>
      </c>
      <c r="C198" s="277"/>
      <c r="D198" s="489">
        <f>('D&amp;A Build (C)'!L52/1000)*1000</f>
        <v>4.3074559633028002</v>
      </c>
      <c r="E198" s="489">
        <f>('D&amp;A Build (C)'!M52/1000)*1000</f>
        <v>-15.38409633027527</v>
      </c>
      <c r="F198" s="489">
        <f>('D&amp;A Build (C)'!N52/1000)*1000</f>
        <v>4.5673623853211893</v>
      </c>
      <c r="G198" s="489">
        <f>('D&amp;A Build (C)'!O52/1000)*1000</f>
        <v>9.8570220183486867</v>
      </c>
      <c r="H198" s="489">
        <f>('D&amp;A Build (C)'!P52/1000)*1000</f>
        <v>-18.509153211009277</v>
      </c>
      <c r="I198" s="489">
        <f>('D&amp;A Build (C)'!Q52/1000)*1000</f>
        <v>17.316055963302745</v>
      </c>
      <c r="J198" s="489"/>
      <c r="K198" s="489"/>
      <c r="L198" s="489"/>
      <c r="M198" s="489"/>
      <c r="N198" s="489"/>
      <c r="O198" s="489"/>
      <c r="P198" s="489"/>
      <c r="Q198" s="489"/>
      <c r="R198" s="489"/>
      <c r="S198" s="489"/>
      <c r="T198" s="489"/>
      <c r="U198" s="489"/>
      <c r="W198" s="175"/>
      <c r="X198" s="175"/>
    </row>
    <row r="199" spans="2:24" s="18" customFormat="1" ht="11.25" customHeight="1">
      <c r="B199" s="444"/>
      <c r="C199" s="277"/>
      <c r="E199" s="68"/>
      <c r="F199" s="68"/>
      <c r="G199" s="68"/>
      <c r="H199" s="68"/>
      <c r="I199" s="68"/>
      <c r="J199" s="68"/>
      <c r="K199" s="68"/>
      <c r="L199" s="68"/>
      <c r="M199" s="68"/>
      <c r="N199" s="68"/>
      <c r="O199" s="68"/>
      <c r="P199" s="68"/>
      <c r="Q199" s="68"/>
      <c r="R199" s="68"/>
      <c r="S199" s="68"/>
      <c r="T199" s="68"/>
      <c r="U199" s="68"/>
      <c r="W199" s="175"/>
      <c r="X199" s="175"/>
    </row>
    <row r="200" spans="2:24" s="18" customFormat="1" ht="11.25" customHeight="1">
      <c r="B200" s="449" t="s">
        <v>72</v>
      </c>
      <c r="C200" s="277"/>
      <c r="E200" s="68"/>
      <c r="F200" s="68"/>
      <c r="G200" s="68"/>
      <c r="H200" s="68"/>
      <c r="I200" s="68"/>
      <c r="J200" s="68"/>
      <c r="K200" s="68"/>
      <c r="L200" s="68"/>
      <c r="M200" s="68"/>
      <c r="N200" s="68"/>
      <c r="O200" s="68"/>
      <c r="P200" s="68"/>
      <c r="Q200" s="68"/>
      <c r="R200" s="68"/>
      <c r="S200" s="68"/>
      <c r="T200" s="68"/>
      <c r="U200" s="68"/>
      <c r="W200" s="175"/>
      <c r="X200" s="175"/>
    </row>
    <row r="201" spans="2:24" s="18" customFormat="1" ht="11.25" customHeight="1">
      <c r="B201" s="444" t="s">
        <v>645</v>
      </c>
      <c r="C201" s="277"/>
      <c r="D201" s="473">
        <f>('D&amp;A Build (C)'!L55/1000)*1000</f>
        <v>283.81744403669722</v>
      </c>
      <c r="E201" s="473">
        <f>('D&amp;A Build (C)'!M55/1000)*1000</f>
        <v>294.14899633027528</v>
      </c>
      <c r="F201" s="473">
        <f>('D&amp;A Build (C)'!N55/1000)*1000</f>
        <v>317.25373761467881</v>
      </c>
      <c r="G201" s="473">
        <f>('D&amp;A Build (C)'!O55/1000)*1000</f>
        <v>401.62687798165132</v>
      </c>
      <c r="H201" s="473">
        <f>('D&amp;A Build (C)'!P55/1000)*1000</f>
        <v>443.92545321100926</v>
      </c>
      <c r="I201" s="473">
        <f>('D&amp;A Build (C)'!Q55/1000)*1000</f>
        <v>502.15014403669721</v>
      </c>
      <c r="J201" s="473">
        <f ca="1">('D&amp;A Build (C)'!R55/1000)*1000</f>
        <v>650.12609785164591</v>
      </c>
      <c r="K201" s="473">
        <f ca="1">('D&amp;A Build (C)'!S55/1000)*1000</f>
        <v>802.91051797871432</v>
      </c>
      <c r="L201" s="473">
        <f ca="1">('D&amp;A Build (C)'!T55/1000)*1000</f>
        <v>892.03376444048604</v>
      </c>
      <c r="M201" s="473">
        <f ca="1">('D&amp;A Build (C)'!U55/1000)*1000</f>
        <v>1078.6256064522247</v>
      </c>
      <c r="N201" s="473">
        <f ca="1">('D&amp;A Build (C)'!V55/1000)*1000</f>
        <v>1297.6489825252515</v>
      </c>
      <c r="O201" s="473">
        <f ca="1">('D&amp;A Build (C)'!W55/1000)*1000</f>
        <v>1391.8681773529966</v>
      </c>
      <c r="P201" s="473">
        <f ca="1">('D&amp;A Build (C)'!X55/1000)*1000</f>
        <v>1581.1306703688015</v>
      </c>
      <c r="Q201" s="473">
        <f ca="1">('D&amp;A Build (C)'!Y55/1000)*1000</f>
        <v>1743.2126721145576</v>
      </c>
      <c r="R201" s="473">
        <f ca="1">('D&amp;A Build (C)'!Z55/1000)*1000</f>
        <v>1903.2546595646459</v>
      </c>
      <c r="S201" s="473">
        <f ca="1">('D&amp;A Build (C)'!AA55/1000)*1000</f>
        <v>2058.5599227477524</v>
      </c>
      <c r="T201" s="473">
        <f ca="1">('D&amp;A Build (C)'!AB55/1000)*1000</f>
        <v>2210.3179658338336</v>
      </c>
      <c r="U201" s="473">
        <f ca="1">('D&amp;A Build (C)'!AC55/1000)*1000</f>
        <v>2357.5549192528456</v>
      </c>
      <c r="W201" s="175"/>
      <c r="X201" s="175"/>
    </row>
    <row r="202" spans="2:24" s="18" customFormat="1" ht="13.5" customHeight="1">
      <c r="B202" s="444" t="s">
        <v>649</v>
      </c>
      <c r="C202" s="277"/>
      <c r="D202" s="472">
        <f>('D&amp;A Build (C)'!L56/1000)*1000</f>
        <v>4.4213999999999993</v>
      </c>
      <c r="E202" s="472">
        <f>('D&amp;A Build (C)'!M56/1000)*1000</f>
        <v>5.4723999999999995</v>
      </c>
      <c r="F202" s="472">
        <f>('D&amp;A Build (C)'!N56/1000)*1000</f>
        <v>7.1861999999999995</v>
      </c>
      <c r="G202" s="472">
        <f>('D&amp;A Build (C)'!O56/1000)*1000</f>
        <v>8.2072000000000003</v>
      </c>
      <c r="H202" s="472">
        <f>('D&amp;A Build (C)'!P56/1000)*1000</f>
        <v>8.7561</v>
      </c>
      <c r="I202" s="472">
        <f>('D&amp;A Build (C)'!Q56/1000)*1000</f>
        <v>9.2582000000000004</v>
      </c>
      <c r="J202" s="472">
        <f ca="1">('D&amp;A Build (C)'!R56/1000)*1000</f>
        <v>11.986449691609048</v>
      </c>
      <c r="K202" s="472">
        <f ca="1">('D&amp;A Build (C)'!S56/1000)*1000</f>
        <v>14.803353630039567</v>
      </c>
      <c r="L202" s="472">
        <f ca="1">('D&amp;A Build (C)'!T56/1000)*1000</f>
        <v>16.446529182593178</v>
      </c>
      <c r="M202" s="472">
        <f ca="1">('D&amp;A Build (C)'!U56/1000)*1000</f>
        <v>19.886744449337844</v>
      </c>
      <c r="N202" s="472">
        <f ca="1">('D&amp;A Build (C)'!V56/1000)*1000</f>
        <v>23.924903642240729</v>
      </c>
      <c r="O202" s="472">
        <f ca="1">('D&amp;A Build (C)'!W56/1000)*1000</f>
        <v>25.662033781330127</v>
      </c>
      <c r="P202" s="472">
        <f ca="1">('D&amp;A Build (C)'!X56/1000)*1000</f>
        <v>29.15148814801228</v>
      </c>
      <c r="Q202" s="472">
        <f ca="1">('D&amp;A Build (C)'!Y56/1000)*1000</f>
        <v>32.139812668841046</v>
      </c>
      <c r="R202" s="472">
        <f ca="1">('D&amp;A Build (C)'!Z56/1000)*1000</f>
        <v>35.090525211307479</v>
      </c>
      <c r="S202" s="472">
        <f ca="1">('D&amp;A Build (C)'!AA56/1000)*1000</f>
        <v>37.953906223295718</v>
      </c>
      <c r="T202" s="472">
        <f ca="1">('D&amp;A Build (C)'!AB56/1000)*1000</f>
        <v>40.751886730091869</v>
      </c>
      <c r="U202" s="472">
        <f ca="1">('D&amp;A Build (C)'!AC56/1000)*1000</f>
        <v>43.466511386346632</v>
      </c>
      <c r="W202" s="175"/>
      <c r="X202" s="175"/>
    </row>
    <row r="203" spans="2:24" s="18" customFormat="1" ht="11.25" customHeight="1">
      <c r="B203" s="455" t="s">
        <v>650</v>
      </c>
      <c r="C203" s="277"/>
      <c r="D203" s="456">
        <f>SUM(D201:D202)</f>
        <v>288.23884403669723</v>
      </c>
      <c r="E203" s="456">
        <f t="shared" ref="E203:U203" si="103">SUM(E201:E202)</f>
        <v>299.62139633027527</v>
      </c>
      <c r="F203" s="456">
        <f t="shared" si="103"/>
        <v>324.4399376146788</v>
      </c>
      <c r="G203" s="456">
        <f t="shared" si="103"/>
        <v>409.83407798165132</v>
      </c>
      <c r="H203" s="456">
        <f t="shared" si="103"/>
        <v>452.68155321100926</v>
      </c>
      <c r="I203" s="456">
        <f t="shared" si="103"/>
        <v>511.4083440366972</v>
      </c>
      <c r="J203" s="456">
        <f t="shared" ca="1" si="103"/>
        <v>662.112547543255</v>
      </c>
      <c r="K203" s="456">
        <f t="shared" ca="1" si="103"/>
        <v>817.71387160875383</v>
      </c>
      <c r="L203" s="456">
        <f t="shared" ca="1" si="103"/>
        <v>908.48029362307921</v>
      </c>
      <c r="M203" s="456">
        <f t="shared" ca="1" si="103"/>
        <v>1098.5123509015625</v>
      </c>
      <c r="N203" s="456">
        <f t="shared" ca="1" si="103"/>
        <v>1321.5738861674922</v>
      </c>
      <c r="O203" s="456">
        <f t="shared" ca="1" si="103"/>
        <v>1417.5302111343267</v>
      </c>
      <c r="P203" s="456">
        <f t="shared" ca="1" si="103"/>
        <v>1610.2821585168138</v>
      </c>
      <c r="Q203" s="456">
        <f t="shared" ca="1" si="103"/>
        <v>1775.3524847833987</v>
      </c>
      <c r="R203" s="456">
        <f t="shared" ca="1" si="103"/>
        <v>1938.3451847759534</v>
      </c>
      <c r="S203" s="456">
        <f t="shared" ca="1" si="103"/>
        <v>2096.513828971048</v>
      </c>
      <c r="T203" s="456">
        <f t="shared" ca="1" si="103"/>
        <v>2251.0698525639255</v>
      </c>
      <c r="U203" s="456">
        <f t="shared" ca="1" si="103"/>
        <v>2401.0214306391922</v>
      </c>
      <c r="W203" s="175"/>
      <c r="X203" s="175"/>
    </row>
    <row r="204" spans="2:24" s="18" customFormat="1" ht="11.25" customHeight="1">
      <c r="B204" s="224"/>
      <c r="C204" s="277"/>
      <c r="E204" s="286"/>
      <c r="F204" s="276"/>
      <c r="G204" s="54"/>
      <c r="H204" s="54"/>
      <c r="J204" s="174"/>
      <c r="K204" s="174"/>
      <c r="L204" s="174"/>
      <c r="M204" s="174"/>
      <c r="N204" s="174"/>
      <c r="O204" s="106"/>
      <c r="P204" s="106"/>
      <c r="Q204" s="106"/>
      <c r="R204" s="106"/>
      <c r="S204" s="106"/>
      <c r="T204" s="106"/>
      <c r="U204" s="106"/>
      <c r="W204" s="175"/>
      <c r="X204" s="175"/>
    </row>
    <row r="205" spans="2:24" ht="11.25" customHeight="1">
      <c r="B205" s="41"/>
      <c r="D205" s="47"/>
      <c r="E205" s="211"/>
      <c r="F205" s="211"/>
      <c r="G205" s="211"/>
      <c r="H205" s="211"/>
      <c r="I205" s="211"/>
      <c r="J205" s="211"/>
      <c r="K205" s="211"/>
      <c r="L205" s="211"/>
      <c r="M205" s="211"/>
      <c r="N205" s="211"/>
      <c r="O205" s="211"/>
      <c r="P205" s="211"/>
      <c r="Q205" s="211"/>
      <c r="R205" s="211"/>
      <c r="S205" s="211"/>
      <c r="T205" s="211"/>
      <c r="U205" s="211"/>
    </row>
    <row r="206" spans="2:24" ht="11.25" customHeight="1">
      <c r="B206" s="65" t="s">
        <v>63</v>
      </c>
    </row>
    <row r="207" spans="2:24" ht="11.25" customHeight="1">
      <c r="B207" s="6" t="s">
        <v>63</v>
      </c>
      <c r="D207" s="99">
        <v>43465</v>
      </c>
      <c r="E207" s="100">
        <f>EOMONTH(D207,12)</f>
        <v>43830</v>
      </c>
      <c r="F207" s="100">
        <f t="shared" ref="F207:U207" si="104">EOMONTH(E207,12)</f>
        <v>44196</v>
      </c>
      <c r="G207" s="100">
        <f t="shared" si="104"/>
        <v>44561</v>
      </c>
      <c r="H207" s="100">
        <f t="shared" si="104"/>
        <v>44926</v>
      </c>
      <c r="I207" s="100">
        <f t="shared" si="104"/>
        <v>45291</v>
      </c>
      <c r="J207" s="100">
        <f t="shared" si="104"/>
        <v>45657</v>
      </c>
      <c r="K207" s="100">
        <f t="shared" si="104"/>
        <v>46022</v>
      </c>
      <c r="L207" s="100">
        <f t="shared" si="104"/>
        <v>46387</v>
      </c>
      <c r="M207" s="100">
        <f t="shared" si="104"/>
        <v>46752</v>
      </c>
      <c r="N207" s="100">
        <f t="shared" si="104"/>
        <v>47118</v>
      </c>
      <c r="O207" s="100">
        <f t="shared" si="104"/>
        <v>47483</v>
      </c>
      <c r="P207" s="100">
        <f t="shared" si="104"/>
        <v>47848</v>
      </c>
      <c r="Q207" s="100">
        <f t="shared" si="104"/>
        <v>48213</v>
      </c>
      <c r="R207" s="100">
        <f t="shared" si="104"/>
        <v>48579</v>
      </c>
      <c r="S207" s="100">
        <f t="shared" si="104"/>
        <v>48944</v>
      </c>
      <c r="T207" s="100">
        <f t="shared" si="104"/>
        <v>49309</v>
      </c>
      <c r="U207" s="100">
        <f t="shared" si="104"/>
        <v>49674</v>
      </c>
    </row>
    <row r="208" spans="2:24" ht="11.25" customHeight="1">
      <c r="B208" s="6" t="s">
        <v>110</v>
      </c>
      <c r="D208" s="99"/>
      <c r="E208" s="100"/>
      <c r="F208" s="100"/>
      <c r="G208" s="100"/>
      <c r="H208" s="100"/>
      <c r="I208" s="100"/>
      <c r="J208" s="100">
        <f ca="1">TODAY()</f>
        <v>45796</v>
      </c>
      <c r="K208" s="100">
        <f>K207</f>
        <v>46022</v>
      </c>
      <c r="L208" s="100">
        <f t="shared" ref="L208:U208" si="105">L207</f>
        <v>46387</v>
      </c>
      <c r="M208" s="100">
        <f t="shared" si="105"/>
        <v>46752</v>
      </c>
      <c r="N208" s="100">
        <f t="shared" si="105"/>
        <v>47118</v>
      </c>
      <c r="O208" s="100">
        <f t="shared" si="105"/>
        <v>47483</v>
      </c>
      <c r="P208" s="100">
        <f t="shared" si="105"/>
        <v>47848</v>
      </c>
      <c r="Q208" s="100">
        <f t="shared" si="105"/>
        <v>48213</v>
      </c>
      <c r="R208" s="100">
        <f t="shared" si="105"/>
        <v>48579</v>
      </c>
      <c r="S208" s="100">
        <f t="shared" si="105"/>
        <v>48944</v>
      </c>
      <c r="T208" s="100">
        <f t="shared" si="105"/>
        <v>49309</v>
      </c>
      <c r="U208" s="100">
        <f t="shared" si="105"/>
        <v>49674</v>
      </c>
    </row>
    <row r="210" spans="2:21" ht="11.25" customHeight="1">
      <c r="B210" s="65" t="s">
        <v>202</v>
      </c>
    </row>
    <row r="211" spans="2:21" ht="11.25" customHeight="1">
      <c r="B211" s="2" t="s">
        <v>43</v>
      </c>
      <c r="K211" s="121">
        <f t="shared" ref="K211:U211" ca="1" si="106">YEARFRAC($J208,K208)</f>
        <v>0.6166666666666667</v>
      </c>
      <c r="L211" s="121">
        <f t="shared" ca="1" si="106"/>
        <v>1.6166666666666667</v>
      </c>
      <c r="M211" s="121">
        <f t="shared" ca="1" si="106"/>
        <v>2.6166666666666667</v>
      </c>
      <c r="N211" s="121">
        <f t="shared" ca="1" si="106"/>
        <v>3.6166666666666667</v>
      </c>
      <c r="O211" s="121">
        <f t="shared" ca="1" si="106"/>
        <v>4.6166666666666663</v>
      </c>
      <c r="P211" s="121">
        <f t="shared" ca="1" si="106"/>
        <v>5.6166666666666663</v>
      </c>
      <c r="Q211" s="121">
        <f t="shared" ca="1" si="106"/>
        <v>6.6166666666666663</v>
      </c>
      <c r="R211" s="121">
        <f t="shared" ca="1" si="106"/>
        <v>7.6166666666666663</v>
      </c>
      <c r="S211" s="121">
        <f t="shared" ca="1" si="106"/>
        <v>8.6166666666666671</v>
      </c>
      <c r="T211" s="121">
        <f t="shared" ca="1" si="106"/>
        <v>9.6166666666666671</v>
      </c>
      <c r="U211" s="121">
        <f t="shared" ca="1" si="106"/>
        <v>10.616666666666667</v>
      </c>
    </row>
    <row r="212" spans="2:21" ht="11.25" customHeight="1">
      <c r="B212" s="2" t="s">
        <v>59</v>
      </c>
      <c r="K212" s="27">
        <f t="shared" ref="K212:U212" ca="1" si="107">K49*(1-K43)-K59+K79+K78+K77+K51</f>
        <v>918.66990536221317</v>
      </c>
      <c r="L212" s="27">
        <f t="shared" ca="1" si="107"/>
        <v>1082.9897610339883</v>
      </c>
      <c r="M212" s="27">
        <f t="shared" ca="1" si="107"/>
        <v>1350.6522078062169</v>
      </c>
      <c r="N212" s="27">
        <f t="shared" ca="1" si="107"/>
        <v>1662.0061869355491</v>
      </c>
      <c r="O212" s="27">
        <f t="shared" ca="1" si="107"/>
        <v>1861.7531369960395</v>
      </c>
      <c r="P212" s="27">
        <f t="shared" ca="1" si="107"/>
        <v>2175.2198027339091</v>
      </c>
      <c r="Q212" s="27">
        <f t="shared" ca="1" si="107"/>
        <v>2474.7584187112616</v>
      </c>
      <c r="R212" s="27">
        <f t="shared" ca="1" si="107"/>
        <v>2787.9279323509145</v>
      </c>
      <c r="S212" s="27">
        <f t="shared" ca="1" si="107"/>
        <v>3111.9394838736598</v>
      </c>
      <c r="T212" s="27">
        <f t="shared" ca="1" si="107"/>
        <v>3448.1425745279516</v>
      </c>
      <c r="U212" s="27">
        <f t="shared" ca="1" si="107"/>
        <v>3795.5117963137518</v>
      </c>
    </row>
    <row r="213" spans="2:21" ht="13.5" customHeight="1">
      <c r="B213" s="2" t="s">
        <v>320</v>
      </c>
      <c r="K213" s="24" t="s">
        <v>51</v>
      </c>
      <c r="L213" s="24" t="s">
        <v>51</v>
      </c>
      <c r="M213" s="24" t="s">
        <v>51</v>
      </c>
      <c r="N213" s="24" t="s">
        <v>51</v>
      </c>
      <c r="O213" s="24" t="s">
        <v>51</v>
      </c>
      <c r="P213" s="24" t="s">
        <v>51</v>
      </c>
      <c r="Q213" s="24" t="s">
        <v>51</v>
      </c>
      <c r="R213" s="24" t="s">
        <v>51</v>
      </c>
      <c r="S213" s="24" t="s">
        <v>51</v>
      </c>
      <c r="T213" s="24">
        <f ca="1">T110*U212</f>
        <v>56932.676944706276</v>
      </c>
      <c r="U213" s="24"/>
    </row>
    <row r="214" spans="2:21" ht="11.25" customHeight="1">
      <c r="B214" s="12" t="s">
        <v>441</v>
      </c>
      <c r="K214" s="27">
        <f t="shared" ref="K214:T214" ca="1" si="108">SUM(K212:K213)</f>
        <v>918.66990536221317</v>
      </c>
      <c r="L214" s="27">
        <f t="shared" ca="1" si="108"/>
        <v>1082.9897610339883</v>
      </c>
      <c r="M214" s="27">
        <f t="shared" ca="1" si="108"/>
        <v>1350.6522078062169</v>
      </c>
      <c r="N214" s="27">
        <f t="shared" ca="1" si="108"/>
        <v>1662.0061869355491</v>
      </c>
      <c r="O214" s="27">
        <f t="shared" ca="1" si="108"/>
        <v>1861.7531369960395</v>
      </c>
      <c r="P214" s="27">
        <f t="shared" ca="1" si="108"/>
        <v>2175.2198027339091</v>
      </c>
      <c r="Q214" s="27">
        <f t="shared" ca="1" si="108"/>
        <v>2474.7584187112616</v>
      </c>
      <c r="R214" s="27">
        <f t="shared" ca="1" si="108"/>
        <v>2787.9279323509145</v>
      </c>
      <c r="S214" s="27">
        <f t="shared" ca="1" si="108"/>
        <v>3111.9394838736598</v>
      </c>
      <c r="T214" s="27">
        <f t="shared" ca="1" si="108"/>
        <v>60380.819519234225</v>
      </c>
    </row>
    <row r="215" spans="2:21" ht="11.25" customHeight="1">
      <c r="B215" s="2" t="s">
        <v>60</v>
      </c>
      <c r="D215" s="190">
        <f ca="1">F116</f>
        <v>0.10906456112861632</v>
      </c>
      <c r="E215" s="154" t="s">
        <v>76</v>
      </c>
      <c r="J215" s="27"/>
      <c r="K215" s="27">
        <f t="shared" ref="K215:T215" ca="1" si="109">K214/(1+$D$215)^K211</f>
        <v>861.85878390925313</v>
      </c>
      <c r="L215" s="27">
        <f t="shared" ca="1" si="109"/>
        <v>916.102662150009</v>
      </c>
      <c r="M215" s="27">
        <f t="shared" ca="1" si="109"/>
        <v>1030.1643088394471</v>
      </c>
      <c r="N215" s="27">
        <f t="shared" ca="1" si="109"/>
        <v>1142.9803770104249</v>
      </c>
      <c r="O215" s="27">
        <f t="shared" ca="1" si="109"/>
        <v>1154.4401016511338</v>
      </c>
      <c r="P215" s="27">
        <f t="shared" ca="1" si="109"/>
        <v>1216.173763863253</v>
      </c>
      <c r="Q215" s="27">
        <f t="shared" ca="1" si="109"/>
        <v>1247.5801729122193</v>
      </c>
      <c r="R215" s="27">
        <f t="shared" ca="1" si="109"/>
        <v>1267.2443651258911</v>
      </c>
      <c r="S215" s="27">
        <f t="shared" ca="1" si="109"/>
        <v>1275.4197578342098</v>
      </c>
      <c r="T215" s="27">
        <f t="shared" ca="1" si="109"/>
        <v>22313.318911210863</v>
      </c>
    </row>
    <row r="216" spans="2:21" ht="11.25" customHeight="1">
      <c r="B216" s="2" t="s">
        <v>61</v>
      </c>
      <c r="J216" s="27">
        <f ca="1">SUM(J215:T215)</f>
        <v>32425.283204506704</v>
      </c>
    </row>
    <row r="217" spans="2:21" ht="11.25" customHeight="1">
      <c r="B217" s="2" t="s">
        <v>436</v>
      </c>
      <c r="J217" s="332">
        <f>-(D122+D123+D124)</f>
        <v>1167.1879999999999</v>
      </c>
    </row>
    <row r="218" spans="2:21" ht="11.25" customHeight="1">
      <c r="B218" s="12" t="s">
        <v>437</v>
      </c>
      <c r="J218" s="27">
        <f ca="1">J216+J217</f>
        <v>33592.471204506706</v>
      </c>
    </row>
    <row r="219" spans="2:21" ht="11.25" customHeight="1">
      <c r="B219" s="2" t="s">
        <v>438</v>
      </c>
      <c r="J219" s="332">
        <f>E126</f>
        <v>25.937639553429026</v>
      </c>
    </row>
    <row r="220" spans="2:21" ht="11.25" customHeight="1">
      <c r="B220" s="12" t="s">
        <v>439</v>
      </c>
      <c r="J220" s="27">
        <f ca="1">J218/J219</f>
        <v>1295.1244516799406</v>
      </c>
    </row>
    <row r="221" spans="2:21" ht="11.25" customHeight="1">
      <c r="B221" s="41" t="s">
        <v>440</v>
      </c>
      <c r="J221" s="122">
        <f ca="1">J220/K121-1</f>
        <v>2.9350323368881881E-4</v>
      </c>
    </row>
  </sheetData>
  <pageMargins left="0.3" right="0.3" top="0.3" bottom="0.5" header="0.3" footer="0.3"/>
  <pageSetup scale="54" fitToHeight="3" orientation="portrait" r:id="rId1"/>
  <headerFooter>
    <oddFooter>Page &amp;P of &amp;N</oddFooter>
  </headerFooter>
  <rowBreaks count="1" manualBreakCount="1">
    <brk id="127" min="1" max="20" man="1"/>
  </rowBreaks>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3D963-A091-4CBD-BF0B-F26B091594AC}">
  <sheetPr>
    <tabColor theme="7" tint="0.39997558519241921"/>
    <pageSetUpPr fitToPage="1"/>
  </sheetPr>
  <dimension ref="B1:AN188"/>
  <sheetViews>
    <sheetView view="pageBreakPreview" zoomScaleNormal="85" zoomScaleSheetLayoutView="100" workbookViewId="0">
      <pane xSplit="3" ySplit="7" topLeftCell="D8" activePane="bottomRight" state="frozen"/>
      <selection pane="topRight"/>
      <selection pane="bottomLeft"/>
      <selection pane="bottomRight" activeCell="M37" sqref="M37"/>
    </sheetView>
  </sheetViews>
  <sheetFormatPr defaultColWidth="9.140625" defaultRowHeight="11.25" outlineLevelRow="1" outlineLevelCol="1"/>
  <cols>
    <col min="1" max="1" width="2.42578125" style="444" customWidth="1"/>
    <col min="2" max="2" width="17.85546875" style="444" customWidth="1"/>
    <col min="3" max="3" width="2.42578125" style="444" customWidth="1"/>
    <col min="4" max="7" width="9.28515625" style="444" hidden="1" customWidth="1" outlineLevel="1"/>
    <col min="8" max="8" width="9.28515625" style="444" customWidth="1" collapsed="1"/>
    <col min="9" max="29" width="9.28515625" style="444" customWidth="1"/>
    <col min="30" max="16384" width="9.140625" style="444"/>
  </cols>
  <sheetData>
    <row r="1" spans="2:29">
      <c r="D1" s="444">
        <v>1000</v>
      </c>
    </row>
    <row r="2" spans="2:29" s="440" customFormat="1">
      <c r="B2" s="440" t="s">
        <v>114</v>
      </c>
      <c r="AC2" s="441">
        <f ca="1">+TODAY()</f>
        <v>45796</v>
      </c>
    </row>
    <row r="3" spans="2:29" s="442" customFormat="1">
      <c r="B3" s="442" t="s">
        <v>849</v>
      </c>
    </row>
    <row r="4" spans="2:29">
      <c r="B4" s="443" t="s">
        <v>111</v>
      </c>
    </row>
    <row r="5" spans="2:29">
      <c r="B5" s="443"/>
    </row>
    <row r="6" spans="2:29">
      <c r="B6" s="443"/>
      <c r="D6" s="445" t="s">
        <v>0</v>
      </c>
      <c r="E6" s="445"/>
      <c r="F6" s="445"/>
      <c r="G6" s="445" t="s">
        <v>0</v>
      </c>
      <c r="H6" s="445"/>
      <c r="I6" s="445"/>
      <c r="J6" s="445"/>
      <c r="K6" s="445"/>
      <c r="L6" s="445"/>
      <c r="M6" s="445"/>
      <c r="N6" s="445"/>
      <c r="O6" s="445"/>
      <c r="P6" s="445"/>
      <c r="Q6" s="445"/>
      <c r="R6" s="445"/>
      <c r="S6" s="445"/>
      <c r="T6" s="445"/>
      <c r="U6" s="445"/>
      <c r="V6" s="445"/>
      <c r="W6" s="445"/>
      <c r="X6" s="445"/>
      <c r="Y6" s="445"/>
      <c r="Z6" s="445"/>
      <c r="AA6" s="445"/>
      <c r="AB6" s="445"/>
      <c r="AC6" s="445"/>
    </row>
    <row r="7" spans="2:29" ht="13.5">
      <c r="D7" s="446" t="s">
        <v>171</v>
      </c>
      <c r="E7" s="446" t="s">
        <v>172</v>
      </c>
      <c r="F7" s="446" t="s">
        <v>153</v>
      </c>
      <c r="G7" s="446" t="s">
        <v>152</v>
      </c>
      <c r="H7" s="446" t="s">
        <v>151</v>
      </c>
      <c r="I7" s="446" t="s">
        <v>150</v>
      </c>
      <c r="J7" s="446" t="s">
        <v>10</v>
      </c>
      <c r="K7" s="446" t="s">
        <v>11</v>
      </c>
      <c r="L7" s="446" t="s">
        <v>1</v>
      </c>
      <c r="M7" s="446" t="s">
        <v>2</v>
      </c>
      <c r="N7" s="446" t="s">
        <v>3</v>
      </c>
      <c r="O7" s="446" t="s">
        <v>4</v>
      </c>
      <c r="P7" s="446" t="s">
        <v>5</v>
      </c>
      <c r="Q7" s="446" t="s">
        <v>68</v>
      </c>
      <c r="R7" s="446" t="s">
        <v>6</v>
      </c>
      <c r="S7" s="446" t="s">
        <v>22</v>
      </c>
      <c r="T7" s="446" t="s">
        <v>23</v>
      </c>
      <c r="U7" s="446" t="s">
        <v>24</v>
      </c>
      <c r="V7" s="446" t="s">
        <v>25</v>
      </c>
      <c r="W7" s="446" t="s">
        <v>26</v>
      </c>
      <c r="X7" s="446" t="s">
        <v>27</v>
      </c>
      <c r="Y7" s="446" t="s">
        <v>38</v>
      </c>
      <c r="Z7" s="446" t="s">
        <v>39</v>
      </c>
      <c r="AA7" s="446" t="s">
        <v>40</v>
      </c>
      <c r="AB7" s="446" t="s">
        <v>41</v>
      </c>
      <c r="AC7" s="446" t="s">
        <v>112</v>
      </c>
    </row>
    <row r="8" spans="2:29">
      <c r="B8" s="447" t="s">
        <v>636</v>
      </c>
      <c r="C8" s="448"/>
    </row>
    <row r="10" spans="2:29">
      <c r="B10" s="449" t="s">
        <v>637</v>
      </c>
    </row>
    <row r="11" spans="2:29">
      <c r="B11" s="444" t="s">
        <v>638</v>
      </c>
      <c r="J11" s="475">
        <v>5.45</v>
      </c>
    </row>
    <row r="12" spans="2:29">
      <c r="B12" s="450" t="s">
        <v>679</v>
      </c>
      <c r="J12" s="476">
        <f>J11</f>
        <v>5.45</v>
      </c>
    </row>
    <row r="14" spans="2:29">
      <c r="B14" s="449" t="s">
        <v>639</v>
      </c>
      <c r="L14" s="451"/>
      <c r="M14" s="451"/>
      <c r="N14" s="451"/>
      <c r="O14" s="451"/>
      <c r="P14" s="451"/>
      <c r="Q14" s="451"/>
    </row>
    <row r="15" spans="2:29">
      <c r="B15" s="444" t="s">
        <v>640</v>
      </c>
      <c r="D15" s="451"/>
      <c r="E15" s="451">
        <f>+E153</f>
        <v>219.05254781499644</v>
      </c>
      <c r="F15" s="451">
        <f>+F153</f>
        <v>257.6891</v>
      </c>
      <c r="G15" s="451">
        <f>+G153</f>
        <v>333.80220000000003</v>
      </c>
      <c r="H15" s="451">
        <f t="shared" ref="G15:P16" si="0">+H153</f>
        <v>224.01870000000002</v>
      </c>
      <c r="I15" s="451">
        <f t="shared" si="0"/>
        <v>219.30339999999998</v>
      </c>
      <c r="J15" s="451">
        <f t="shared" si="0"/>
        <v>365.82759999999996</v>
      </c>
      <c r="K15" s="451">
        <f t="shared" si="0"/>
        <v>322.4939</v>
      </c>
      <c r="L15" s="451">
        <f t="shared" si="0"/>
        <v>300.02440000000001</v>
      </c>
      <c r="M15" s="451">
        <f t="shared" si="0"/>
        <v>564.28300000000002</v>
      </c>
      <c r="N15" s="451">
        <f t="shared" si="0"/>
        <v>525.72069999999997</v>
      </c>
      <c r="O15" s="451">
        <f t="shared" si="0"/>
        <v>835.4063000000001</v>
      </c>
      <c r="P15" s="451">
        <f t="shared" si="0"/>
        <v>1139.8921</v>
      </c>
      <c r="Q15" s="451">
        <f>+Q153</f>
        <v>897.51880000000006</v>
      </c>
      <c r="R15" s="452">
        <f ca="1">('Simple Model (C)'!J59*1000)/1000</f>
        <v>990.18415175882456</v>
      </c>
      <c r="S15" s="452">
        <f ca="1">('Simple Model (C)'!K59*1000)/1000</f>
        <v>1338.4946808912268</v>
      </c>
      <c r="T15" s="452">
        <f ca="1">('Simple Model (C)'!L59*1000)/1000</f>
        <v>1518.6987484791175</v>
      </c>
      <c r="U15" s="452">
        <f ca="1">('Simple Model (C)'!M59*1000)/1000</f>
        <v>1710.5845492186077</v>
      </c>
      <c r="V15" s="452">
        <f ca="1">('Simple Model (C)'!N59*1000)/1000</f>
        <v>1888.0792165547145</v>
      </c>
      <c r="W15" s="452">
        <f ca="1">('Simple Model (C)'!O59*1000)/1000</f>
        <v>2064.0058693127462</v>
      </c>
      <c r="X15" s="452">
        <f ca="1">('Simple Model (C)'!P59*1000)/1000</f>
        <v>2243.3725691984487</v>
      </c>
      <c r="Y15" s="452">
        <f ca="1">('Simple Model (C)'!Q59*1000)/1000</f>
        <v>2414.6303315969553</v>
      </c>
      <c r="Z15" s="452">
        <f ca="1">('Simple Model (C)'!R59*1000)/1000</f>
        <v>2580.2420378862912</v>
      </c>
      <c r="AA15" s="452">
        <f ca="1">('Simple Model (C)'!S59*1000)/1000</f>
        <v>2739.5958258354922</v>
      </c>
      <c r="AB15" s="452">
        <f ca="1">('Simple Model (C)'!T59*1000)/1000</f>
        <v>2892.1137943700592</v>
      </c>
      <c r="AC15" s="452">
        <f ca="1">('Simple Model (C)'!U59*1000)/1000</f>
        <v>3037.03771676315</v>
      </c>
    </row>
    <row r="16" spans="2:29" ht="13.5">
      <c r="B16" s="444" t="s">
        <v>641</v>
      </c>
      <c r="D16" s="453"/>
      <c r="E16" s="453">
        <f>+E154</f>
        <v>-2.3146426544446541</v>
      </c>
      <c r="F16" s="453">
        <f>+F154</f>
        <v>-2.7229000000000001</v>
      </c>
      <c r="G16" s="453">
        <f t="shared" si="0"/>
        <v>-3.7131999999999996</v>
      </c>
      <c r="H16" s="453">
        <f t="shared" si="0"/>
        <v>-2.8826999999999998</v>
      </c>
      <c r="I16" s="453">
        <f t="shared" si="0"/>
        <v>-6.7846000000000002</v>
      </c>
      <c r="J16" s="453">
        <f t="shared" si="0"/>
        <v>-3.5768</v>
      </c>
      <c r="K16" s="453">
        <f t="shared" si="0"/>
        <v>-9.9677999999999987</v>
      </c>
      <c r="L16" s="453">
        <f t="shared" si="0"/>
        <v>-7.1741999999999999</v>
      </c>
      <c r="M16" s="453">
        <f t="shared" si="0"/>
        <v>-18.5839</v>
      </c>
      <c r="N16" s="453">
        <f t="shared" si="0"/>
        <v>-7.1728999999999994</v>
      </c>
      <c r="O16" s="453">
        <f t="shared" si="0"/>
        <v>-26.566700000000001</v>
      </c>
      <c r="P16" s="453">
        <f t="shared" si="0"/>
        <v>-27.792400000000001</v>
      </c>
      <c r="Q16" s="453">
        <f>+Q154</f>
        <v>-32.436700000000002</v>
      </c>
      <c r="R16" s="454">
        <v>0</v>
      </c>
      <c r="S16" s="454">
        <v>0</v>
      </c>
      <c r="T16" s="454">
        <v>0</v>
      </c>
      <c r="U16" s="454">
        <v>0</v>
      </c>
      <c r="V16" s="454">
        <v>0</v>
      </c>
      <c r="W16" s="454">
        <v>0</v>
      </c>
      <c r="X16" s="454">
        <v>0</v>
      </c>
      <c r="Y16" s="454">
        <v>0</v>
      </c>
      <c r="Z16" s="454">
        <v>0</v>
      </c>
      <c r="AA16" s="454">
        <v>0</v>
      </c>
      <c r="AB16" s="454">
        <v>0</v>
      </c>
      <c r="AC16" s="454">
        <v>0</v>
      </c>
    </row>
    <row r="17" spans="2:36" s="440" customFormat="1">
      <c r="B17" s="455" t="s">
        <v>642</v>
      </c>
      <c r="D17" s="456"/>
      <c r="E17" s="456">
        <f t="shared" ref="E17:Q17" si="1">SUM(E15:E16)</f>
        <v>216.7379051605518</v>
      </c>
      <c r="F17" s="456">
        <f t="shared" si="1"/>
        <v>254.96619999999999</v>
      </c>
      <c r="G17" s="456">
        <f t="shared" si="1"/>
        <v>330.08900000000006</v>
      </c>
      <c r="H17" s="456">
        <f t="shared" si="1"/>
        <v>221.13600000000002</v>
      </c>
      <c r="I17" s="456">
        <f t="shared" si="1"/>
        <v>212.51879999999997</v>
      </c>
      <c r="J17" s="456">
        <f t="shared" si="1"/>
        <v>362.25079999999997</v>
      </c>
      <c r="K17" s="456">
        <f t="shared" si="1"/>
        <v>312.52609999999999</v>
      </c>
      <c r="L17" s="456">
        <f t="shared" si="1"/>
        <v>292.85020000000003</v>
      </c>
      <c r="M17" s="456">
        <f t="shared" si="1"/>
        <v>545.69910000000004</v>
      </c>
      <c r="N17" s="456">
        <f t="shared" si="1"/>
        <v>518.54779999999994</v>
      </c>
      <c r="O17" s="456">
        <f t="shared" si="1"/>
        <v>808.83960000000013</v>
      </c>
      <c r="P17" s="456">
        <f t="shared" si="1"/>
        <v>1112.0997</v>
      </c>
      <c r="Q17" s="456">
        <f t="shared" si="1"/>
        <v>865.08210000000008</v>
      </c>
      <c r="R17" s="456">
        <f ca="1">SUM(R15:R16)</f>
        <v>990.18415175882456</v>
      </c>
      <c r="S17" s="456">
        <f t="shared" ref="S17:AC17" ca="1" si="2">SUM(S15:S16)</f>
        <v>1338.4946808912268</v>
      </c>
      <c r="T17" s="456">
        <f t="shared" ca="1" si="2"/>
        <v>1518.6987484791175</v>
      </c>
      <c r="U17" s="456">
        <f t="shared" ca="1" si="2"/>
        <v>1710.5845492186077</v>
      </c>
      <c r="V17" s="456">
        <f t="shared" ca="1" si="2"/>
        <v>1888.0792165547145</v>
      </c>
      <c r="W17" s="456">
        <f t="shared" ca="1" si="2"/>
        <v>2064.0058693127462</v>
      </c>
      <c r="X17" s="456">
        <f t="shared" ca="1" si="2"/>
        <v>2243.3725691984487</v>
      </c>
      <c r="Y17" s="456">
        <f t="shared" ca="1" si="2"/>
        <v>2414.6303315969553</v>
      </c>
      <c r="Z17" s="456">
        <f t="shared" ca="1" si="2"/>
        <v>2580.2420378862912</v>
      </c>
      <c r="AA17" s="456">
        <f t="shared" ca="1" si="2"/>
        <v>2739.5958258354922</v>
      </c>
      <c r="AB17" s="456">
        <f t="shared" ca="1" si="2"/>
        <v>2892.1137943700592</v>
      </c>
      <c r="AC17" s="456">
        <f t="shared" ca="1" si="2"/>
        <v>3037.03771676315</v>
      </c>
      <c r="AD17" s="456"/>
    </row>
    <row r="18" spans="2:36" ht="13.5">
      <c r="B18" s="444" t="s">
        <v>643</v>
      </c>
      <c r="D18" s="453"/>
      <c r="E18" s="453">
        <f>+E19-E17</f>
        <v>-43.285205160551527</v>
      </c>
      <c r="F18" s="453">
        <f>+F19-F17</f>
        <v>-5.0238000000000795</v>
      </c>
      <c r="G18" s="453">
        <f t="shared" ref="G18:Q18" si="3">+G19-G17</f>
        <v>-162.29740000000027</v>
      </c>
      <c r="H18" s="453">
        <f t="shared" si="3"/>
        <v>164.99440000000044</v>
      </c>
      <c r="I18" s="453">
        <f t="shared" si="3"/>
        <v>-42.822200000000208</v>
      </c>
      <c r="J18" s="453">
        <f t="shared" si="3"/>
        <v>-201.24050000000005</v>
      </c>
      <c r="K18" s="453">
        <f t="shared" si="3"/>
        <v>214.7504999999997</v>
      </c>
      <c r="L18" s="453">
        <f t="shared" si="3"/>
        <v>-6.271899999999448</v>
      </c>
      <c r="M18" s="453">
        <f t="shared" si="3"/>
        <v>-362.24640000000022</v>
      </c>
      <c r="N18" s="453">
        <f t="shared" si="3"/>
        <v>300.45859999999936</v>
      </c>
      <c r="O18" s="453">
        <f t="shared" si="3"/>
        <v>-369.65419999999892</v>
      </c>
      <c r="P18" s="453">
        <f t="shared" si="3"/>
        <v>-731.58340000000067</v>
      </c>
      <c r="Q18" s="453">
        <f t="shared" si="3"/>
        <v>419.5340999999994</v>
      </c>
      <c r="R18" s="454">
        <f ca="1">-0.1*R17</f>
        <v>-99.018415175882467</v>
      </c>
      <c r="S18" s="454">
        <f t="shared" ref="S18:AC18" ca="1" si="4">-0.1*S17</f>
        <v>-133.84946808912269</v>
      </c>
      <c r="T18" s="454">
        <f t="shared" ca="1" si="4"/>
        <v>-151.86987484791175</v>
      </c>
      <c r="U18" s="454">
        <f t="shared" ca="1" si="4"/>
        <v>-171.05845492186077</v>
      </c>
      <c r="V18" s="454">
        <f t="shared" ca="1" si="4"/>
        <v>-188.80792165547146</v>
      </c>
      <c r="W18" s="454">
        <f t="shared" ca="1" si="4"/>
        <v>-206.40058693127463</v>
      </c>
      <c r="X18" s="454">
        <f t="shared" ca="1" si="4"/>
        <v>-224.33725691984489</v>
      </c>
      <c r="Y18" s="454">
        <f t="shared" ca="1" si="4"/>
        <v>-241.46303315969556</v>
      </c>
      <c r="Z18" s="454">
        <f t="shared" ca="1" si="4"/>
        <v>-258.02420378862911</v>
      </c>
      <c r="AA18" s="454">
        <f t="shared" ca="1" si="4"/>
        <v>-273.95958258354921</v>
      </c>
      <c r="AB18" s="454">
        <f t="shared" ca="1" si="4"/>
        <v>-289.21137943700592</v>
      </c>
      <c r="AC18" s="454">
        <f t="shared" ca="1" si="4"/>
        <v>-303.703771676315</v>
      </c>
    </row>
    <row r="19" spans="2:36" s="440" customFormat="1">
      <c r="B19" s="455" t="s">
        <v>639</v>
      </c>
      <c r="D19" s="456"/>
      <c r="E19" s="456">
        <f>E150-D150</f>
        <v>173.45270000000028</v>
      </c>
      <c r="F19" s="456">
        <f t="shared" ref="F19:Q19" si="5">F150-E150</f>
        <v>249.94239999999991</v>
      </c>
      <c r="G19" s="456">
        <f t="shared" si="5"/>
        <v>167.79159999999979</v>
      </c>
      <c r="H19" s="456">
        <f t="shared" si="5"/>
        <v>386.13040000000046</v>
      </c>
      <c r="I19" s="456">
        <f t="shared" si="5"/>
        <v>169.69659999999976</v>
      </c>
      <c r="J19" s="456">
        <f t="shared" si="5"/>
        <v>161.01029999999992</v>
      </c>
      <c r="K19" s="456">
        <f t="shared" si="5"/>
        <v>527.27659999999969</v>
      </c>
      <c r="L19" s="456">
        <f t="shared" si="5"/>
        <v>286.57830000000058</v>
      </c>
      <c r="M19" s="456">
        <f t="shared" si="5"/>
        <v>183.45269999999982</v>
      </c>
      <c r="N19" s="456">
        <f t="shared" si="5"/>
        <v>819.0063999999993</v>
      </c>
      <c r="O19" s="456">
        <f t="shared" si="5"/>
        <v>439.18540000000121</v>
      </c>
      <c r="P19" s="456">
        <f>P150-O150</f>
        <v>380.51629999999932</v>
      </c>
      <c r="Q19" s="456">
        <f t="shared" si="5"/>
        <v>1284.6161999999995</v>
      </c>
      <c r="R19" s="456">
        <f ca="1">+SUM(R17:R18)</f>
        <v>891.16573658294215</v>
      </c>
      <c r="S19" s="456">
        <f t="shared" ref="S19:AC19" ca="1" si="6">+SUM(S17:S18)</f>
        <v>1204.6452128021042</v>
      </c>
      <c r="T19" s="456">
        <f t="shared" ca="1" si="6"/>
        <v>1366.8288736312059</v>
      </c>
      <c r="U19" s="456">
        <f t="shared" ca="1" si="6"/>
        <v>1539.5260942967468</v>
      </c>
      <c r="V19" s="456">
        <f t="shared" ca="1" si="6"/>
        <v>1699.271294899243</v>
      </c>
      <c r="W19" s="456">
        <f t="shared" ca="1" si="6"/>
        <v>1857.6052823814716</v>
      </c>
      <c r="X19" s="456">
        <f t="shared" ca="1" si="6"/>
        <v>2019.0353122786037</v>
      </c>
      <c r="Y19" s="456">
        <f t="shared" ca="1" si="6"/>
        <v>2173.1672984372599</v>
      </c>
      <c r="Z19" s="456">
        <f t="shared" ca="1" si="6"/>
        <v>2322.217834097662</v>
      </c>
      <c r="AA19" s="456">
        <f t="shared" ca="1" si="6"/>
        <v>2465.6362432519431</v>
      </c>
      <c r="AB19" s="456">
        <f t="shared" ca="1" si="6"/>
        <v>2602.9024149330535</v>
      </c>
      <c r="AC19" s="456">
        <f t="shared" ca="1" si="6"/>
        <v>2733.3339450868352</v>
      </c>
      <c r="AD19" s="456"/>
    </row>
    <row r="20" spans="2:36">
      <c r="Q20" s="457"/>
    </row>
    <row r="21" spans="2:36">
      <c r="B21" s="449" t="s">
        <v>644</v>
      </c>
    </row>
    <row r="22" spans="2:36">
      <c r="B22" s="444" t="s">
        <v>172</v>
      </c>
      <c r="E22" s="451">
        <f>+E60/$J$11*0.5</f>
        <v>15.91309174311929</v>
      </c>
      <c r="F22" s="451">
        <f t="shared" ref="F22:AC34" si="7">+IF(E114&gt;0,MIN(F60/$J$11,E114),0)</f>
        <v>31.82618348623858</v>
      </c>
      <c r="G22" s="451">
        <f t="shared" si="7"/>
        <v>31.82618348623858</v>
      </c>
      <c r="H22" s="451">
        <f t="shared" si="7"/>
        <v>31.82618348623858</v>
      </c>
      <c r="I22" s="451">
        <f t="shared" si="7"/>
        <v>31.82618348623858</v>
      </c>
      <c r="J22" s="451">
        <f t="shared" si="7"/>
        <v>30.23487431192666</v>
      </c>
      <c r="K22" s="451">
        <f t="shared" si="7"/>
        <v>0</v>
      </c>
      <c r="L22" s="451">
        <f t="shared" si="7"/>
        <v>0</v>
      </c>
      <c r="M22" s="451">
        <f t="shared" si="7"/>
        <v>0</v>
      </c>
      <c r="N22" s="451">
        <f t="shared" si="7"/>
        <v>0</v>
      </c>
      <c r="O22" s="451">
        <f t="shared" si="7"/>
        <v>0</v>
      </c>
      <c r="P22" s="451">
        <f t="shared" si="7"/>
        <v>0</v>
      </c>
      <c r="Q22" s="451">
        <f t="shared" si="7"/>
        <v>0</v>
      </c>
      <c r="R22" s="451">
        <f t="shared" si="7"/>
        <v>0</v>
      </c>
      <c r="S22" s="451">
        <f t="shared" si="7"/>
        <v>0</v>
      </c>
      <c r="T22" s="451">
        <f t="shared" si="7"/>
        <v>0</v>
      </c>
      <c r="U22" s="451">
        <f t="shared" si="7"/>
        <v>0</v>
      </c>
      <c r="V22" s="451">
        <f t="shared" si="7"/>
        <v>0</v>
      </c>
      <c r="W22" s="451">
        <f t="shared" si="7"/>
        <v>0</v>
      </c>
      <c r="X22" s="451">
        <f t="shared" si="7"/>
        <v>0</v>
      </c>
      <c r="Y22" s="451">
        <f t="shared" si="7"/>
        <v>0</v>
      </c>
      <c r="Z22" s="451">
        <f t="shared" si="7"/>
        <v>0</v>
      </c>
      <c r="AA22" s="451">
        <f t="shared" si="7"/>
        <v>0</v>
      </c>
      <c r="AB22" s="451">
        <f t="shared" si="7"/>
        <v>0</v>
      </c>
      <c r="AC22" s="451">
        <f t="shared" si="7"/>
        <v>0</v>
      </c>
    </row>
    <row r="23" spans="2:36">
      <c r="B23" s="444" t="s">
        <v>153</v>
      </c>
      <c r="F23" s="451">
        <f>+F61/$J$11*0.5</f>
        <v>22.930495412844028</v>
      </c>
      <c r="G23" s="451">
        <f t="shared" si="7"/>
        <v>45.860990825688056</v>
      </c>
      <c r="H23" s="451">
        <f t="shared" si="7"/>
        <v>45.860990825688056</v>
      </c>
      <c r="I23" s="451">
        <f t="shared" si="7"/>
        <v>45.860990825688056</v>
      </c>
      <c r="J23" s="451">
        <f t="shared" si="7"/>
        <v>45.860990825688056</v>
      </c>
      <c r="K23" s="451">
        <f t="shared" si="7"/>
        <v>43.567941284403673</v>
      </c>
      <c r="L23" s="451">
        <f t="shared" si="7"/>
        <v>0</v>
      </c>
      <c r="M23" s="451">
        <f t="shared" si="7"/>
        <v>0</v>
      </c>
      <c r="N23" s="451">
        <f t="shared" si="7"/>
        <v>0</v>
      </c>
      <c r="O23" s="451">
        <f t="shared" si="7"/>
        <v>0</v>
      </c>
      <c r="P23" s="451">
        <f t="shared" si="7"/>
        <v>0</v>
      </c>
      <c r="Q23" s="451">
        <f t="shared" si="7"/>
        <v>0</v>
      </c>
      <c r="R23" s="451">
        <f t="shared" si="7"/>
        <v>0</v>
      </c>
      <c r="S23" s="451">
        <f t="shared" si="7"/>
        <v>0</v>
      </c>
      <c r="T23" s="451">
        <f t="shared" si="7"/>
        <v>0</v>
      </c>
      <c r="U23" s="451">
        <f t="shared" si="7"/>
        <v>0</v>
      </c>
      <c r="V23" s="451">
        <f t="shared" si="7"/>
        <v>0</v>
      </c>
      <c r="W23" s="451">
        <f t="shared" si="7"/>
        <v>0</v>
      </c>
      <c r="X23" s="451">
        <f t="shared" si="7"/>
        <v>0</v>
      </c>
      <c r="Y23" s="451">
        <f t="shared" si="7"/>
        <v>0</v>
      </c>
      <c r="Z23" s="451">
        <f t="shared" si="7"/>
        <v>0</v>
      </c>
      <c r="AA23" s="451">
        <f t="shared" si="7"/>
        <v>0</v>
      </c>
      <c r="AB23" s="451">
        <f t="shared" si="7"/>
        <v>0</v>
      </c>
      <c r="AC23" s="451">
        <f t="shared" si="7"/>
        <v>0</v>
      </c>
    </row>
    <row r="24" spans="2:36">
      <c r="B24" s="444" t="s">
        <v>152</v>
      </c>
      <c r="G24" s="451">
        <f>+G62/$J$11*0.5</f>
        <v>15.393724770642182</v>
      </c>
      <c r="H24" s="451">
        <f t="shared" si="7"/>
        <v>30.787449541284364</v>
      </c>
      <c r="I24" s="451">
        <f t="shared" si="7"/>
        <v>30.787449541284364</v>
      </c>
      <c r="J24" s="451">
        <f t="shared" si="7"/>
        <v>30.787449541284364</v>
      </c>
      <c r="K24" s="451">
        <f t="shared" si="7"/>
        <v>30.787449541284364</v>
      </c>
      <c r="L24" s="451">
        <f t="shared" si="7"/>
        <v>29.248077064220155</v>
      </c>
      <c r="M24" s="451">
        <f t="shared" si="7"/>
        <v>0</v>
      </c>
      <c r="N24" s="451">
        <f t="shared" si="7"/>
        <v>0</v>
      </c>
      <c r="O24" s="451">
        <f t="shared" si="7"/>
        <v>0</v>
      </c>
      <c r="P24" s="451">
        <f t="shared" si="7"/>
        <v>0</v>
      </c>
      <c r="Q24" s="451">
        <f t="shared" si="7"/>
        <v>0</v>
      </c>
      <c r="R24" s="451">
        <f t="shared" si="7"/>
        <v>0</v>
      </c>
      <c r="S24" s="451">
        <f t="shared" si="7"/>
        <v>0</v>
      </c>
      <c r="T24" s="451">
        <f t="shared" si="7"/>
        <v>0</v>
      </c>
      <c r="U24" s="451">
        <f t="shared" si="7"/>
        <v>0</v>
      </c>
      <c r="V24" s="451">
        <f t="shared" si="7"/>
        <v>0</v>
      </c>
      <c r="W24" s="451">
        <f t="shared" si="7"/>
        <v>0</v>
      </c>
      <c r="X24" s="451">
        <f t="shared" si="7"/>
        <v>0</v>
      </c>
      <c r="Y24" s="451">
        <f t="shared" si="7"/>
        <v>0</v>
      </c>
      <c r="Z24" s="451">
        <f t="shared" si="7"/>
        <v>0</v>
      </c>
      <c r="AA24" s="451">
        <f t="shared" si="7"/>
        <v>0</v>
      </c>
      <c r="AB24" s="451">
        <f t="shared" si="7"/>
        <v>0</v>
      </c>
      <c r="AC24" s="451">
        <f t="shared" si="7"/>
        <v>0</v>
      </c>
    </row>
    <row r="25" spans="2:36">
      <c r="B25" s="444" t="s">
        <v>151</v>
      </c>
      <c r="H25" s="451">
        <f>+H63/$J$11*0.5</f>
        <v>35.424807339449586</v>
      </c>
      <c r="I25" s="451">
        <f t="shared" si="7"/>
        <v>70.849614678899172</v>
      </c>
      <c r="J25" s="451">
        <f t="shared" si="7"/>
        <v>70.849614678899172</v>
      </c>
      <c r="K25" s="451">
        <f t="shared" si="7"/>
        <v>70.849614678899172</v>
      </c>
      <c r="L25" s="451">
        <f t="shared" si="7"/>
        <v>70.849614678899172</v>
      </c>
      <c r="M25" s="451">
        <f t="shared" si="7"/>
        <v>67.307133944954217</v>
      </c>
      <c r="N25" s="451">
        <f t="shared" si="7"/>
        <v>0</v>
      </c>
      <c r="O25" s="451">
        <f t="shared" si="7"/>
        <v>0</v>
      </c>
      <c r="P25" s="451">
        <f t="shared" si="7"/>
        <v>0</v>
      </c>
      <c r="Q25" s="451">
        <f t="shared" si="7"/>
        <v>0</v>
      </c>
      <c r="R25" s="451">
        <f t="shared" si="7"/>
        <v>0</v>
      </c>
      <c r="S25" s="451">
        <f t="shared" si="7"/>
        <v>0</v>
      </c>
      <c r="T25" s="451">
        <f t="shared" si="7"/>
        <v>0</v>
      </c>
      <c r="U25" s="451">
        <f t="shared" si="7"/>
        <v>0</v>
      </c>
      <c r="V25" s="451">
        <f t="shared" si="7"/>
        <v>0</v>
      </c>
      <c r="W25" s="451">
        <f t="shared" si="7"/>
        <v>0</v>
      </c>
      <c r="X25" s="451">
        <f t="shared" si="7"/>
        <v>0</v>
      </c>
      <c r="Y25" s="451">
        <f t="shared" si="7"/>
        <v>0</v>
      </c>
      <c r="Z25" s="451">
        <f t="shared" si="7"/>
        <v>0</v>
      </c>
      <c r="AA25" s="451">
        <f t="shared" si="7"/>
        <v>0</v>
      </c>
      <c r="AB25" s="451">
        <f t="shared" si="7"/>
        <v>0</v>
      </c>
      <c r="AC25" s="451">
        <f t="shared" si="7"/>
        <v>0</v>
      </c>
    </row>
    <row r="26" spans="2:36">
      <c r="B26" s="444" t="s">
        <v>150</v>
      </c>
      <c r="I26" s="451">
        <f>+I64/$J$11*0.5</f>
        <v>15.568495412844014</v>
      </c>
      <c r="J26" s="451">
        <f t="shared" si="7"/>
        <v>31.136990825688027</v>
      </c>
      <c r="K26" s="451">
        <f t="shared" si="7"/>
        <v>31.136990825688027</v>
      </c>
      <c r="L26" s="451">
        <f t="shared" si="7"/>
        <v>31.136990825688027</v>
      </c>
      <c r="M26" s="451">
        <f t="shared" si="7"/>
        <v>31.136990825688027</v>
      </c>
      <c r="N26" s="451">
        <f t="shared" si="7"/>
        <v>29.580141284403652</v>
      </c>
      <c r="O26" s="451">
        <f t="shared" si="7"/>
        <v>0</v>
      </c>
      <c r="P26" s="451">
        <f t="shared" si="7"/>
        <v>0</v>
      </c>
      <c r="Q26" s="451">
        <f t="shared" si="7"/>
        <v>0</v>
      </c>
      <c r="R26" s="451">
        <f t="shared" si="7"/>
        <v>0</v>
      </c>
      <c r="S26" s="451">
        <f t="shared" si="7"/>
        <v>0</v>
      </c>
      <c r="T26" s="451">
        <f t="shared" si="7"/>
        <v>0</v>
      </c>
      <c r="U26" s="451">
        <f t="shared" si="7"/>
        <v>0</v>
      </c>
      <c r="V26" s="451">
        <f t="shared" si="7"/>
        <v>0</v>
      </c>
      <c r="W26" s="451">
        <f t="shared" si="7"/>
        <v>0</v>
      </c>
      <c r="X26" s="451">
        <f t="shared" si="7"/>
        <v>0</v>
      </c>
      <c r="Y26" s="451">
        <f t="shared" si="7"/>
        <v>0</v>
      </c>
      <c r="Z26" s="451">
        <f t="shared" si="7"/>
        <v>0</v>
      </c>
      <c r="AA26" s="451">
        <f t="shared" si="7"/>
        <v>0</v>
      </c>
      <c r="AB26" s="451">
        <f t="shared" si="7"/>
        <v>0</v>
      </c>
      <c r="AC26" s="451">
        <f t="shared" si="7"/>
        <v>0</v>
      </c>
      <c r="AD26" s="451"/>
    </row>
    <row r="27" spans="2:36">
      <c r="B27" s="444" t="s">
        <v>10</v>
      </c>
      <c r="J27" s="451">
        <f>+J65/$J$11*0.5</f>
        <v>14.771587155963294</v>
      </c>
      <c r="K27" s="451">
        <f t="shared" si="7"/>
        <v>29.543174311926588</v>
      </c>
      <c r="L27" s="451">
        <f t="shared" si="7"/>
        <v>29.543174311926588</v>
      </c>
      <c r="M27" s="451">
        <f t="shared" si="7"/>
        <v>29.543174311926588</v>
      </c>
      <c r="N27" s="451">
        <f t="shared" si="7"/>
        <v>29.543174311926588</v>
      </c>
      <c r="O27" s="451">
        <f t="shared" si="7"/>
        <v>28.06601559633026</v>
      </c>
      <c r="P27" s="451">
        <f t="shared" si="7"/>
        <v>0</v>
      </c>
      <c r="Q27" s="451">
        <f t="shared" si="7"/>
        <v>0</v>
      </c>
      <c r="R27" s="451">
        <f t="shared" si="7"/>
        <v>0</v>
      </c>
      <c r="S27" s="451">
        <f t="shared" si="7"/>
        <v>0</v>
      </c>
      <c r="T27" s="451">
        <f t="shared" si="7"/>
        <v>0</v>
      </c>
      <c r="U27" s="451">
        <f t="shared" si="7"/>
        <v>0</v>
      </c>
      <c r="V27" s="451">
        <f t="shared" si="7"/>
        <v>0</v>
      </c>
      <c r="W27" s="451">
        <f t="shared" si="7"/>
        <v>0</v>
      </c>
      <c r="X27" s="451">
        <f t="shared" si="7"/>
        <v>0</v>
      </c>
      <c r="Y27" s="451">
        <f t="shared" si="7"/>
        <v>0</v>
      </c>
      <c r="Z27" s="451">
        <f t="shared" si="7"/>
        <v>0</v>
      </c>
      <c r="AA27" s="451">
        <f t="shared" si="7"/>
        <v>0</v>
      </c>
      <c r="AB27" s="451">
        <f t="shared" si="7"/>
        <v>0</v>
      </c>
      <c r="AC27" s="451">
        <f t="shared" si="7"/>
        <v>0</v>
      </c>
      <c r="AD27" s="451"/>
      <c r="AE27" s="451"/>
    </row>
    <row r="28" spans="2:36">
      <c r="B28" s="444" t="s">
        <v>11</v>
      </c>
      <c r="K28" s="451">
        <f>+K66/$J$11*0.5</f>
        <v>48.373999999999967</v>
      </c>
      <c r="L28" s="451">
        <f t="shared" si="7"/>
        <v>96.747999999999934</v>
      </c>
      <c r="M28" s="451">
        <f t="shared" si="7"/>
        <v>96.747999999999934</v>
      </c>
      <c r="N28" s="451">
        <f t="shared" si="7"/>
        <v>96.747999999999934</v>
      </c>
      <c r="O28" s="451">
        <f t="shared" si="7"/>
        <v>96.747999999999934</v>
      </c>
      <c r="P28" s="451">
        <f t="shared" si="7"/>
        <v>91.910599999999988</v>
      </c>
      <c r="Q28" s="451">
        <f t="shared" si="7"/>
        <v>0</v>
      </c>
      <c r="R28" s="451">
        <f t="shared" si="7"/>
        <v>0</v>
      </c>
      <c r="S28" s="451">
        <f t="shared" si="7"/>
        <v>0</v>
      </c>
      <c r="T28" s="451">
        <f t="shared" si="7"/>
        <v>0</v>
      </c>
      <c r="U28" s="451">
        <f t="shared" si="7"/>
        <v>0</v>
      </c>
      <c r="V28" s="451">
        <f t="shared" si="7"/>
        <v>0</v>
      </c>
      <c r="W28" s="451">
        <f t="shared" si="7"/>
        <v>0</v>
      </c>
      <c r="X28" s="451">
        <f t="shared" si="7"/>
        <v>0</v>
      </c>
      <c r="Y28" s="451">
        <f t="shared" si="7"/>
        <v>0</v>
      </c>
      <c r="Z28" s="451">
        <f t="shared" si="7"/>
        <v>0</v>
      </c>
      <c r="AA28" s="451">
        <f t="shared" si="7"/>
        <v>0</v>
      </c>
      <c r="AB28" s="451">
        <f t="shared" si="7"/>
        <v>0</v>
      </c>
      <c r="AC28" s="451">
        <f t="shared" si="7"/>
        <v>0</v>
      </c>
      <c r="AD28" s="451"/>
      <c r="AE28" s="451"/>
      <c r="AF28" s="451"/>
    </row>
    <row r="29" spans="2:36">
      <c r="B29" s="444" t="s">
        <v>1</v>
      </c>
      <c r="L29" s="451">
        <f>+L67/$J$11*0.5</f>
        <v>26.291587155963356</v>
      </c>
      <c r="M29" s="451">
        <f t="shared" si="7"/>
        <v>52.583174311926712</v>
      </c>
      <c r="N29" s="451">
        <f t="shared" si="7"/>
        <v>52.583174311926712</v>
      </c>
      <c r="O29" s="451">
        <f t="shared" si="7"/>
        <v>52.583174311926712</v>
      </c>
      <c r="P29" s="451">
        <f t="shared" si="7"/>
        <v>52.583174311926712</v>
      </c>
      <c r="Q29" s="451">
        <f t="shared" si="7"/>
        <v>49.954015596330379</v>
      </c>
      <c r="R29" s="451">
        <f t="shared" si="7"/>
        <v>0</v>
      </c>
      <c r="S29" s="451">
        <f t="shared" si="7"/>
        <v>0</v>
      </c>
      <c r="T29" s="451">
        <f t="shared" si="7"/>
        <v>0</v>
      </c>
      <c r="U29" s="451">
        <f t="shared" si="7"/>
        <v>0</v>
      </c>
      <c r="V29" s="451">
        <f t="shared" si="7"/>
        <v>0</v>
      </c>
      <c r="W29" s="451">
        <f t="shared" si="7"/>
        <v>0</v>
      </c>
      <c r="X29" s="451">
        <f t="shared" si="7"/>
        <v>0</v>
      </c>
      <c r="Y29" s="451">
        <f t="shared" si="7"/>
        <v>0</v>
      </c>
      <c r="Z29" s="451">
        <f t="shared" si="7"/>
        <v>0</v>
      </c>
      <c r="AA29" s="451">
        <f t="shared" si="7"/>
        <v>0</v>
      </c>
      <c r="AB29" s="451">
        <f t="shared" si="7"/>
        <v>0</v>
      </c>
      <c r="AC29" s="451">
        <f t="shared" si="7"/>
        <v>0</v>
      </c>
      <c r="AD29" s="451"/>
      <c r="AE29" s="451"/>
      <c r="AF29" s="451"/>
      <c r="AG29" s="451"/>
    </row>
    <row r="30" spans="2:36">
      <c r="B30" s="444" t="s">
        <v>2</v>
      </c>
      <c r="M30" s="451">
        <f>+M68/$J$11*0.5</f>
        <v>16.830522935779801</v>
      </c>
      <c r="N30" s="451">
        <f t="shared" si="7"/>
        <v>33.661045871559601</v>
      </c>
      <c r="O30" s="451">
        <f t="shared" si="7"/>
        <v>33.661045871559601</v>
      </c>
      <c r="P30" s="451">
        <f t="shared" si="7"/>
        <v>33.661045871559601</v>
      </c>
      <c r="Q30" s="451">
        <f t="shared" si="7"/>
        <v>33.661045871559601</v>
      </c>
      <c r="R30" s="451">
        <f t="shared" si="7"/>
        <v>31.977993577981636</v>
      </c>
      <c r="S30" s="451">
        <f t="shared" si="7"/>
        <v>0</v>
      </c>
      <c r="T30" s="451">
        <f t="shared" si="7"/>
        <v>0</v>
      </c>
      <c r="U30" s="451">
        <f t="shared" si="7"/>
        <v>0</v>
      </c>
      <c r="V30" s="451">
        <f t="shared" si="7"/>
        <v>0</v>
      </c>
      <c r="W30" s="451">
        <f t="shared" si="7"/>
        <v>0</v>
      </c>
      <c r="X30" s="451">
        <f t="shared" si="7"/>
        <v>0</v>
      </c>
      <c r="Y30" s="451">
        <f t="shared" si="7"/>
        <v>0</v>
      </c>
      <c r="Z30" s="451">
        <f t="shared" si="7"/>
        <v>0</v>
      </c>
      <c r="AA30" s="451">
        <f t="shared" si="7"/>
        <v>0</v>
      </c>
      <c r="AB30" s="451">
        <f t="shared" si="7"/>
        <v>0</v>
      </c>
      <c r="AC30" s="451">
        <f t="shared" si="7"/>
        <v>0</v>
      </c>
      <c r="AD30" s="451"/>
      <c r="AE30" s="451"/>
      <c r="AF30" s="451"/>
      <c r="AG30" s="451"/>
      <c r="AH30" s="451"/>
    </row>
    <row r="31" spans="2:36">
      <c r="B31" s="444" t="s">
        <v>3</v>
      </c>
      <c r="N31" s="451">
        <f>+N69/$J$11*0.5</f>
        <v>75.138201834862315</v>
      </c>
      <c r="O31" s="451">
        <f t="shared" si="7"/>
        <v>150.27640366972463</v>
      </c>
      <c r="P31" s="451">
        <f t="shared" si="7"/>
        <v>150.27640366972463</v>
      </c>
      <c r="Q31" s="451">
        <f t="shared" si="7"/>
        <v>150.27640366972463</v>
      </c>
      <c r="R31" s="451">
        <f t="shared" si="7"/>
        <v>150.27640366972463</v>
      </c>
      <c r="S31" s="451">
        <f t="shared" si="7"/>
        <v>142.76258348623833</v>
      </c>
      <c r="T31" s="451">
        <f t="shared" si="7"/>
        <v>0</v>
      </c>
      <c r="U31" s="451">
        <f t="shared" si="7"/>
        <v>0</v>
      </c>
      <c r="V31" s="451">
        <f t="shared" si="7"/>
        <v>0</v>
      </c>
      <c r="W31" s="451">
        <f t="shared" si="7"/>
        <v>0</v>
      </c>
      <c r="X31" s="451">
        <f t="shared" si="7"/>
        <v>0</v>
      </c>
      <c r="Y31" s="451">
        <f t="shared" si="7"/>
        <v>0</v>
      </c>
      <c r="Z31" s="451">
        <f t="shared" si="7"/>
        <v>0</v>
      </c>
      <c r="AA31" s="451">
        <f t="shared" si="7"/>
        <v>0</v>
      </c>
      <c r="AB31" s="451">
        <f t="shared" si="7"/>
        <v>0</v>
      </c>
      <c r="AC31" s="451">
        <f t="shared" si="7"/>
        <v>0</v>
      </c>
      <c r="AD31" s="451"/>
      <c r="AE31" s="451"/>
      <c r="AF31" s="451"/>
      <c r="AG31" s="451"/>
      <c r="AH31" s="451"/>
      <c r="AI31" s="451"/>
    </row>
    <row r="32" spans="2:36">
      <c r="B32" s="444" t="s">
        <v>4</v>
      </c>
      <c r="O32" s="451">
        <f>+O70/$J$11*0.5</f>
        <v>40.292238532110204</v>
      </c>
      <c r="P32" s="451">
        <f t="shared" si="7"/>
        <v>80.584477064220408</v>
      </c>
      <c r="Q32" s="451">
        <f t="shared" si="7"/>
        <v>80.584477064220408</v>
      </c>
      <c r="R32" s="451">
        <f t="shared" si="7"/>
        <v>80.584477064220408</v>
      </c>
      <c r="S32" s="451">
        <f t="shared" si="7"/>
        <v>80.584477064220408</v>
      </c>
      <c r="T32" s="451">
        <f t="shared" si="7"/>
        <v>76.555253211009358</v>
      </c>
      <c r="U32" s="451">
        <f t="shared" si="7"/>
        <v>0</v>
      </c>
      <c r="V32" s="451">
        <f t="shared" si="7"/>
        <v>0</v>
      </c>
      <c r="W32" s="451">
        <f t="shared" si="7"/>
        <v>0</v>
      </c>
      <c r="X32" s="451">
        <f t="shared" si="7"/>
        <v>0</v>
      </c>
      <c r="Y32" s="451">
        <f t="shared" si="7"/>
        <v>0</v>
      </c>
      <c r="Z32" s="451">
        <f t="shared" si="7"/>
        <v>0</v>
      </c>
      <c r="AA32" s="451">
        <f t="shared" si="7"/>
        <v>0</v>
      </c>
      <c r="AB32" s="451">
        <f t="shared" si="7"/>
        <v>0</v>
      </c>
      <c r="AC32" s="451">
        <f t="shared" si="7"/>
        <v>0</v>
      </c>
      <c r="AD32" s="451"/>
      <c r="AE32" s="451"/>
      <c r="AF32" s="451"/>
      <c r="AG32" s="451"/>
      <c r="AH32" s="451"/>
      <c r="AI32" s="451"/>
      <c r="AJ32" s="451"/>
    </row>
    <row r="33" spans="2:40">
      <c r="B33" s="444" t="s">
        <v>5</v>
      </c>
      <c r="P33" s="451">
        <f>+P71/$J$11*0.5</f>
        <v>34.909752293577917</v>
      </c>
      <c r="Q33" s="451">
        <f t="shared" si="7"/>
        <v>69.819504587155834</v>
      </c>
      <c r="R33" s="451">
        <f t="shared" si="7"/>
        <v>69.819504587155834</v>
      </c>
      <c r="S33" s="451">
        <f t="shared" si="7"/>
        <v>69.819504587155834</v>
      </c>
      <c r="T33" s="451">
        <f t="shared" si="7"/>
        <v>69.819504587155834</v>
      </c>
      <c r="U33" s="451">
        <f t="shared" si="7"/>
        <v>66.328529357798061</v>
      </c>
      <c r="V33" s="451">
        <f t="shared" si="7"/>
        <v>0</v>
      </c>
      <c r="W33" s="451">
        <f t="shared" si="7"/>
        <v>0</v>
      </c>
      <c r="X33" s="451">
        <f t="shared" si="7"/>
        <v>0</v>
      </c>
      <c r="Y33" s="451">
        <f t="shared" si="7"/>
        <v>0</v>
      </c>
      <c r="Z33" s="451">
        <f t="shared" si="7"/>
        <v>0</v>
      </c>
      <c r="AA33" s="451">
        <f t="shared" si="7"/>
        <v>0</v>
      </c>
      <c r="AB33" s="451">
        <f t="shared" si="7"/>
        <v>0</v>
      </c>
      <c r="AC33" s="451">
        <f t="shared" si="7"/>
        <v>0</v>
      </c>
      <c r="AD33" s="451"/>
      <c r="AE33" s="451"/>
      <c r="AF33" s="451"/>
      <c r="AG33" s="451"/>
      <c r="AH33" s="451"/>
      <c r="AI33" s="451"/>
      <c r="AJ33" s="451"/>
      <c r="AK33" s="451"/>
    </row>
    <row r="34" spans="2:40">
      <c r="B34" s="444" t="s">
        <v>68</v>
      </c>
      <c r="Q34" s="451">
        <f>+Q72/$J$11*0.5</f>
        <v>117.85469724770637</v>
      </c>
      <c r="R34" s="451">
        <f t="shared" si="7"/>
        <v>235.70939449541274</v>
      </c>
      <c r="S34" s="451">
        <f t="shared" si="7"/>
        <v>235.70939449541274</v>
      </c>
      <c r="T34" s="451">
        <f t="shared" si="7"/>
        <v>235.70939449541274</v>
      </c>
      <c r="U34" s="451">
        <f t="shared" si="7"/>
        <v>235.70939449541274</v>
      </c>
      <c r="V34" s="451">
        <f t="shared" si="7"/>
        <v>223.92392477064209</v>
      </c>
      <c r="W34" s="451">
        <f t="shared" si="7"/>
        <v>0</v>
      </c>
      <c r="X34" s="451">
        <f t="shared" si="7"/>
        <v>0</v>
      </c>
      <c r="Y34" s="451">
        <f t="shared" si="7"/>
        <v>0</v>
      </c>
      <c r="Z34" s="451">
        <f t="shared" si="7"/>
        <v>0</v>
      </c>
      <c r="AA34" s="451">
        <f t="shared" si="7"/>
        <v>0</v>
      </c>
      <c r="AB34" s="451">
        <f t="shared" si="7"/>
        <v>0</v>
      </c>
      <c r="AC34" s="451">
        <f t="shared" si="7"/>
        <v>0</v>
      </c>
      <c r="AD34" s="451"/>
      <c r="AE34" s="451"/>
      <c r="AF34" s="451"/>
      <c r="AG34" s="451"/>
      <c r="AH34" s="451"/>
      <c r="AI34" s="451"/>
      <c r="AJ34" s="451"/>
      <c r="AK34" s="451"/>
      <c r="AL34" s="451"/>
    </row>
    <row r="35" spans="2:40">
      <c r="B35" s="444" t="s">
        <v>6</v>
      </c>
      <c r="R35" s="451">
        <f ca="1">+R73/$J$12*0.5</f>
        <v>81.75832445715065</v>
      </c>
      <c r="S35" s="451">
        <f t="shared" ref="S35:AC40" ca="1" si="8">+IF(R127&gt;0,MIN(S73/$J$12,R127),0)</f>
        <v>163.5166489143013</v>
      </c>
      <c r="T35" s="451">
        <f t="shared" ca="1" si="8"/>
        <v>163.5166489143013</v>
      </c>
      <c r="U35" s="451">
        <f t="shared" ca="1" si="8"/>
        <v>163.5166489143013</v>
      </c>
      <c r="V35" s="451">
        <f t="shared" ca="1" si="8"/>
        <v>163.5166489143013</v>
      </c>
      <c r="W35" s="451">
        <f t="shared" ca="1" si="8"/>
        <v>155.34081646858624</v>
      </c>
      <c r="X35" s="451">
        <f t="shared" ca="1" si="8"/>
        <v>0</v>
      </c>
      <c r="Y35" s="451">
        <f t="shared" ca="1" si="8"/>
        <v>0</v>
      </c>
      <c r="Z35" s="451">
        <f t="shared" ca="1" si="8"/>
        <v>0</v>
      </c>
      <c r="AA35" s="451">
        <f t="shared" ca="1" si="8"/>
        <v>0</v>
      </c>
      <c r="AB35" s="451">
        <f t="shared" ca="1" si="8"/>
        <v>0</v>
      </c>
      <c r="AC35" s="451">
        <f t="shared" ca="1" si="8"/>
        <v>0</v>
      </c>
      <c r="AD35" s="451"/>
      <c r="AE35" s="451"/>
      <c r="AF35" s="451"/>
      <c r="AG35" s="451"/>
      <c r="AH35" s="451"/>
      <c r="AI35" s="451"/>
      <c r="AJ35" s="451"/>
      <c r="AK35" s="451"/>
      <c r="AL35" s="451"/>
      <c r="AM35" s="451"/>
    </row>
    <row r="36" spans="2:40">
      <c r="B36" s="444" t="s">
        <v>22</v>
      </c>
      <c r="R36" s="451"/>
      <c r="S36" s="451">
        <f ca="1">+S74/$J$12*0.5</f>
        <v>110.5179094313857</v>
      </c>
      <c r="T36" s="451">
        <f t="shared" ca="1" si="8"/>
        <v>221.03581886277141</v>
      </c>
      <c r="U36" s="451">
        <f t="shared" ca="1" si="8"/>
        <v>221.03581886277141</v>
      </c>
      <c r="V36" s="451">
        <f t="shared" ca="1" si="8"/>
        <v>221.03581886277141</v>
      </c>
      <c r="W36" s="451">
        <f t="shared" ca="1" si="8"/>
        <v>221.03581886277141</v>
      </c>
      <c r="X36" s="451">
        <f t="shared" ca="1" si="8"/>
        <v>209.98402791963281</v>
      </c>
      <c r="Y36" s="451">
        <f t="shared" ca="1" si="8"/>
        <v>0</v>
      </c>
      <c r="Z36" s="451">
        <f t="shared" ca="1" si="8"/>
        <v>0</v>
      </c>
      <c r="AA36" s="451">
        <f t="shared" ca="1" si="8"/>
        <v>0</v>
      </c>
      <c r="AB36" s="451">
        <f t="shared" ca="1" si="8"/>
        <v>0</v>
      </c>
      <c r="AC36" s="451">
        <f t="shared" ca="1" si="8"/>
        <v>0</v>
      </c>
      <c r="AD36" s="451"/>
      <c r="AE36" s="451"/>
      <c r="AF36" s="451"/>
      <c r="AG36" s="451"/>
      <c r="AH36" s="451"/>
      <c r="AI36" s="451"/>
      <c r="AJ36" s="451"/>
      <c r="AK36" s="451"/>
      <c r="AL36" s="451"/>
      <c r="AM36" s="451"/>
      <c r="AN36" s="451"/>
    </row>
    <row r="37" spans="2:40">
      <c r="B37" s="444" t="s">
        <v>23</v>
      </c>
      <c r="R37" s="451"/>
      <c r="S37" s="451"/>
      <c r="T37" s="451">
        <f ca="1">+T75/$J$12*0.5</f>
        <v>125.3971443698354</v>
      </c>
      <c r="U37" s="451">
        <f t="shared" ca="1" si="8"/>
        <v>250.7942887396708</v>
      </c>
      <c r="V37" s="451">
        <f t="shared" ca="1" si="8"/>
        <v>250.7942887396708</v>
      </c>
      <c r="W37" s="451">
        <f t="shared" ca="1" si="8"/>
        <v>250.7942887396708</v>
      </c>
      <c r="X37" s="451">
        <f t="shared" ca="1" si="8"/>
        <v>250.7942887396708</v>
      </c>
      <c r="Y37" s="451">
        <f t="shared" ca="1" si="8"/>
        <v>238.25457430268716</v>
      </c>
      <c r="Z37" s="451">
        <f t="shared" ca="1" si="8"/>
        <v>0</v>
      </c>
      <c r="AA37" s="451">
        <f t="shared" ca="1" si="8"/>
        <v>0</v>
      </c>
      <c r="AB37" s="451">
        <f t="shared" ca="1" si="8"/>
        <v>0</v>
      </c>
      <c r="AC37" s="451">
        <f t="shared" ca="1" si="8"/>
        <v>0</v>
      </c>
      <c r="AD37" s="451"/>
      <c r="AE37" s="451"/>
      <c r="AF37" s="451"/>
      <c r="AG37" s="451"/>
      <c r="AH37" s="451"/>
      <c r="AI37" s="451"/>
      <c r="AJ37" s="451"/>
      <c r="AK37" s="451"/>
      <c r="AL37" s="451"/>
      <c r="AM37" s="451"/>
      <c r="AN37" s="451"/>
    </row>
    <row r="38" spans="2:40">
      <c r="B38" s="444" t="s">
        <v>24</v>
      </c>
      <c r="R38" s="451"/>
      <c r="S38" s="451"/>
      <c r="T38" s="451"/>
      <c r="U38" s="451">
        <f ca="1">+U76/$J$12*0.5</f>
        <v>141.24092608227033</v>
      </c>
      <c r="V38" s="451">
        <f t="shared" ca="1" si="8"/>
        <v>282.48185216454067</v>
      </c>
      <c r="W38" s="451">
        <f t="shared" ca="1" si="8"/>
        <v>282.48185216454067</v>
      </c>
      <c r="X38" s="451">
        <f t="shared" ca="1" si="8"/>
        <v>282.48185216454067</v>
      </c>
      <c r="Y38" s="451">
        <f t="shared" ca="1" si="8"/>
        <v>282.48185216454067</v>
      </c>
      <c r="Z38" s="451">
        <f t="shared" ca="1" si="8"/>
        <v>268.35775955631379</v>
      </c>
      <c r="AA38" s="451">
        <f t="shared" ca="1" si="8"/>
        <v>0</v>
      </c>
      <c r="AB38" s="451">
        <f t="shared" ca="1" si="8"/>
        <v>0</v>
      </c>
      <c r="AC38" s="451">
        <f t="shared" ca="1" si="8"/>
        <v>0</v>
      </c>
      <c r="AD38" s="451"/>
      <c r="AE38" s="451"/>
      <c r="AF38" s="451"/>
      <c r="AG38" s="451"/>
      <c r="AH38" s="451"/>
      <c r="AI38" s="451"/>
      <c r="AJ38" s="451"/>
      <c r="AK38" s="451"/>
      <c r="AL38" s="451"/>
      <c r="AM38" s="451"/>
      <c r="AN38" s="451"/>
    </row>
    <row r="39" spans="2:40">
      <c r="B39" s="444" t="s">
        <v>25</v>
      </c>
      <c r="R39" s="451"/>
      <c r="S39" s="451"/>
      <c r="T39" s="451"/>
      <c r="U39" s="451"/>
      <c r="V39" s="451">
        <f ca="1">+V77/$J$12*0.5</f>
        <v>155.89644907332504</v>
      </c>
      <c r="W39" s="451">
        <f t="shared" ca="1" si="8"/>
        <v>311.79289814665009</v>
      </c>
      <c r="X39" s="451">
        <f t="shared" ca="1" si="8"/>
        <v>311.79289814665009</v>
      </c>
      <c r="Y39" s="451">
        <f t="shared" ca="1" si="8"/>
        <v>311.79289814665009</v>
      </c>
      <c r="Z39" s="451">
        <f t="shared" ca="1" si="8"/>
        <v>311.79289814665009</v>
      </c>
      <c r="AA39" s="451">
        <f t="shared" ca="1" si="8"/>
        <v>296.20325323931775</v>
      </c>
      <c r="AB39" s="451">
        <f t="shared" ca="1" si="8"/>
        <v>0</v>
      </c>
      <c r="AC39" s="451">
        <f t="shared" ca="1" si="8"/>
        <v>0</v>
      </c>
      <c r="AD39" s="451"/>
      <c r="AE39" s="451"/>
      <c r="AF39" s="451"/>
      <c r="AG39" s="451"/>
      <c r="AH39" s="451"/>
      <c r="AI39" s="451"/>
      <c r="AJ39" s="451"/>
      <c r="AK39" s="451"/>
      <c r="AL39" s="451"/>
      <c r="AM39" s="451"/>
      <c r="AN39" s="451"/>
    </row>
    <row r="40" spans="2:40">
      <c r="B40" s="444" t="s">
        <v>26</v>
      </c>
      <c r="R40" s="451"/>
      <c r="S40" s="451"/>
      <c r="T40" s="451"/>
      <c r="U40" s="451"/>
      <c r="V40" s="451"/>
      <c r="W40" s="451">
        <f ca="1">+W78/$J$12*0.5</f>
        <v>170.4225029707772</v>
      </c>
      <c r="X40" s="451">
        <f t="shared" ca="1" si="8"/>
        <v>340.8450059415544</v>
      </c>
      <c r="Y40" s="451">
        <f t="shared" ca="1" si="8"/>
        <v>340.8450059415544</v>
      </c>
      <c r="Z40" s="451">
        <f t="shared" ca="1" si="8"/>
        <v>340.8450059415544</v>
      </c>
      <c r="AA40" s="451">
        <f t="shared" ca="1" si="8"/>
        <v>340.8450059415544</v>
      </c>
      <c r="AB40" s="451">
        <f t="shared" ca="1" si="8"/>
        <v>323.80275564447675</v>
      </c>
      <c r="AC40" s="451">
        <f t="shared" ca="1" si="8"/>
        <v>0</v>
      </c>
      <c r="AD40" s="451"/>
      <c r="AE40" s="451"/>
      <c r="AF40" s="451"/>
      <c r="AG40" s="451"/>
      <c r="AH40" s="451"/>
      <c r="AI40" s="451"/>
      <c r="AJ40" s="451"/>
      <c r="AK40" s="451"/>
      <c r="AL40" s="451"/>
      <c r="AM40" s="451"/>
      <c r="AN40" s="451"/>
    </row>
    <row r="41" spans="2:40">
      <c r="B41" s="444" t="s">
        <v>27</v>
      </c>
      <c r="R41" s="451"/>
      <c r="S41" s="451"/>
      <c r="T41" s="451"/>
      <c r="U41" s="451"/>
      <c r="V41" s="451"/>
      <c r="W41" s="451"/>
      <c r="X41" s="451">
        <f ca="1">+X79/$J$12*0.5</f>
        <v>185.23259745675261</v>
      </c>
      <c r="Y41" s="451">
        <f ca="1">+IF(X133&gt;0,MIN(Y79/$J$12,X133),0)</f>
        <v>370.46519491350523</v>
      </c>
      <c r="Z41" s="451">
        <f ca="1">+IF(Y133&gt;0,MIN(Z79/$J$12,Y133),0)</f>
        <v>370.46519491350523</v>
      </c>
      <c r="AA41" s="451">
        <f ca="1">+IF(Z133&gt;0,MIN(AA79/$J$12,Z133),0)</f>
        <v>370.46519491350523</v>
      </c>
      <c r="AB41" s="451">
        <f ca="1">+IF(AA133&gt;0,MIN(AB79/$J$12,AA133),0)</f>
        <v>370.46519491350523</v>
      </c>
      <c r="AC41" s="451">
        <f ca="1">+IF(AB133&gt;0,MIN(AC79/$J$12,AB133),0)</f>
        <v>351.94193516783002</v>
      </c>
      <c r="AD41" s="451"/>
      <c r="AE41" s="451"/>
      <c r="AF41" s="451"/>
      <c r="AG41" s="451"/>
      <c r="AH41" s="451"/>
      <c r="AI41" s="451"/>
      <c r="AJ41" s="451"/>
      <c r="AK41" s="451"/>
      <c r="AL41" s="451"/>
      <c r="AM41" s="451"/>
      <c r="AN41" s="451"/>
    </row>
    <row r="42" spans="2:40">
      <c r="B42" s="444" t="s">
        <v>38</v>
      </c>
      <c r="M42" s="477"/>
      <c r="R42" s="451"/>
      <c r="S42" s="451"/>
      <c r="T42" s="451"/>
      <c r="U42" s="451"/>
      <c r="V42" s="451"/>
      <c r="W42" s="451"/>
      <c r="X42" s="451"/>
      <c r="Y42" s="451">
        <f ca="1">+Y80/$J$12*0.5</f>
        <v>199.37314664562015</v>
      </c>
      <c r="Z42" s="451">
        <f ca="1">+IF(Y134&gt;0,MIN(Z80/$J$12,Y134),0)</f>
        <v>398.74629329124031</v>
      </c>
      <c r="AA42" s="451">
        <f ca="1">+IF(Z134&gt;0,MIN(AA80/$J$12,Z134),0)</f>
        <v>398.74629329124031</v>
      </c>
      <c r="AB42" s="451">
        <f ca="1">+IF(AA134&gt;0,MIN(AB80/$J$12,AA134),0)</f>
        <v>398.74629329124031</v>
      </c>
      <c r="AC42" s="451">
        <f ca="1">+IF(AB134&gt;0,MIN(AC80/$J$12,AB134),0)</f>
        <v>398.74629329124031</v>
      </c>
      <c r="AD42" s="451"/>
      <c r="AE42" s="451"/>
      <c r="AF42" s="451"/>
      <c r="AG42" s="451"/>
      <c r="AH42" s="451"/>
      <c r="AI42" s="451"/>
      <c r="AJ42" s="451"/>
      <c r="AK42" s="451"/>
      <c r="AL42" s="451"/>
      <c r="AM42" s="451"/>
      <c r="AN42" s="451"/>
    </row>
    <row r="43" spans="2:40">
      <c r="B43" s="444" t="s">
        <v>39</v>
      </c>
      <c r="R43" s="451"/>
      <c r="S43" s="451"/>
      <c r="T43" s="451"/>
      <c r="U43" s="451"/>
      <c r="V43" s="451"/>
      <c r="W43" s="451"/>
      <c r="X43" s="451"/>
      <c r="Y43" s="451"/>
      <c r="Z43" s="451">
        <f ca="1">+Z81/$J$12*0.5</f>
        <v>213.04750771538184</v>
      </c>
      <c r="AA43" s="451">
        <f ca="1">+IF(Z135&gt;0,MIN(AA81/$J$12,Z135),0)</f>
        <v>426.09501543076368</v>
      </c>
      <c r="AB43" s="451">
        <f ca="1">+IF(AA135&gt;0,MIN(AB81/$J$12,AA135),0)</f>
        <v>426.09501543076368</v>
      </c>
      <c r="AC43" s="451">
        <f ca="1">+IF(AB135&gt;0,MIN(AC81/$J$12,AB135),0)</f>
        <v>426.09501543076368</v>
      </c>
      <c r="AD43" s="451"/>
      <c r="AE43" s="451"/>
      <c r="AF43" s="451"/>
      <c r="AG43" s="451"/>
      <c r="AH43" s="451"/>
      <c r="AI43" s="451"/>
      <c r="AJ43" s="451"/>
      <c r="AK43" s="451"/>
      <c r="AL43" s="451"/>
      <c r="AM43" s="451"/>
      <c r="AN43" s="451"/>
    </row>
    <row r="44" spans="2:40">
      <c r="B44" s="444" t="s">
        <v>40</v>
      </c>
      <c r="R44" s="451"/>
      <c r="S44" s="451"/>
      <c r="T44" s="451"/>
      <c r="U44" s="451"/>
      <c r="V44" s="451"/>
      <c r="W44" s="451"/>
      <c r="X44" s="451"/>
      <c r="Y44" s="451"/>
      <c r="Z44" s="451"/>
      <c r="AA44" s="451">
        <f ca="1">+AA82/$J$12*0.5</f>
        <v>226.20515993137093</v>
      </c>
      <c r="AB44" s="451">
        <f ca="1">+IF(AA136&gt;0,MIN(AB82/$J$12,AA136),0)</f>
        <v>452.41031986274186</v>
      </c>
      <c r="AC44" s="451">
        <f ca="1">+IF(AB136&gt;0,MIN(AC82/$J$12,AB136),0)</f>
        <v>452.41031986274186</v>
      </c>
      <c r="AD44" s="451"/>
      <c r="AE44" s="451"/>
      <c r="AF44" s="451"/>
      <c r="AG44" s="451"/>
      <c r="AH44" s="451"/>
      <c r="AI44" s="451"/>
      <c r="AJ44" s="451"/>
      <c r="AK44" s="451"/>
      <c r="AL44" s="451"/>
      <c r="AM44" s="451"/>
      <c r="AN44" s="451"/>
    </row>
    <row r="45" spans="2:40">
      <c r="B45" s="444" t="s">
        <v>41</v>
      </c>
      <c r="R45" s="451"/>
      <c r="S45" s="451"/>
      <c r="T45" s="451"/>
      <c r="U45" s="451"/>
      <c r="V45" s="451"/>
      <c r="W45" s="451"/>
      <c r="X45" s="451"/>
      <c r="Y45" s="451"/>
      <c r="Z45" s="451"/>
      <c r="AA45" s="451"/>
      <c r="AB45" s="451">
        <f ca="1">+AB83/$J$12*0.5</f>
        <v>238.7983866911058</v>
      </c>
      <c r="AC45" s="451">
        <f ca="1">+IF(AB137&gt;0,MIN(AC83/$J$12,AB137),0)</f>
        <v>477.59677338221161</v>
      </c>
      <c r="AD45" s="451"/>
      <c r="AE45" s="451"/>
      <c r="AF45" s="451"/>
      <c r="AG45" s="451"/>
      <c r="AH45" s="451"/>
      <c r="AI45" s="451"/>
      <c r="AJ45" s="451"/>
      <c r="AK45" s="451"/>
      <c r="AL45" s="451"/>
      <c r="AM45" s="451"/>
      <c r="AN45" s="451"/>
    </row>
    <row r="46" spans="2:40">
      <c r="B46" s="444" t="s">
        <v>112</v>
      </c>
      <c r="R46" s="451"/>
      <c r="S46" s="451"/>
      <c r="T46" s="451"/>
      <c r="U46" s="451"/>
      <c r="V46" s="451"/>
      <c r="W46" s="451"/>
      <c r="X46" s="451"/>
      <c r="Y46" s="451"/>
      <c r="Z46" s="451"/>
      <c r="AA46" s="451"/>
      <c r="AB46" s="451"/>
      <c r="AC46" s="451">
        <f ca="1">+AC84/$J$12*0.5</f>
        <v>250.76458211805826</v>
      </c>
      <c r="AD46" s="451"/>
      <c r="AE46" s="451"/>
      <c r="AF46" s="451"/>
      <c r="AG46" s="451"/>
      <c r="AH46" s="451"/>
      <c r="AI46" s="451"/>
      <c r="AJ46" s="451"/>
      <c r="AK46" s="451"/>
      <c r="AL46" s="451"/>
      <c r="AM46" s="451"/>
      <c r="AN46" s="451"/>
    </row>
    <row r="47" spans="2:40" s="440" customFormat="1">
      <c r="B47" s="455" t="s">
        <v>645</v>
      </c>
      <c r="D47" s="456"/>
      <c r="E47" s="456">
        <f>+SUM(E22:E46)</f>
        <v>15.91309174311929</v>
      </c>
      <c r="F47" s="456">
        <f t="shared" ref="F47:AC47" si="9">+SUM(F22:F46)</f>
        <v>54.756678899082608</v>
      </c>
      <c r="G47" s="456">
        <f t="shared" si="9"/>
        <v>93.08089908256882</v>
      </c>
      <c r="H47" s="456">
        <f t="shared" si="9"/>
        <v>143.89943119266059</v>
      </c>
      <c r="I47" s="456">
        <f t="shared" si="9"/>
        <v>194.89273394495419</v>
      </c>
      <c r="J47" s="456">
        <f t="shared" si="9"/>
        <v>223.64150733944956</v>
      </c>
      <c r="K47" s="456">
        <f t="shared" si="9"/>
        <v>254.25917064220178</v>
      </c>
      <c r="L47" s="456">
        <f t="shared" si="9"/>
        <v>283.81744403669722</v>
      </c>
      <c r="M47" s="456">
        <f t="shared" si="9"/>
        <v>294.14899633027528</v>
      </c>
      <c r="N47" s="456">
        <f t="shared" si="9"/>
        <v>317.25373761467881</v>
      </c>
      <c r="O47" s="456">
        <f t="shared" si="9"/>
        <v>401.62687798165132</v>
      </c>
      <c r="P47" s="456">
        <f t="shared" si="9"/>
        <v>443.92545321100926</v>
      </c>
      <c r="Q47" s="456">
        <f t="shared" si="9"/>
        <v>502.15014403669721</v>
      </c>
      <c r="R47" s="456">
        <f ca="1">+SUM(R22:R46)</f>
        <v>650.12609785164591</v>
      </c>
      <c r="S47" s="456">
        <f t="shared" ca="1" si="9"/>
        <v>802.91051797871432</v>
      </c>
      <c r="T47" s="456">
        <f t="shared" ca="1" si="9"/>
        <v>892.03376444048604</v>
      </c>
      <c r="U47" s="456">
        <f t="shared" ca="1" si="9"/>
        <v>1078.6256064522247</v>
      </c>
      <c r="V47" s="456">
        <f t="shared" ca="1" si="9"/>
        <v>1297.6489825252515</v>
      </c>
      <c r="W47" s="456">
        <f t="shared" ca="1" si="9"/>
        <v>1391.8681773529966</v>
      </c>
      <c r="X47" s="456">
        <f t="shared" ca="1" si="9"/>
        <v>1581.1306703688015</v>
      </c>
      <c r="Y47" s="456">
        <f t="shared" ca="1" si="9"/>
        <v>1743.2126721145576</v>
      </c>
      <c r="Z47" s="456">
        <f t="shared" ca="1" si="9"/>
        <v>1903.2546595646459</v>
      </c>
      <c r="AA47" s="456">
        <f t="shared" ca="1" si="9"/>
        <v>2058.5599227477524</v>
      </c>
      <c r="AB47" s="456">
        <f t="shared" ca="1" si="9"/>
        <v>2210.3179658338336</v>
      </c>
      <c r="AC47" s="456">
        <f t="shared" ca="1" si="9"/>
        <v>2357.5549192528456</v>
      </c>
      <c r="AD47" s="456"/>
      <c r="AE47" s="456"/>
      <c r="AF47" s="456"/>
      <c r="AG47" s="456"/>
      <c r="AH47" s="456"/>
      <c r="AI47" s="456"/>
      <c r="AJ47" s="456"/>
      <c r="AK47" s="456"/>
      <c r="AL47" s="456"/>
      <c r="AM47" s="456"/>
      <c r="AN47" s="456"/>
    </row>
    <row r="48" spans="2:40" s="440" customFormat="1">
      <c r="B48" s="455"/>
      <c r="D48" s="456"/>
      <c r="E48" s="456"/>
      <c r="F48" s="456"/>
      <c r="G48" s="456"/>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row>
    <row r="49" spans="2:40" s="440" customFormat="1">
      <c r="B49" s="458" t="s">
        <v>35</v>
      </c>
      <c r="D49" s="456"/>
      <c r="E49" s="456"/>
      <c r="F49" s="456"/>
      <c r="G49" s="456"/>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row>
    <row r="50" spans="2:40" s="440" customFormat="1">
      <c r="B50" s="459" t="s">
        <v>646</v>
      </c>
      <c r="D50" s="460"/>
      <c r="E50" s="460">
        <f>+E162</f>
        <v>105.32719999999999</v>
      </c>
      <c r="F50" s="460">
        <f t="shared" ref="F50:Q50" si="10">+F162</f>
        <v>129.16849999999999</v>
      </c>
      <c r="G50" s="460">
        <f>+G162</f>
        <v>153.97979999999998</v>
      </c>
      <c r="H50" s="460">
        <f t="shared" si="10"/>
        <v>197.64520000000002</v>
      </c>
      <c r="I50" s="460">
        <f t="shared" si="10"/>
        <v>219.30339999999998</v>
      </c>
      <c r="J50" s="460">
        <f t="shared" si="10"/>
        <v>220.08500000000001</v>
      </c>
      <c r="K50" s="460">
        <f t="shared" si="10"/>
        <v>255.79599999999999</v>
      </c>
      <c r="L50" s="460">
        <f t="shared" si="10"/>
        <v>288.12490000000003</v>
      </c>
      <c r="M50" s="460">
        <f t="shared" si="10"/>
        <v>278.76490000000001</v>
      </c>
      <c r="N50" s="460">
        <f t="shared" si="10"/>
        <v>321.8211</v>
      </c>
      <c r="O50" s="460">
        <f t="shared" si="10"/>
        <v>411.48390000000001</v>
      </c>
      <c r="P50" s="460">
        <f t="shared" si="10"/>
        <v>425.41629999999998</v>
      </c>
      <c r="Q50" s="460">
        <f t="shared" si="10"/>
        <v>519.46619999999996</v>
      </c>
      <c r="R50" s="460"/>
      <c r="S50" s="460"/>
      <c r="T50" s="456"/>
      <c r="U50" s="456"/>
      <c r="V50" s="456"/>
      <c r="W50" s="456"/>
      <c r="X50" s="456"/>
      <c r="Y50" s="456"/>
      <c r="Z50" s="456"/>
      <c r="AA50" s="456"/>
      <c r="AB50" s="456"/>
      <c r="AC50" s="456"/>
      <c r="AD50" s="456"/>
      <c r="AE50" s="456"/>
      <c r="AF50" s="456"/>
      <c r="AG50" s="456"/>
      <c r="AH50" s="456"/>
      <c r="AI50" s="456"/>
      <c r="AJ50" s="456"/>
      <c r="AK50" s="456"/>
      <c r="AL50" s="456"/>
      <c r="AM50" s="456"/>
      <c r="AN50" s="456"/>
    </row>
    <row r="51" spans="2:40" s="440" customFormat="1">
      <c r="B51" s="461" t="s">
        <v>647</v>
      </c>
      <c r="D51" s="462"/>
      <c r="E51" s="462">
        <f t="shared" ref="E51:Q51" si="11">+E50/E47-1</f>
        <v>5.6189023289922737</v>
      </c>
      <c r="F51" s="462">
        <f t="shared" si="11"/>
        <v>1.3589542426059023</v>
      </c>
      <c r="G51" s="462">
        <f t="shared" si="11"/>
        <v>0.65425776413493675</v>
      </c>
      <c r="H51" s="462">
        <f t="shared" si="11"/>
        <v>0.37349535270491518</v>
      </c>
      <c r="I51" s="462">
        <f t="shared" si="11"/>
        <v>0.12525180164972372</v>
      </c>
      <c r="J51" s="462">
        <f t="shared" si="11"/>
        <v>-1.5902715831955905E-2</v>
      </c>
      <c r="K51" s="462">
        <f t="shared" si="11"/>
        <v>6.0443418969571283E-3</v>
      </c>
      <c r="L51" s="462">
        <f t="shared" si="11"/>
        <v>1.5176854184994593E-2</v>
      </c>
      <c r="M51" s="462">
        <f t="shared" si="11"/>
        <v>-5.2300352957865504E-2</v>
      </c>
      <c r="N51" s="462">
        <f t="shared" si="11"/>
        <v>1.439655973688958E-2</v>
      </c>
      <c r="O51" s="462">
        <f t="shared" si="11"/>
        <v>2.4542734958089563E-2</v>
      </c>
      <c r="P51" s="462">
        <f t="shared" si="11"/>
        <v>-4.1694282400633997E-2</v>
      </c>
      <c r="Q51" s="462">
        <f t="shared" si="11"/>
        <v>3.4483821560025829E-2</v>
      </c>
      <c r="R51" s="462"/>
      <c r="S51" s="462"/>
      <c r="T51" s="456"/>
      <c r="U51" s="456"/>
      <c r="V51" s="456"/>
      <c r="W51" s="456"/>
      <c r="X51" s="456"/>
      <c r="Y51" s="456"/>
      <c r="Z51" s="456"/>
      <c r="AA51" s="456"/>
      <c r="AB51" s="456"/>
      <c r="AC51" s="456"/>
      <c r="AD51" s="456"/>
      <c r="AE51" s="456"/>
      <c r="AF51" s="456"/>
      <c r="AG51" s="456"/>
      <c r="AH51" s="456"/>
      <c r="AI51" s="456"/>
      <c r="AJ51" s="456"/>
      <c r="AK51" s="456"/>
      <c r="AL51" s="456"/>
      <c r="AM51" s="456"/>
      <c r="AN51" s="456"/>
    </row>
    <row r="52" spans="2:40">
      <c r="B52" s="461" t="s">
        <v>648</v>
      </c>
      <c r="D52" s="460"/>
      <c r="E52" s="460">
        <f t="shared" ref="E52:Q52" si="12">+E50-E47</f>
        <v>89.414108256880695</v>
      </c>
      <c r="F52" s="460">
        <f t="shared" si="12"/>
        <v>74.411821100917393</v>
      </c>
      <c r="G52" s="460">
        <f t="shared" si="12"/>
        <v>60.898900917431163</v>
      </c>
      <c r="H52" s="460">
        <f t="shared" si="12"/>
        <v>53.745768807339431</v>
      </c>
      <c r="I52" s="460">
        <f t="shared" si="12"/>
        <v>24.410666055045795</v>
      </c>
      <c r="J52" s="460">
        <f t="shared" si="12"/>
        <v>-3.5565073394495528</v>
      </c>
      <c r="K52" s="460">
        <f t="shared" si="12"/>
        <v>1.5368293577982115</v>
      </c>
      <c r="L52" s="460">
        <f t="shared" si="12"/>
        <v>4.3074559633028002</v>
      </c>
      <c r="M52" s="460">
        <f t="shared" si="12"/>
        <v>-15.38409633027527</v>
      </c>
      <c r="N52" s="460">
        <f t="shared" si="12"/>
        <v>4.5673623853211893</v>
      </c>
      <c r="O52" s="460">
        <f t="shared" si="12"/>
        <v>9.8570220183486867</v>
      </c>
      <c r="P52" s="460">
        <f t="shared" si="12"/>
        <v>-18.509153211009277</v>
      </c>
      <c r="Q52" s="460">
        <f t="shared" si="12"/>
        <v>17.316055963302745</v>
      </c>
      <c r="R52" s="460"/>
      <c r="S52" s="460"/>
    </row>
    <row r="53" spans="2:40">
      <c r="D53" s="460"/>
      <c r="E53" s="460"/>
      <c r="F53" s="460"/>
      <c r="G53" s="460"/>
      <c r="H53" s="460"/>
      <c r="I53" s="460"/>
      <c r="J53" s="460"/>
      <c r="K53" s="460"/>
      <c r="L53" s="460"/>
      <c r="N53" s="460"/>
      <c r="O53" s="460"/>
      <c r="P53" s="460"/>
      <c r="Q53" s="460"/>
      <c r="R53" s="460"/>
      <c r="S53" s="460"/>
    </row>
    <row r="54" spans="2:40">
      <c r="B54" s="449" t="s">
        <v>72</v>
      </c>
      <c r="D54" s="460"/>
      <c r="E54" s="460"/>
      <c r="F54" s="460"/>
      <c r="G54" s="460"/>
      <c r="H54" s="460"/>
      <c r="I54" s="460"/>
      <c r="J54" s="460"/>
      <c r="K54" s="460"/>
      <c r="L54" s="460"/>
      <c r="M54" s="460"/>
      <c r="N54" s="460"/>
      <c r="O54" s="460"/>
      <c r="P54" s="460"/>
      <c r="Q54" s="460"/>
      <c r="R54" s="460"/>
      <c r="S54" s="460"/>
    </row>
    <row r="55" spans="2:40">
      <c r="B55" s="444" t="s">
        <v>645</v>
      </c>
      <c r="D55" s="451"/>
      <c r="E55" s="451">
        <f t="shared" ref="E55:AC55" si="13">+E47</f>
        <v>15.91309174311929</v>
      </c>
      <c r="F55" s="451">
        <f t="shared" si="13"/>
        <v>54.756678899082608</v>
      </c>
      <c r="G55" s="451">
        <f t="shared" si="13"/>
        <v>93.08089908256882</v>
      </c>
      <c r="H55" s="451">
        <f t="shared" si="13"/>
        <v>143.89943119266059</v>
      </c>
      <c r="I55" s="451">
        <f t="shared" si="13"/>
        <v>194.89273394495419</v>
      </c>
      <c r="J55" s="451">
        <f t="shared" si="13"/>
        <v>223.64150733944956</v>
      </c>
      <c r="K55" s="451">
        <f t="shared" si="13"/>
        <v>254.25917064220178</v>
      </c>
      <c r="L55" s="451">
        <f t="shared" si="13"/>
        <v>283.81744403669722</v>
      </c>
      <c r="M55" s="451">
        <f t="shared" si="13"/>
        <v>294.14899633027528</v>
      </c>
      <c r="N55" s="451">
        <f t="shared" si="13"/>
        <v>317.25373761467881</v>
      </c>
      <c r="O55" s="451">
        <f t="shared" si="13"/>
        <v>401.62687798165132</v>
      </c>
      <c r="P55" s="451">
        <f t="shared" si="13"/>
        <v>443.92545321100926</v>
      </c>
      <c r="Q55" s="451">
        <f t="shared" si="13"/>
        <v>502.15014403669721</v>
      </c>
      <c r="R55" s="451">
        <f t="shared" ca="1" si="13"/>
        <v>650.12609785164591</v>
      </c>
      <c r="S55" s="451">
        <f t="shared" ca="1" si="13"/>
        <v>802.91051797871432</v>
      </c>
      <c r="T55" s="451">
        <f t="shared" ca="1" si="13"/>
        <v>892.03376444048604</v>
      </c>
      <c r="U55" s="451">
        <f t="shared" ca="1" si="13"/>
        <v>1078.6256064522247</v>
      </c>
      <c r="V55" s="451">
        <f t="shared" ca="1" si="13"/>
        <v>1297.6489825252515</v>
      </c>
      <c r="W55" s="451">
        <f t="shared" ca="1" si="13"/>
        <v>1391.8681773529966</v>
      </c>
      <c r="X55" s="451">
        <f t="shared" ca="1" si="13"/>
        <v>1581.1306703688015</v>
      </c>
      <c r="Y55" s="451">
        <f t="shared" ca="1" si="13"/>
        <v>1743.2126721145576</v>
      </c>
      <c r="Z55" s="451">
        <f t="shared" ca="1" si="13"/>
        <v>1903.2546595646459</v>
      </c>
      <c r="AA55" s="451">
        <f t="shared" ca="1" si="13"/>
        <v>2058.5599227477524</v>
      </c>
      <c r="AB55" s="451">
        <f t="shared" ca="1" si="13"/>
        <v>2210.3179658338336</v>
      </c>
      <c r="AC55" s="451">
        <f t="shared" ca="1" si="13"/>
        <v>2357.5549192528456</v>
      </c>
    </row>
    <row r="56" spans="2:40" ht="13.5">
      <c r="B56" s="444" t="s">
        <v>649</v>
      </c>
      <c r="D56" s="463"/>
      <c r="E56" s="454">
        <f>(107681.5-105327.2)/1000</f>
        <v>2.3543000000000029</v>
      </c>
      <c r="F56" s="463">
        <v>2.1808000000000001</v>
      </c>
      <c r="G56" s="463">
        <v>2.202</v>
      </c>
      <c r="H56" s="463">
        <v>2.6063000000000001</v>
      </c>
      <c r="I56" s="463">
        <v>3.2021999999999999</v>
      </c>
      <c r="J56" s="463">
        <v>3.7434000000000003</v>
      </c>
      <c r="K56" s="463">
        <v>4.3467000000000002</v>
      </c>
      <c r="L56" s="463">
        <v>4.4213999999999993</v>
      </c>
      <c r="M56" s="463">
        <v>5.4723999999999995</v>
      </c>
      <c r="N56" s="463">
        <v>7.1861999999999995</v>
      </c>
      <c r="O56" s="463">
        <v>8.2072000000000003</v>
      </c>
      <c r="P56" s="463">
        <v>8.7561</v>
      </c>
      <c r="Q56" s="463">
        <v>9.2582000000000004</v>
      </c>
      <c r="R56" s="454">
        <f ca="1">Q56/Q55*R55</f>
        <v>11.986449691609048</v>
      </c>
      <c r="S56" s="454">
        <f t="shared" ref="S56:AC56" ca="1" si="14">R56/R55*S55</f>
        <v>14.803353630039567</v>
      </c>
      <c r="T56" s="454">
        <f t="shared" ca="1" si="14"/>
        <v>16.446529182593178</v>
      </c>
      <c r="U56" s="454">
        <f t="shared" ca="1" si="14"/>
        <v>19.886744449337844</v>
      </c>
      <c r="V56" s="454">
        <f t="shared" ca="1" si="14"/>
        <v>23.924903642240729</v>
      </c>
      <c r="W56" s="454">
        <f t="shared" ca="1" si="14"/>
        <v>25.662033781330127</v>
      </c>
      <c r="X56" s="454">
        <f t="shared" ca="1" si="14"/>
        <v>29.15148814801228</v>
      </c>
      <c r="Y56" s="454">
        <f t="shared" ca="1" si="14"/>
        <v>32.139812668841046</v>
      </c>
      <c r="Z56" s="454">
        <f t="shared" ca="1" si="14"/>
        <v>35.090525211307479</v>
      </c>
      <c r="AA56" s="454">
        <f t="shared" ca="1" si="14"/>
        <v>37.953906223295718</v>
      </c>
      <c r="AB56" s="454">
        <f t="shared" ca="1" si="14"/>
        <v>40.751886730091869</v>
      </c>
      <c r="AC56" s="454">
        <f t="shared" ca="1" si="14"/>
        <v>43.466511386346632</v>
      </c>
    </row>
    <row r="57" spans="2:40" s="440" customFormat="1">
      <c r="B57" s="455" t="s">
        <v>650</v>
      </c>
      <c r="D57" s="456"/>
      <c r="E57" s="456">
        <f t="shared" ref="E57:AC57" si="15">SUM(E55:E56)</f>
        <v>18.267391743119294</v>
      </c>
      <c r="F57" s="456">
        <f t="shared" si="15"/>
        <v>56.937478899082606</v>
      </c>
      <c r="G57" s="456">
        <f t="shared" si="15"/>
        <v>95.282899082568818</v>
      </c>
      <c r="H57" s="456">
        <f t="shared" si="15"/>
        <v>146.50573119266059</v>
      </c>
      <c r="I57" s="456">
        <f t="shared" si="15"/>
        <v>198.09493394495419</v>
      </c>
      <c r="J57" s="456">
        <f t="shared" si="15"/>
        <v>227.38490733944957</v>
      </c>
      <c r="K57" s="456">
        <f t="shared" si="15"/>
        <v>258.60587064220181</v>
      </c>
      <c r="L57" s="456">
        <f t="shared" si="15"/>
        <v>288.23884403669723</v>
      </c>
      <c r="M57" s="456">
        <f t="shared" si="15"/>
        <v>299.62139633027527</v>
      </c>
      <c r="N57" s="456">
        <f t="shared" si="15"/>
        <v>324.4399376146788</v>
      </c>
      <c r="O57" s="456">
        <f t="shared" si="15"/>
        <v>409.83407798165132</v>
      </c>
      <c r="P57" s="456">
        <f t="shared" si="15"/>
        <v>452.68155321100926</v>
      </c>
      <c r="Q57" s="456">
        <f t="shared" si="15"/>
        <v>511.4083440366972</v>
      </c>
      <c r="R57" s="456">
        <f t="shared" ca="1" si="15"/>
        <v>662.112547543255</v>
      </c>
      <c r="S57" s="456">
        <f t="shared" ca="1" si="15"/>
        <v>817.71387160875383</v>
      </c>
      <c r="T57" s="456">
        <f t="shared" ca="1" si="15"/>
        <v>908.48029362307921</v>
      </c>
      <c r="U57" s="456">
        <f t="shared" ca="1" si="15"/>
        <v>1098.5123509015625</v>
      </c>
      <c r="V57" s="456">
        <f t="shared" ca="1" si="15"/>
        <v>1321.5738861674922</v>
      </c>
      <c r="W57" s="456">
        <f t="shared" ca="1" si="15"/>
        <v>1417.5302111343267</v>
      </c>
      <c r="X57" s="456">
        <f t="shared" ca="1" si="15"/>
        <v>1610.2821585168138</v>
      </c>
      <c r="Y57" s="456">
        <f t="shared" ca="1" si="15"/>
        <v>1775.3524847833987</v>
      </c>
      <c r="Z57" s="456">
        <f t="shared" ca="1" si="15"/>
        <v>1938.3451847759534</v>
      </c>
      <c r="AA57" s="456">
        <f t="shared" ca="1" si="15"/>
        <v>2096.513828971048</v>
      </c>
      <c r="AB57" s="456">
        <f t="shared" ca="1" si="15"/>
        <v>2251.0698525639255</v>
      </c>
      <c r="AC57" s="456">
        <f t="shared" ca="1" si="15"/>
        <v>2401.0214306391922</v>
      </c>
    </row>
    <row r="58" spans="2:40" hidden="1" outlineLevel="1">
      <c r="B58" s="461"/>
      <c r="P58" s="451"/>
      <c r="Q58" s="451"/>
      <c r="R58" s="451"/>
    </row>
    <row r="59" spans="2:40" hidden="1" outlineLevel="1">
      <c r="B59" s="449" t="s">
        <v>680</v>
      </c>
    </row>
    <row r="60" spans="2:40" hidden="1" outlineLevel="1">
      <c r="B60" s="444" t="s">
        <v>172</v>
      </c>
      <c r="E60" s="451">
        <f>+E$19</f>
        <v>173.45270000000028</v>
      </c>
      <c r="F60" s="451">
        <f>+E60</f>
        <v>173.45270000000028</v>
      </c>
      <c r="G60" s="451">
        <f t="shared" ref="G60:V66" si="16">+F60</f>
        <v>173.45270000000028</v>
      </c>
      <c r="H60" s="451">
        <f t="shared" si="16"/>
        <v>173.45270000000028</v>
      </c>
      <c r="I60" s="451">
        <f t="shared" si="16"/>
        <v>173.45270000000028</v>
      </c>
      <c r="J60" s="451">
        <f t="shared" si="16"/>
        <v>173.45270000000028</v>
      </c>
      <c r="K60" s="451">
        <f t="shared" si="16"/>
        <v>173.45270000000028</v>
      </c>
      <c r="L60" s="451">
        <f t="shared" si="16"/>
        <v>173.45270000000028</v>
      </c>
      <c r="M60" s="451">
        <f t="shared" si="16"/>
        <v>173.45270000000028</v>
      </c>
      <c r="N60" s="451">
        <f t="shared" si="16"/>
        <v>173.45270000000028</v>
      </c>
      <c r="O60" s="451">
        <f t="shared" si="16"/>
        <v>173.45270000000028</v>
      </c>
      <c r="P60" s="451">
        <f t="shared" si="16"/>
        <v>173.45270000000028</v>
      </c>
      <c r="Q60" s="451">
        <f t="shared" si="16"/>
        <v>173.45270000000028</v>
      </c>
      <c r="R60" s="451">
        <f t="shared" si="16"/>
        <v>173.45270000000028</v>
      </c>
      <c r="S60" s="451">
        <f t="shared" si="16"/>
        <v>173.45270000000028</v>
      </c>
      <c r="T60" s="451">
        <f t="shared" si="16"/>
        <v>173.45270000000028</v>
      </c>
      <c r="U60" s="451">
        <f t="shared" si="16"/>
        <v>173.45270000000028</v>
      </c>
      <c r="V60" s="451">
        <f t="shared" si="16"/>
        <v>173.45270000000028</v>
      </c>
      <c r="W60" s="451">
        <f t="shared" ref="N60:AC75" si="17">+V60</f>
        <v>173.45270000000028</v>
      </c>
      <c r="X60" s="451">
        <f t="shared" si="17"/>
        <v>173.45270000000028</v>
      </c>
      <c r="Y60" s="451">
        <f t="shared" si="17"/>
        <v>173.45270000000028</v>
      </c>
      <c r="Z60" s="451">
        <f t="shared" si="17"/>
        <v>173.45270000000028</v>
      </c>
      <c r="AA60" s="451">
        <f t="shared" si="17"/>
        <v>173.45270000000028</v>
      </c>
      <c r="AB60" s="451">
        <f t="shared" si="17"/>
        <v>173.45270000000028</v>
      </c>
      <c r="AC60" s="451">
        <f t="shared" si="17"/>
        <v>173.45270000000028</v>
      </c>
    </row>
    <row r="61" spans="2:40" hidden="1" outlineLevel="1">
      <c r="B61" s="444" t="s">
        <v>153</v>
      </c>
      <c r="F61" s="451">
        <f>+F$19</f>
        <v>249.94239999999991</v>
      </c>
      <c r="G61" s="451">
        <f>+F61</f>
        <v>249.94239999999991</v>
      </c>
      <c r="H61" s="451">
        <f t="shared" si="16"/>
        <v>249.94239999999991</v>
      </c>
      <c r="I61" s="451">
        <f t="shared" si="16"/>
        <v>249.94239999999991</v>
      </c>
      <c r="J61" s="451">
        <f t="shared" si="16"/>
        <v>249.94239999999991</v>
      </c>
      <c r="K61" s="451">
        <f t="shared" si="16"/>
        <v>249.94239999999991</v>
      </c>
      <c r="L61" s="451">
        <f t="shared" si="16"/>
        <v>249.94239999999991</v>
      </c>
      <c r="M61" s="451">
        <f t="shared" si="16"/>
        <v>249.94239999999991</v>
      </c>
      <c r="N61" s="451">
        <f t="shared" si="16"/>
        <v>249.94239999999991</v>
      </c>
      <c r="O61" s="451">
        <f t="shared" si="16"/>
        <v>249.94239999999991</v>
      </c>
      <c r="P61" s="451">
        <f t="shared" si="17"/>
        <v>249.94239999999991</v>
      </c>
      <c r="Q61" s="451">
        <f t="shared" si="17"/>
        <v>249.94239999999991</v>
      </c>
      <c r="R61" s="451">
        <f t="shared" si="17"/>
        <v>249.94239999999991</v>
      </c>
      <c r="S61" s="451">
        <f t="shared" si="17"/>
        <v>249.94239999999991</v>
      </c>
      <c r="T61" s="451">
        <f t="shared" si="17"/>
        <v>249.94239999999991</v>
      </c>
      <c r="U61" s="451">
        <f t="shared" si="17"/>
        <v>249.94239999999991</v>
      </c>
      <c r="V61" s="451">
        <f t="shared" si="17"/>
        <v>249.94239999999991</v>
      </c>
      <c r="W61" s="451">
        <f t="shared" si="17"/>
        <v>249.94239999999991</v>
      </c>
      <c r="X61" s="451">
        <f t="shared" si="17"/>
        <v>249.94239999999991</v>
      </c>
      <c r="Y61" s="451">
        <f t="shared" si="17"/>
        <v>249.94239999999991</v>
      </c>
      <c r="Z61" s="451">
        <f t="shared" si="17"/>
        <v>249.94239999999991</v>
      </c>
      <c r="AA61" s="451">
        <f t="shared" si="17"/>
        <v>249.94239999999991</v>
      </c>
      <c r="AB61" s="451">
        <f t="shared" si="17"/>
        <v>249.94239999999991</v>
      </c>
      <c r="AC61" s="451">
        <f t="shared" si="17"/>
        <v>249.94239999999991</v>
      </c>
    </row>
    <row r="62" spans="2:40" hidden="1" outlineLevel="1">
      <c r="B62" s="444" t="s">
        <v>152</v>
      </c>
      <c r="G62" s="451">
        <f>+G$19</f>
        <v>167.79159999999979</v>
      </c>
      <c r="H62" s="451">
        <f>+G62</f>
        <v>167.79159999999979</v>
      </c>
      <c r="I62" s="451">
        <f t="shared" si="16"/>
        <v>167.79159999999979</v>
      </c>
      <c r="J62" s="451">
        <f t="shared" si="16"/>
        <v>167.79159999999979</v>
      </c>
      <c r="K62" s="451">
        <f t="shared" si="16"/>
        <v>167.79159999999979</v>
      </c>
      <c r="L62" s="451">
        <f t="shared" si="16"/>
        <v>167.79159999999979</v>
      </c>
      <c r="M62" s="451">
        <f t="shared" si="16"/>
        <v>167.79159999999979</v>
      </c>
      <c r="N62" s="451">
        <f t="shared" si="16"/>
        <v>167.79159999999979</v>
      </c>
      <c r="O62" s="451">
        <f t="shared" si="16"/>
        <v>167.79159999999979</v>
      </c>
      <c r="P62" s="451">
        <f t="shared" si="17"/>
        <v>167.79159999999979</v>
      </c>
      <c r="Q62" s="451">
        <f t="shared" si="17"/>
        <v>167.79159999999979</v>
      </c>
      <c r="R62" s="451">
        <f t="shared" si="17"/>
        <v>167.79159999999979</v>
      </c>
      <c r="S62" s="451">
        <f t="shared" si="17"/>
        <v>167.79159999999979</v>
      </c>
      <c r="T62" s="451">
        <f t="shared" si="17"/>
        <v>167.79159999999979</v>
      </c>
      <c r="U62" s="451">
        <f t="shared" si="17"/>
        <v>167.79159999999979</v>
      </c>
      <c r="V62" s="451">
        <f t="shared" si="17"/>
        <v>167.79159999999979</v>
      </c>
      <c r="W62" s="451">
        <f t="shared" si="17"/>
        <v>167.79159999999979</v>
      </c>
      <c r="X62" s="451">
        <f t="shared" si="17"/>
        <v>167.79159999999979</v>
      </c>
      <c r="Y62" s="451">
        <f t="shared" si="17"/>
        <v>167.79159999999979</v>
      </c>
      <c r="Z62" s="451">
        <f t="shared" si="17"/>
        <v>167.79159999999979</v>
      </c>
      <c r="AA62" s="451">
        <f t="shared" si="17"/>
        <v>167.79159999999979</v>
      </c>
      <c r="AB62" s="451">
        <f t="shared" si="17"/>
        <v>167.79159999999979</v>
      </c>
      <c r="AC62" s="451">
        <f t="shared" si="17"/>
        <v>167.79159999999979</v>
      </c>
    </row>
    <row r="63" spans="2:40" hidden="1" outlineLevel="1">
      <c r="B63" s="444" t="s">
        <v>151</v>
      </c>
      <c r="H63" s="451">
        <f>+H$19</f>
        <v>386.13040000000046</v>
      </c>
      <c r="I63" s="451">
        <f>+H63</f>
        <v>386.13040000000046</v>
      </c>
      <c r="J63" s="451">
        <f t="shared" si="16"/>
        <v>386.13040000000046</v>
      </c>
      <c r="K63" s="451">
        <f t="shared" si="16"/>
        <v>386.13040000000046</v>
      </c>
      <c r="L63" s="451">
        <f t="shared" si="16"/>
        <v>386.13040000000046</v>
      </c>
      <c r="M63" s="451">
        <f t="shared" si="16"/>
        <v>386.13040000000046</v>
      </c>
      <c r="N63" s="451">
        <f t="shared" si="16"/>
        <v>386.13040000000046</v>
      </c>
      <c r="O63" s="451">
        <f t="shared" si="16"/>
        <v>386.13040000000046</v>
      </c>
      <c r="P63" s="451">
        <f t="shared" si="17"/>
        <v>386.13040000000046</v>
      </c>
      <c r="Q63" s="451">
        <f t="shared" si="17"/>
        <v>386.13040000000046</v>
      </c>
      <c r="R63" s="451">
        <f t="shared" si="17"/>
        <v>386.13040000000046</v>
      </c>
      <c r="S63" s="451">
        <f t="shared" si="17"/>
        <v>386.13040000000046</v>
      </c>
      <c r="T63" s="451">
        <f t="shared" si="17"/>
        <v>386.13040000000046</v>
      </c>
      <c r="U63" s="451">
        <f t="shared" si="17"/>
        <v>386.13040000000046</v>
      </c>
      <c r="V63" s="451">
        <f t="shared" si="17"/>
        <v>386.13040000000046</v>
      </c>
      <c r="W63" s="451">
        <f t="shared" si="17"/>
        <v>386.13040000000046</v>
      </c>
      <c r="X63" s="451">
        <f t="shared" si="17"/>
        <v>386.13040000000046</v>
      </c>
      <c r="Y63" s="451">
        <f t="shared" si="17"/>
        <v>386.13040000000046</v>
      </c>
      <c r="Z63" s="451">
        <f t="shared" si="17"/>
        <v>386.13040000000046</v>
      </c>
      <c r="AA63" s="451">
        <f t="shared" si="17"/>
        <v>386.13040000000046</v>
      </c>
      <c r="AB63" s="451">
        <f t="shared" si="17"/>
        <v>386.13040000000046</v>
      </c>
      <c r="AC63" s="451">
        <f t="shared" si="17"/>
        <v>386.13040000000046</v>
      </c>
    </row>
    <row r="64" spans="2:40" hidden="1" outlineLevel="1">
      <c r="B64" s="444" t="s">
        <v>150</v>
      </c>
      <c r="I64" s="451">
        <f>+I$19</f>
        <v>169.69659999999976</v>
      </c>
      <c r="J64" s="451">
        <f>+I64</f>
        <v>169.69659999999976</v>
      </c>
      <c r="K64" s="451">
        <f t="shared" si="16"/>
        <v>169.69659999999976</v>
      </c>
      <c r="L64" s="451">
        <f t="shared" si="16"/>
        <v>169.69659999999976</v>
      </c>
      <c r="M64" s="451">
        <f t="shared" si="16"/>
        <v>169.69659999999976</v>
      </c>
      <c r="N64" s="451">
        <f t="shared" si="16"/>
        <v>169.69659999999976</v>
      </c>
      <c r="O64" s="451">
        <f t="shared" si="16"/>
        <v>169.69659999999976</v>
      </c>
      <c r="P64" s="451">
        <f t="shared" si="17"/>
        <v>169.69659999999976</v>
      </c>
      <c r="Q64" s="451">
        <f t="shared" si="17"/>
        <v>169.69659999999976</v>
      </c>
      <c r="R64" s="451">
        <f t="shared" si="17"/>
        <v>169.69659999999976</v>
      </c>
      <c r="S64" s="451">
        <f t="shared" si="17"/>
        <v>169.69659999999976</v>
      </c>
      <c r="T64" s="451">
        <f t="shared" si="17"/>
        <v>169.69659999999976</v>
      </c>
      <c r="U64" s="451">
        <f t="shared" si="17"/>
        <v>169.69659999999976</v>
      </c>
      <c r="V64" s="451">
        <f t="shared" si="17"/>
        <v>169.69659999999976</v>
      </c>
      <c r="W64" s="451">
        <f t="shared" si="17"/>
        <v>169.69659999999976</v>
      </c>
      <c r="X64" s="451">
        <f t="shared" si="17"/>
        <v>169.69659999999976</v>
      </c>
      <c r="Y64" s="451">
        <f t="shared" si="17"/>
        <v>169.69659999999976</v>
      </c>
      <c r="Z64" s="451">
        <f t="shared" si="17"/>
        <v>169.69659999999976</v>
      </c>
      <c r="AA64" s="451">
        <f t="shared" si="17"/>
        <v>169.69659999999976</v>
      </c>
      <c r="AB64" s="451">
        <f t="shared" si="17"/>
        <v>169.69659999999976</v>
      </c>
      <c r="AC64" s="451">
        <f t="shared" si="17"/>
        <v>169.69659999999976</v>
      </c>
      <c r="AD64" s="451"/>
    </row>
    <row r="65" spans="2:40" hidden="1" outlineLevel="1">
      <c r="B65" s="444" t="s">
        <v>10</v>
      </c>
      <c r="J65" s="451">
        <f>+J$19</f>
        <v>161.01029999999992</v>
      </c>
      <c r="K65" s="451">
        <f>+J65</f>
        <v>161.01029999999992</v>
      </c>
      <c r="L65" s="451">
        <f t="shared" si="16"/>
        <v>161.01029999999992</v>
      </c>
      <c r="M65" s="451">
        <f t="shared" si="16"/>
        <v>161.01029999999992</v>
      </c>
      <c r="N65" s="451">
        <f t="shared" si="16"/>
        <v>161.01029999999992</v>
      </c>
      <c r="O65" s="451">
        <f t="shared" si="16"/>
        <v>161.01029999999992</v>
      </c>
      <c r="P65" s="451">
        <f t="shared" si="17"/>
        <v>161.01029999999992</v>
      </c>
      <c r="Q65" s="451">
        <f t="shared" si="17"/>
        <v>161.01029999999992</v>
      </c>
      <c r="R65" s="451">
        <f t="shared" si="17"/>
        <v>161.01029999999992</v>
      </c>
      <c r="S65" s="451">
        <f t="shared" si="17"/>
        <v>161.01029999999992</v>
      </c>
      <c r="T65" s="451">
        <f t="shared" si="17"/>
        <v>161.01029999999992</v>
      </c>
      <c r="U65" s="451">
        <f t="shared" si="17"/>
        <v>161.01029999999992</v>
      </c>
      <c r="V65" s="451">
        <f t="shared" si="17"/>
        <v>161.01029999999992</v>
      </c>
      <c r="W65" s="451">
        <f t="shared" si="17"/>
        <v>161.01029999999992</v>
      </c>
      <c r="X65" s="451">
        <f t="shared" si="17"/>
        <v>161.01029999999992</v>
      </c>
      <c r="Y65" s="451">
        <f t="shared" si="17"/>
        <v>161.01029999999992</v>
      </c>
      <c r="Z65" s="451">
        <f t="shared" si="17"/>
        <v>161.01029999999992</v>
      </c>
      <c r="AA65" s="451">
        <f t="shared" si="17"/>
        <v>161.01029999999992</v>
      </c>
      <c r="AB65" s="451">
        <f t="shared" si="17"/>
        <v>161.01029999999992</v>
      </c>
      <c r="AC65" s="451">
        <f t="shared" si="17"/>
        <v>161.01029999999992</v>
      </c>
      <c r="AD65" s="451"/>
      <c r="AE65" s="451"/>
    </row>
    <row r="66" spans="2:40" hidden="1" outlineLevel="1">
      <c r="B66" s="444" t="s">
        <v>11</v>
      </c>
      <c r="K66" s="451">
        <f>+K$19</f>
        <v>527.27659999999969</v>
      </c>
      <c r="L66" s="451">
        <f>+K66</f>
        <v>527.27659999999969</v>
      </c>
      <c r="M66" s="451">
        <f t="shared" si="16"/>
        <v>527.27659999999969</v>
      </c>
      <c r="N66" s="451">
        <f t="shared" si="16"/>
        <v>527.27659999999969</v>
      </c>
      <c r="O66" s="451">
        <f t="shared" si="16"/>
        <v>527.27659999999969</v>
      </c>
      <c r="P66" s="451">
        <f t="shared" si="16"/>
        <v>527.27659999999969</v>
      </c>
      <c r="Q66" s="451">
        <f t="shared" si="16"/>
        <v>527.27659999999969</v>
      </c>
      <c r="R66" s="451">
        <f t="shared" si="16"/>
        <v>527.27659999999969</v>
      </c>
      <c r="S66" s="451">
        <f t="shared" si="16"/>
        <v>527.27659999999969</v>
      </c>
      <c r="T66" s="451">
        <f t="shared" si="16"/>
        <v>527.27659999999969</v>
      </c>
      <c r="U66" s="451">
        <f t="shared" si="16"/>
        <v>527.27659999999969</v>
      </c>
      <c r="V66" s="451">
        <f t="shared" si="16"/>
        <v>527.27659999999969</v>
      </c>
      <c r="W66" s="451">
        <f t="shared" si="17"/>
        <v>527.27659999999969</v>
      </c>
      <c r="X66" s="451">
        <f t="shared" si="17"/>
        <v>527.27659999999969</v>
      </c>
      <c r="Y66" s="451">
        <f t="shared" si="17"/>
        <v>527.27659999999969</v>
      </c>
      <c r="Z66" s="451">
        <f t="shared" si="17"/>
        <v>527.27659999999969</v>
      </c>
      <c r="AA66" s="451">
        <f t="shared" si="17"/>
        <v>527.27659999999969</v>
      </c>
      <c r="AB66" s="451">
        <f t="shared" si="17"/>
        <v>527.27659999999969</v>
      </c>
      <c r="AC66" s="451">
        <f t="shared" si="17"/>
        <v>527.27659999999969</v>
      </c>
      <c r="AD66" s="451"/>
      <c r="AE66" s="451"/>
      <c r="AF66" s="451"/>
    </row>
    <row r="67" spans="2:40" hidden="1" outlineLevel="1">
      <c r="B67" s="444" t="s">
        <v>1</v>
      </c>
      <c r="L67" s="451">
        <f>+L$19</f>
        <v>286.57830000000058</v>
      </c>
      <c r="M67" s="451">
        <f>+L67</f>
        <v>286.57830000000058</v>
      </c>
      <c r="N67" s="451">
        <f t="shared" si="17"/>
        <v>286.57830000000058</v>
      </c>
      <c r="O67" s="451">
        <f t="shared" si="17"/>
        <v>286.57830000000058</v>
      </c>
      <c r="P67" s="451">
        <f t="shared" si="17"/>
        <v>286.57830000000058</v>
      </c>
      <c r="Q67" s="451">
        <f t="shared" si="17"/>
        <v>286.57830000000058</v>
      </c>
      <c r="R67" s="451">
        <f t="shared" si="17"/>
        <v>286.57830000000058</v>
      </c>
      <c r="S67" s="451">
        <f t="shared" si="17"/>
        <v>286.57830000000058</v>
      </c>
      <c r="T67" s="451">
        <f t="shared" si="17"/>
        <v>286.57830000000058</v>
      </c>
      <c r="U67" s="451">
        <f t="shared" si="17"/>
        <v>286.57830000000058</v>
      </c>
      <c r="V67" s="451">
        <f t="shared" si="17"/>
        <v>286.57830000000058</v>
      </c>
      <c r="W67" s="451">
        <f t="shared" si="17"/>
        <v>286.57830000000058</v>
      </c>
      <c r="X67" s="451">
        <f t="shared" si="17"/>
        <v>286.57830000000058</v>
      </c>
      <c r="Y67" s="451">
        <f t="shared" si="17"/>
        <v>286.57830000000058</v>
      </c>
      <c r="Z67" s="451">
        <f t="shared" si="17"/>
        <v>286.57830000000058</v>
      </c>
      <c r="AA67" s="451">
        <f t="shared" si="17"/>
        <v>286.57830000000058</v>
      </c>
      <c r="AB67" s="451">
        <f t="shared" si="17"/>
        <v>286.57830000000058</v>
      </c>
      <c r="AC67" s="451">
        <f t="shared" si="17"/>
        <v>286.57830000000058</v>
      </c>
      <c r="AD67" s="451"/>
      <c r="AE67" s="451"/>
      <c r="AF67" s="451"/>
      <c r="AG67" s="451"/>
    </row>
    <row r="68" spans="2:40" hidden="1" outlineLevel="1">
      <c r="B68" s="444" t="s">
        <v>2</v>
      </c>
      <c r="M68" s="451">
        <f>+M$19</f>
        <v>183.45269999999982</v>
      </c>
      <c r="N68" s="451">
        <f>+M68</f>
        <v>183.45269999999982</v>
      </c>
      <c r="O68" s="451">
        <f t="shared" si="17"/>
        <v>183.45269999999982</v>
      </c>
      <c r="P68" s="451">
        <f t="shared" si="17"/>
        <v>183.45269999999982</v>
      </c>
      <c r="Q68" s="451">
        <f t="shared" si="17"/>
        <v>183.45269999999982</v>
      </c>
      <c r="R68" s="451">
        <f t="shared" si="17"/>
        <v>183.45269999999982</v>
      </c>
      <c r="S68" s="451">
        <f t="shared" si="17"/>
        <v>183.45269999999982</v>
      </c>
      <c r="T68" s="451">
        <f t="shared" si="17"/>
        <v>183.45269999999982</v>
      </c>
      <c r="U68" s="451">
        <f t="shared" si="17"/>
        <v>183.45269999999982</v>
      </c>
      <c r="V68" s="451">
        <f t="shared" si="17"/>
        <v>183.45269999999982</v>
      </c>
      <c r="W68" s="451">
        <f t="shared" si="17"/>
        <v>183.45269999999982</v>
      </c>
      <c r="X68" s="451">
        <f t="shared" si="17"/>
        <v>183.45269999999982</v>
      </c>
      <c r="Y68" s="451">
        <f t="shared" si="17"/>
        <v>183.45269999999982</v>
      </c>
      <c r="Z68" s="451">
        <f t="shared" si="17"/>
        <v>183.45269999999982</v>
      </c>
      <c r="AA68" s="451">
        <f t="shared" si="17"/>
        <v>183.45269999999982</v>
      </c>
      <c r="AB68" s="451">
        <f t="shared" si="17"/>
        <v>183.45269999999982</v>
      </c>
      <c r="AC68" s="451">
        <f t="shared" si="17"/>
        <v>183.45269999999982</v>
      </c>
      <c r="AD68" s="451"/>
      <c r="AE68" s="451"/>
      <c r="AF68" s="451"/>
      <c r="AG68" s="451"/>
      <c r="AH68" s="451"/>
    </row>
    <row r="69" spans="2:40" hidden="1" outlineLevel="1">
      <c r="B69" s="444" t="s">
        <v>3</v>
      </c>
      <c r="N69" s="451">
        <f>+N$19</f>
        <v>819.0063999999993</v>
      </c>
      <c r="O69" s="451">
        <f>+N69</f>
        <v>819.0063999999993</v>
      </c>
      <c r="P69" s="451">
        <f t="shared" si="17"/>
        <v>819.0063999999993</v>
      </c>
      <c r="Q69" s="451">
        <f t="shared" si="17"/>
        <v>819.0063999999993</v>
      </c>
      <c r="R69" s="451">
        <f t="shared" si="17"/>
        <v>819.0063999999993</v>
      </c>
      <c r="S69" s="451">
        <f t="shared" si="17"/>
        <v>819.0063999999993</v>
      </c>
      <c r="T69" s="451">
        <f t="shared" si="17"/>
        <v>819.0063999999993</v>
      </c>
      <c r="U69" s="451">
        <f t="shared" si="17"/>
        <v>819.0063999999993</v>
      </c>
      <c r="V69" s="451">
        <f t="shared" si="17"/>
        <v>819.0063999999993</v>
      </c>
      <c r="W69" s="451">
        <f t="shared" si="17"/>
        <v>819.0063999999993</v>
      </c>
      <c r="X69" s="451">
        <f t="shared" si="17"/>
        <v>819.0063999999993</v>
      </c>
      <c r="Y69" s="451">
        <f t="shared" si="17"/>
        <v>819.0063999999993</v>
      </c>
      <c r="Z69" s="451">
        <f t="shared" si="17"/>
        <v>819.0063999999993</v>
      </c>
      <c r="AA69" s="451">
        <f t="shared" si="17"/>
        <v>819.0063999999993</v>
      </c>
      <c r="AB69" s="451">
        <f t="shared" si="17"/>
        <v>819.0063999999993</v>
      </c>
      <c r="AC69" s="451">
        <f t="shared" si="17"/>
        <v>819.0063999999993</v>
      </c>
      <c r="AD69" s="451"/>
      <c r="AE69" s="451"/>
      <c r="AF69" s="451"/>
      <c r="AG69" s="451"/>
      <c r="AH69" s="451"/>
      <c r="AI69" s="451"/>
    </row>
    <row r="70" spans="2:40" hidden="1" outlineLevel="1">
      <c r="B70" s="444" t="s">
        <v>4</v>
      </c>
      <c r="O70" s="451">
        <f>+O$19</f>
        <v>439.18540000000121</v>
      </c>
      <c r="P70" s="451">
        <f>+O70</f>
        <v>439.18540000000121</v>
      </c>
      <c r="Q70" s="451">
        <f t="shared" si="17"/>
        <v>439.18540000000121</v>
      </c>
      <c r="R70" s="451">
        <f t="shared" si="17"/>
        <v>439.18540000000121</v>
      </c>
      <c r="S70" s="451">
        <f t="shared" si="17"/>
        <v>439.18540000000121</v>
      </c>
      <c r="T70" s="451">
        <f t="shared" si="17"/>
        <v>439.18540000000121</v>
      </c>
      <c r="U70" s="451">
        <f t="shared" si="17"/>
        <v>439.18540000000121</v>
      </c>
      <c r="V70" s="451">
        <f t="shared" si="17"/>
        <v>439.18540000000121</v>
      </c>
      <c r="W70" s="451">
        <f t="shared" si="17"/>
        <v>439.18540000000121</v>
      </c>
      <c r="X70" s="451">
        <f t="shared" si="17"/>
        <v>439.18540000000121</v>
      </c>
      <c r="Y70" s="451">
        <f t="shared" si="17"/>
        <v>439.18540000000121</v>
      </c>
      <c r="Z70" s="451">
        <f t="shared" si="17"/>
        <v>439.18540000000121</v>
      </c>
      <c r="AA70" s="451">
        <f t="shared" si="17"/>
        <v>439.18540000000121</v>
      </c>
      <c r="AB70" s="451">
        <f t="shared" si="17"/>
        <v>439.18540000000121</v>
      </c>
      <c r="AC70" s="451">
        <f t="shared" si="17"/>
        <v>439.18540000000121</v>
      </c>
      <c r="AD70" s="451"/>
      <c r="AE70" s="451"/>
      <c r="AF70" s="451"/>
      <c r="AG70" s="451"/>
      <c r="AH70" s="451"/>
      <c r="AI70" s="451"/>
      <c r="AJ70" s="451"/>
    </row>
    <row r="71" spans="2:40" hidden="1" outlineLevel="1">
      <c r="B71" s="444" t="s">
        <v>5</v>
      </c>
      <c r="P71" s="451">
        <f>+P$19</f>
        <v>380.51629999999932</v>
      </c>
      <c r="Q71" s="451">
        <f>+P71</f>
        <v>380.51629999999932</v>
      </c>
      <c r="R71" s="451">
        <f t="shared" si="17"/>
        <v>380.51629999999932</v>
      </c>
      <c r="S71" s="451">
        <f t="shared" si="17"/>
        <v>380.51629999999932</v>
      </c>
      <c r="T71" s="451">
        <f t="shared" si="17"/>
        <v>380.51629999999932</v>
      </c>
      <c r="U71" s="451">
        <f t="shared" si="17"/>
        <v>380.51629999999932</v>
      </c>
      <c r="V71" s="451">
        <f t="shared" si="17"/>
        <v>380.51629999999932</v>
      </c>
      <c r="W71" s="451">
        <f t="shared" si="17"/>
        <v>380.51629999999932</v>
      </c>
      <c r="X71" s="451">
        <f t="shared" si="17"/>
        <v>380.51629999999932</v>
      </c>
      <c r="Y71" s="451">
        <f t="shared" si="17"/>
        <v>380.51629999999932</v>
      </c>
      <c r="Z71" s="451">
        <f t="shared" si="17"/>
        <v>380.51629999999932</v>
      </c>
      <c r="AA71" s="451">
        <f t="shared" si="17"/>
        <v>380.51629999999932</v>
      </c>
      <c r="AB71" s="451">
        <f t="shared" si="17"/>
        <v>380.51629999999932</v>
      </c>
      <c r="AC71" s="451">
        <f t="shared" si="17"/>
        <v>380.51629999999932</v>
      </c>
      <c r="AD71" s="451"/>
      <c r="AE71" s="451"/>
      <c r="AF71" s="451"/>
      <c r="AG71" s="451"/>
      <c r="AH71" s="451"/>
      <c r="AI71" s="451"/>
      <c r="AJ71" s="451"/>
      <c r="AK71" s="451"/>
    </row>
    <row r="72" spans="2:40" hidden="1" outlineLevel="1">
      <c r="B72" s="444" t="s">
        <v>68</v>
      </c>
      <c r="Q72" s="451">
        <f>+Q$19</f>
        <v>1284.6161999999995</v>
      </c>
      <c r="R72" s="451">
        <f>+Q72</f>
        <v>1284.6161999999995</v>
      </c>
      <c r="S72" s="451">
        <f t="shared" si="17"/>
        <v>1284.6161999999995</v>
      </c>
      <c r="T72" s="451">
        <f t="shared" si="17"/>
        <v>1284.6161999999995</v>
      </c>
      <c r="U72" s="451">
        <f t="shared" si="17"/>
        <v>1284.6161999999995</v>
      </c>
      <c r="V72" s="451">
        <f t="shared" si="17"/>
        <v>1284.6161999999995</v>
      </c>
      <c r="W72" s="451">
        <f t="shared" si="17"/>
        <v>1284.6161999999995</v>
      </c>
      <c r="X72" s="451">
        <f t="shared" si="17"/>
        <v>1284.6161999999995</v>
      </c>
      <c r="Y72" s="451">
        <f t="shared" si="17"/>
        <v>1284.6161999999995</v>
      </c>
      <c r="Z72" s="451">
        <f t="shared" si="17"/>
        <v>1284.6161999999995</v>
      </c>
      <c r="AA72" s="451">
        <f t="shared" si="17"/>
        <v>1284.6161999999995</v>
      </c>
      <c r="AB72" s="451">
        <f t="shared" si="17"/>
        <v>1284.6161999999995</v>
      </c>
      <c r="AC72" s="451">
        <f t="shared" si="17"/>
        <v>1284.6161999999995</v>
      </c>
      <c r="AD72" s="451"/>
      <c r="AE72" s="451"/>
      <c r="AF72" s="451"/>
      <c r="AG72" s="451"/>
      <c r="AH72" s="451"/>
      <c r="AI72" s="451"/>
      <c r="AJ72" s="451"/>
      <c r="AK72" s="451"/>
      <c r="AL72" s="451"/>
    </row>
    <row r="73" spans="2:40" hidden="1" outlineLevel="1">
      <c r="B73" s="444" t="s">
        <v>6</v>
      </c>
      <c r="R73" s="451">
        <f ca="1">+R$19</f>
        <v>891.16573658294215</v>
      </c>
      <c r="S73" s="451">
        <f ca="1">+R73</f>
        <v>891.16573658294215</v>
      </c>
      <c r="T73" s="451">
        <f t="shared" ca="1" si="17"/>
        <v>891.16573658294215</v>
      </c>
      <c r="U73" s="451">
        <f t="shared" ca="1" si="17"/>
        <v>891.16573658294215</v>
      </c>
      <c r="V73" s="451">
        <f t="shared" ca="1" si="17"/>
        <v>891.16573658294215</v>
      </c>
      <c r="W73" s="451">
        <f t="shared" ca="1" si="17"/>
        <v>891.16573658294215</v>
      </c>
      <c r="X73" s="451">
        <f t="shared" ca="1" si="17"/>
        <v>891.16573658294215</v>
      </c>
      <c r="Y73" s="451">
        <f t="shared" ca="1" si="17"/>
        <v>891.16573658294215</v>
      </c>
      <c r="Z73" s="451">
        <f t="shared" ca="1" si="17"/>
        <v>891.16573658294215</v>
      </c>
      <c r="AA73" s="451">
        <f t="shared" ca="1" si="17"/>
        <v>891.16573658294215</v>
      </c>
      <c r="AB73" s="451">
        <f t="shared" ca="1" si="17"/>
        <v>891.16573658294215</v>
      </c>
      <c r="AC73" s="451">
        <f t="shared" ca="1" si="17"/>
        <v>891.16573658294215</v>
      </c>
      <c r="AD73" s="451"/>
      <c r="AE73" s="451"/>
      <c r="AF73" s="451"/>
      <c r="AG73" s="451"/>
      <c r="AH73" s="451"/>
      <c r="AI73" s="451"/>
      <c r="AJ73" s="451"/>
      <c r="AK73" s="451"/>
      <c r="AL73" s="451"/>
      <c r="AM73" s="451"/>
    </row>
    <row r="74" spans="2:40" hidden="1" outlineLevel="1">
      <c r="B74" s="444" t="s">
        <v>22</v>
      </c>
      <c r="S74" s="451">
        <f ca="1">+S$19</f>
        <v>1204.6452128021042</v>
      </c>
      <c r="T74" s="451">
        <f ca="1">+S74</f>
        <v>1204.6452128021042</v>
      </c>
      <c r="U74" s="451">
        <f t="shared" ca="1" si="17"/>
        <v>1204.6452128021042</v>
      </c>
      <c r="V74" s="451">
        <f t="shared" ca="1" si="17"/>
        <v>1204.6452128021042</v>
      </c>
      <c r="W74" s="451">
        <f t="shared" ca="1" si="17"/>
        <v>1204.6452128021042</v>
      </c>
      <c r="X74" s="451">
        <f t="shared" ca="1" si="17"/>
        <v>1204.6452128021042</v>
      </c>
      <c r="Y74" s="451">
        <f t="shared" ca="1" si="17"/>
        <v>1204.6452128021042</v>
      </c>
      <c r="Z74" s="451">
        <f t="shared" ca="1" si="17"/>
        <v>1204.6452128021042</v>
      </c>
      <c r="AA74" s="451">
        <f t="shared" ca="1" si="17"/>
        <v>1204.6452128021042</v>
      </c>
      <c r="AB74" s="451">
        <f t="shared" ca="1" si="17"/>
        <v>1204.6452128021042</v>
      </c>
      <c r="AC74" s="451">
        <f t="shared" ca="1" si="17"/>
        <v>1204.6452128021042</v>
      </c>
      <c r="AD74" s="451"/>
      <c r="AE74" s="451"/>
      <c r="AF74" s="451"/>
      <c r="AG74" s="451"/>
      <c r="AH74" s="451"/>
      <c r="AI74" s="451"/>
      <c r="AJ74" s="451"/>
      <c r="AK74" s="451"/>
      <c r="AL74" s="451"/>
      <c r="AM74" s="451"/>
      <c r="AN74" s="451"/>
    </row>
    <row r="75" spans="2:40" hidden="1" outlineLevel="1">
      <c r="B75" s="444" t="s">
        <v>23</v>
      </c>
      <c r="S75" s="451"/>
      <c r="T75" s="451">
        <f ca="1">+T$19</f>
        <v>1366.8288736312059</v>
      </c>
      <c r="U75" s="451">
        <f ca="1">+T75</f>
        <v>1366.8288736312059</v>
      </c>
      <c r="V75" s="451">
        <f t="shared" ca="1" si="17"/>
        <v>1366.8288736312059</v>
      </c>
      <c r="W75" s="451">
        <f t="shared" ca="1" si="17"/>
        <v>1366.8288736312059</v>
      </c>
      <c r="X75" s="451">
        <f t="shared" ca="1" si="17"/>
        <v>1366.8288736312059</v>
      </c>
      <c r="Y75" s="451">
        <f t="shared" ca="1" si="17"/>
        <v>1366.8288736312059</v>
      </c>
      <c r="Z75" s="451">
        <f t="shared" ca="1" si="17"/>
        <v>1366.8288736312059</v>
      </c>
      <c r="AA75" s="451">
        <f t="shared" ca="1" si="17"/>
        <v>1366.8288736312059</v>
      </c>
      <c r="AB75" s="451">
        <f t="shared" ca="1" si="17"/>
        <v>1366.8288736312059</v>
      </c>
      <c r="AC75" s="451">
        <f t="shared" ca="1" si="17"/>
        <v>1366.8288736312059</v>
      </c>
      <c r="AD75" s="451"/>
      <c r="AE75" s="451"/>
      <c r="AF75" s="451"/>
      <c r="AG75" s="451"/>
      <c r="AH75" s="451"/>
      <c r="AI75" s="451"/>
      <c r="AJ75" s="451"/>
      <c r="AK75" s="451"/>
      <c r="AL75" s="451"/>
      <c r="AM75" s="451"/>
      <c r="AN75" s="451"/>
    </row>
    <row r="76" spans="2:40" hidden="1" outlineLevel="1">
      <c r="B76" s="444" t="s">
        <v>24</v>
      </c>
      <c r="S76" s="451"/>
      <c r="T76" s="451"/>
      <c r="U76" s="451">
        <f ca="1">+U$19</f>
        <v>1539.5260942967468</v>
      </c>
      <c r="V76" s="451">
        <f ca="1">+U76</f>
        <v>1539.5260942967468</v>
      </c>
      <c r="W76" s="451">
        <f t="shared" ref="W76:AC81" ca="1" si="18">+V76</f>
        <v>1539.5260942967468</v>
      </c>
      <c r="X76" s="451">
        <f t="shared" ca="1" si="18"/>
        <v>1539.5260942967468</v>
      </c>
      <c r="Y76" s="451">
        <f t="shared" ca="1" si="18"/>
        <v>1539.5260942967468</v>
      </c>
      <c r="Z76" s="451">
        <f t="shared" ca="1" si="18"/>
        <v>1539.5260942967468</v>
      </c>
      <c r="AA76" s="451">
        <f t="shared" ca="1" si="18"/>
        <v>1539.5260942967468</v>
      </c>
      <c r="AB76" s="451">
        <f t="shared" ca="1" si="18"/>
        <v>1539.5260942967468</v>
      </c>
      <c r="AC76" s="451">
        <f t="shared" ca="1" si="18"/>
        <v>1539.5260942967468</v>
      </c>
      <c r="AD76" s="451"/>
      <c r="AE76" s="451"/>
      <c r="AF76" s="451"/>
      <c r="AG76" s="451"/>
      <c r="AH76" s="451"/>
      <c r="AI76" s="451"/>
      <c r="AJ76" s="451"/>
      <c r="AK76" s="451"/>
      <c r="AL76" s="451"/>
      <c r="AM76" s="451"/>
      <c r="AN76" s="451"/>
    </row>
    <row r="77" spans="2:40" hidden="1" outlineLevel="1">
      <c r="B77" s="444" t="s">
        <v>25</v>
      </c>
      <c r="S77" s="451"/>
      <c r="T77" s="451"/>
      <c r="U77" s="451"/>
      <c r="V77" s="451">
        <f ca="1">+V$19</f>
        <v>1699.271294899243</v>
      </c>
      <c r="W77" s="451">
        <f ca="1">+V77</f>
        <v>1699.271294899243</v>
      </c>
      <c r="X77" s="451">
        <f t="shared" ca="1" si="18"/>
        <v>1699.271294899243</v>
      </c>
      <c r="Y77" s="451">
        <f t="shared" ca="1" si="18"/>
        <v>1699.271294899243</v>
      </c>
      <c r="Z77" s="451">
        <f t="shared" ca="1" si="18"/>
        <v>1699.271294899243</v>
      </c>
      <c r="AA77" s="451">
        <f t="shared" ca="1" si="18"/>
        <v>1699.271294899243</v>
      </c>
      <c r="AB77" s="451">
        <f t="shared" ca="1" si="18"/>
        <v>1699.271294899243</v>
      </c>
      <c r="AC77" s="451">
        <f t="shared" ca="1" si="18"/>
        <v>1699.271294899243</v>
      </c>
      <c r="AD77" s="451"/>
      <c r="AE77" s="451"/>
      <c r="AF77" s="451"/>
      <c r="AG77" s="451"/>
      <c r="AH77" s="451"/>
      <c r="AI77" s="451"/>
      <c r="AJ77" s="451"/>
      <c r="AK77" s="451"/>
      <c r="AL77" s="451"/>
      <c r="AM77" s="451"/>
      <c r="AN77" s="451"/>
    </row>
    <row r="78" spans="2:40" hidden="1" outlineLevel="1">
      <c r="B78" s="444" t="s">
        <v>26</v>
      </c>
      <c r="S78" s="451"/>
      <c r="T78" s="451"/>
      <c r="U78" s="451"/>
      <c r="V78" s="451"/>
      <c r="W78" s="451">
        <f ca="1">+W$19</f>
        <v>1857.6052823814716</v>
      </c>
      <c r="X78" s="451">
        <f ca="1">+W78</f>
        <v>1857.6052823814716</v>
      </c>
      <c r="Y78" s="451">
        <f t="shared" ca="1" si="18"/>
        <v>1857.6052823814716</v>
      </c>
      <c r="Z78" s="451">
        <f t="shared" ca="1" si="18"/>
        <v>1857.6052823814716</v>
      </c>
      <c r="AA78" s="451">
        <f t="shared" ca="1" si="18"/>
        <v>1857.6052823814716</v>
      </c>
      <c r="AB78" s="451">
        <f t="shared" ca="1" si="18"/>
        <v>1857.6052823814716</v>
      </c>
      <c r="AC78" s="451">
        <f t="shared" ca="1" si="18"/>
        <v>1857.6052823814716</v>
      </c>
      <c r="AD78" s="451"/>
      <c r="AE78" s="451"/>
      <c r="AF78" s="451"/>
      <c r="AG78" s="451"/>
      <c r="AH78" s="451"/>
      <c r="AI78" s="451"/>
      <c r="AJ78" s="451"/>
      <c r="AK78" s="451"/>
      <c r="AL78" s="451"/>
      <c r="AM78" s="451"/>
      <c r="AN78" s="451"/>
    </row>
    <row r="79" spans="2:40" hidden="1" outlineLevel="1">
      <c r="B79" s="444" t="s">
        <v>27</v>
      </c>
      <c r="S79" s="451"/>
      <c r="T79" s="451"/>
      <c r="U79" s="451"/>
      <c r="V79" s="451"/>
      <c r="W79" s="451"/>
      <c r="X79" s="451">
        <f ca="1">+X$19</f>
        <v>2019.0353122786037</v>
      </c>
      <c r="Y79" s="451">
        <f ca="1">+X79</f>
        <v>2019.0353122786037</v>
      </c>
      <c r="Z79" s="451">
        <f t="shared" ca="1" si="18"/>
        <v>2019.0353122786037</v>
      </c>
      <c r="AA79" s="451">
        <f t="shared" ca="1" si="18"/>
        <v>2019.0353122786037</v>
      </c>
      <c r="AB79" s="451">
        <f t="shared" ca="1" si="18"/>
        <v>2019.0353122786037</v>
      </c>
      <c r="AC79" s="451">
        <f t="shared" ca="1" si="18"/>
        <v>2019.0353122786037</v>
      </c>
      <c r="AD79" s="451"/>
      <c r="AE79" s="451"/>
      <c r="AF79" s="451"/>
      <c r="AG79" s="451"/>
      <c r="AH79" s="451"/>
      <c r="AI79" s="451"/>
      <c r="AJ79" s="451"/>
      <c r="AK79" s="451"/>
      <c r="AL79" s="451"/>
      <c r="AM79" s="451"/>
      <c r="AN79" s="451"/>
    </row>
    <row r="80" spans="2:40" hidden="1" outlineLevel="1">
      <c r="B80" s="444" t="s">
        <v>38</v>
      </c>
      <c r="S80" s="451"/>
      <c r="T80" s="451"/>
      <c r="U80" s="451"/>
      <c r="V80" s="451"/>
      <c r="W80" s="451"/>
      <c r="X80" s="451"/>
      <c r="Y80" s="451">
        <f ca="1">+Y$19</f>
        <v>2173.1672984372599</v>
      </c>
      <c r="Z80" s="451">
        <f ca="1">+Y80</f>
        <v>2173.1672984372599</v>
      </c>
      <c r="AA80" s="451">
        <f t="shared" ca="1" si="18"/>
        <v>2173.1672984372599</v>
      </c>
      <c r="AB80" s="451">
        <f t="shared" ca="1" si="18"/>
        <v>2173.1672984372599</v>
      </c>
      <c r="AC80" s="451">
        <f t="shared" ca="1" si="18"/>
        <v>2173.1672984372599</v>
      </c>
      <c r="AD80" s="451"/>
      <c r="AE80" s="451"/>
      <c r="AF80" s="451"/>
      <c r="AG80" s="451"/>
      <c r="AH80" s="451"/>
      <c r="AI80" s="451"/>
      <c r="AJ80" s="451"/>
      <c r="AK80" s="451"/>
      <c r="AL80" s="451"/>
      <c r="AM80" s="451"/>
      <c r="AN80" s="451"/>
    </row>
    <row r="81" spans="2:40" hidden="1" outlineLevel="1">
      <c r="B81" s="444" t="s">
        <v>39</v>
      </c>
      <c r="S81" s="451"/>
      <c r="T81" s="451"/>
      <c r="U81" s="451"/>
      <c r="V81" s="451"/>
      <c r="W81" s="451"/>
      <c r="X81" s="451"/>
      <c r="Y81" s="451"/>
      <c r="Z81" s="451">
        <f ca="1">+Z$19</f>
        <v>2322.217834097662</v>
      </c>
      <c r="AA81" s="451">
        <f ca="1">+Z81</f>
        <v>2322.217834097662</v>
      </c>
      <c r="AB81" s="451">
        <f t="shared" ca="1" si="18"/>
        <v>2322.217834097662</v>
      </c>
      <c r="AC81" s="451">
        <f t="shared" ca="1" si="18"/>
        <v>2322.217834097662</v>
      </c>
      <c r="AD81" s="451"/>
      <c r="AE81" s="451"/>
      <c r="AF81" s="451"/>
      <c r="AG81" s="451"/>
      <c r="AH81" s="451"/>
      <c r="AI81" s="451"/>
      <c r="AJ81" s="451"/>
      <c r="AK81" s="451"/>
      <c r="AL81" s="451"/>
      <c r="AM81" s="451"/>
      <c r="AN81" s="451"/>
    </row>
    <row r="82" spans="2:40" hidden="1" outlineLevel="1">
      <c r="B82" s="444" t="s">
        <v>40</v>
      </c>
      <c r="S82" s="451"/>
      <c r="T82" s="451"/>
      <c r="U82" s="451"/>
      <c r="V82" s="451"/>
      <c r="W82" s="451"/>
      <c r="X82" s="451"/>
      <c r="Y82" s="451"/>
      <c r="Z82" s="451"/>
      <c r="AA82" s="451">
        <f ca="1">+AA$19</f>
        <v>2465.6362432519431</v>
      </c>
      <c r="AB82" s="451">
        <f ca="1">+AA82</f>
        <v>2465.6362432519431</v>
      </c>
      <c r="AC82" s="451">
        <f ca="1">+AB82</f>
        <v>2465.6362432519431</v>
      </c>
      <c r="AD82" s="451"/>
      <c r="AE82" s="451"/>
      <c r="AF82" s="451"/>
      <c r="AG82" s="451"/>
      <c r="AH82" s="451"/>
      <c r="AI82" s="451"/>
      <c r="AJ82" s="451"/>
      <c r="AK82" s="451"/>
      <c r="AL82" s="451"/>
      <c r="AM82" s="451"/>
      <c r="AN82" s="451"/>
    </row>
    <row r="83" spans="2:40" hidden="1" outlineLevel="1">
      <c r="B83" s="444" t="s">
        <v>41</v>
      </c>
      <c r="S83" s="451"/>
      <c r="T83" s="451"/>
      <c r="U83" s="451"/>
      <c r="V83" s="451"/>
      <c r="W83" s="451"/>
      <c r="X83" s="451"/>
      <c r="Y83" s="451"/>
      <c r="Z83" s="451"/>
      <c r="AA83" s="451"/>
      <c r="AB83" s="451">
        <f ca="1">+AB$19</f>
        <v>2602.9024149330535</v>
      </c>
      <c r="AC83" s="451">
        <f ca="1">+AB83</f>
        <v>2602.9024149330535</v>
      </c>
      <c r="AD83" s="451"/>
      <c r="AE83" s="451"/>
      <c r="AF83" s="451"/>
      <c r="AG83" s="451"/>
      <c r="AH83" s="451"/>
      <c r="AI83" s="451"/>
      <c r="AJ83" s="451"/>
      <c r="AK83" s="451"/>
      <c r="AL83" s="451"/>
      <c r="AM83" s="451"/>
      <c r="AN83" s="451"/>
    </row>
    <row r="84" spans="2:40" hidden="1" outlineLevel="1">
      <c r="B84" s="444" t="s">
        <v>112</v>
      </c>
      <c r="S84" s="451"/>
      <c r="T84" s="451"/>
      <c r="U84" s="451"/>
      <c r="V84" s="451"/>
      <c r="W84" s="451"/>
      <c r="X84" s="451"/>
      <c r="Y84" s="451"/>
      <c r="Z84" s="451"/>
      <c r="AA84" s="451"/>
      <c r="AB84" s="451"/>
      <c r="AC84" s="451">
        <f ca="1">+AC$19</f>
        <v>2733.3339450868352</v>
      </c>
      <c r="AD84" s="451"/>
      <c r="AE84" s="451"/>
      <c r="AF84" s="451"/>
      <c r="AG84" s="451"/>
      <c r="AH84" s="451"/>
      <c r="AI84" s="451"/>
      <c r="AJ84" s="451"/>
      <c r="AK84" s="451"/>
      <c r="AL84" s="451"/>
      <c r="AM84" s="451"/>
      <c r="AN84" s="451"/>
    </row>
    <row r="85" spans="2:40" hidden="1" outlineLevel="1"/>
    <row r="86" spans="2:40" hidden="1" outlineLevel="1">
      <c r="B86" s="449" t="s">
        <v>672</v>
      </c>
    </row>
    <row r="87" spans="2:40" hidden="1" outlineLevel="1">
      <c r="B87" s="444" t="s">
        <v>172</v>
      </c>
      <c r="E87" s="451">
        <f>+SUM($D22:E22)</f>
        <v>15.91309174311929</v>
      </c>
      <c r="F87" s="451">
        <f>+SUM($D22:F22)</f>
        <v>47.739275229357872</v>
      </c>
      <c r="G87" s="451">
        <f>+SUM($D22:G22)</f>
        <v>79.565458715596449</v>
      </c>
      <c r="H87" s="451">
        <f>+SUM($D22:H22)</f>
        <v>111.39164220183503</v>
      </c>
      <c r="I87" s="451">
        <f>+SUM($D22:I22)</f>
        <v>143.21782568807362</v>
      </c>
      <c r="J87" s="451">
        <f>+SUM($D22:J22)</f>
        <v>173.45270000000028</v>
      </c>
      <c r="K87" s="451">
        <f>+SUM($D22:K22)</f>
        <v>173.45270000000028</v>
      </c>
      <c r="L87" s="451">
        <f>+SUM($D22:L22)</f>
        <v>173.45270000000028</v>
      </c>
      <c r="M87" s="451">
        <f>+SUM($D22:M22)</f>
        <v>173.45270000000028</v>
      </c>
      <c r="N87" s="451">
        <f>+SUM($D22:N22)</f>
        <v>173.45270000000028</v>
      </c>
      <c r="O87" s="451">
        <f>+SUM($D22:O22)</f>
        <v>173.45270000000028</v>
      </c>
      <c r="P87" s="451">
        <f>+SUM($D22:P22)</f>
        <v>173.45270000000028</v>
      </c>
      <c r="Q87" s="451">
        <f>+SUM($D22:Q22)</f>
        <v>173.45270000000028</v>
      </c>
      <c r="R87" s="451">
        <f>+SUM($D22:R22)</f>
        <v>173.45270000000028</v>
      </c>
      <c r="S87" s="451">
        <f>+SUM($D22:S22)</f>
        <v>173.45270000000028</v>
      </c>
      <c r="T87" s="451">
        <f>+SUM($D22:T22)</f>
        <v>173.45270000000028</v>
      </c>
      <c r="U87" s="451">
        <f>+SUM($D22:U22)</f>
        <v>173.45270000000028</v>
      </c>
      <c r="V87" s="451">
        <f>+SUM($D22:V22)</f>
        <v>173.45270000000028</v>
      </c>
      <c r="W87" s="451">
        <f>+SUM($D22:W22)</f>
        <v>173.45270000000028</v>
      </c>
      <c r="X87" s="451">
        <f>+SUM($D22:X22)</f>
        <v>173.45270000000028</v>
      </c>
      <c r="Y87" s="451">
        <f>+SUM($D22:Y22)</f>
        <v>173.45270000000028</v>
      </c>
      <c r="Z87" s="451">
        <f>+SUM($D22:Z22)</f>
        <v>173.45270000000028</v>
      </c>
      <c r="AA87" s="451">
        <f>+SUM($D22:AA22)</f>
        <v>173.45270000000028</v>
      </c>
      <c r="AB87" s="451">
        <f>+SUM($D22:AB22)</f>
        <v>173.45270000000028</v>
      </c>
      <c r="AC87" s="451">
        <f>+SUM($D22:AC22)</f>
        <v>173.45270000000028</v>
      </c>
    </row>
    <row r="88" spans="2:40" hidden="1" outlineLevel="1">
      <c r="B88" s="444" t="s">
        <v>153</v>
      </c>
      <c r="F88" s="451">
        <f>+SUM($D23:F23)</f>
        <v>22.930495412844028</v>
      </c>
      <c r="G88" s="451">
        <f>+SUM($D23:G23)</f>
        <v>68.791486238532087</v>
      </c>
      <c r="H88" s="451">
        <f>+SUM($D23:H23)</f>
        <v>114.65247706422014</v>
      </c>
      <c r="I88" s="451">
        <f>+SUM($D23:I23)</f>
        <v>160.51346788990818</v>
      </c>
      <c r="J88" s="451">
        <f>+SUM($D23:J23)</f>
        <v>206.37445871559623</v>
      </c>
      <c r="K88" s="451">
        <f>+SUM($D23:K23)</f>
        <v>249.94239999999991</v>
      </c>
      <c r="L88" s="451">
        <f>+SUM($D23:L23)</f>
        <v>249.94239999999991</v>
      </c>
      <c r="M88" s="451">
        <f>+SUM($D23:M23)</f>
        <v>249.94239999999991</v>
      </c>
      <c r="N88" s="451">
        <f>+SUM($D23:N23)</f>
        <v>249.94239999999991</v>
      </c>
      <c r="O88" s="451">
        <f>+SUM($D23:O23)</f>
        <v>249.94239999999991</v>
      </c>
      <c r="P88" s="451">
        <f>+SUM($D23:P23)</f>
        <v>249.94239999999991</v>
      </c>
      <c r="Q88" s="451">
        <f>+SUM($D23:Q23)</f>
        <v>249.94239999999991</v>
      </c>
      <c r="R88" s="451">
        <f>+SUM($D23:R23)</f>
        <v>249.94239999999991</v>
      </c>
      <c r="S88" s="451">
        <f>+SUM($D23:S23)</f>
        <v>249.94239999999991</v>
      </c>
      <c r="T88" s="451">
        <f>+SUM($D23:T23)</f>
        <v>249.94239999999991</v>
      </c>
      <c r="U88" s="451">
        <f>+SUM($D23:U23)</f>
        <v>249.94239999999991</v>
      </c>
      <c r="V88" s="451">
        <f>+SUM($D23:V23)</f>
        <v>249.94239999999991</v>
      </c>
      <c r="W88" s="451">
        <f>+SUM($D23:W23)</f>
        <v>249.94239999999991</v>
      </c>
      <c r="X88" s="451">
        <f>+SUM($D23:X23)</f>
        <v>249.94239999999991</v>
      </c>
      <c r="Y88" s="451">
        <f>+SUM($D23:Y23)</f>
        <v>249.94239999999991</v>
      </c>
      <c r="Z88" s="451">
        <f>+SUM($D23:Z23)</f>
        <v>249.94239999999991</v>
      </c>
      <c r="AA88" s="451">
        <f>+SUM($D23:AA23)</f>
        <v>249.94239999999991</v>
      </c>
      <c r="AB88" s="451">
        <f>+SUM($D23:AB23)</f>
        <v>249.94239999999991</v>
      </c>
      <c r="AC88" s="451">
        <f>+SUM($D23:AC23)</f>
        <v>249.94239999999991</v>
      </c>
    </row>
    <row r="89" spans="2:40" hidden="1" outlineLevel="1">
      <c r="B89" s="444" t="s">
        <v>152</v>
      </c>
      <c r="G89" s="451">
        <f>+SUM($D24:G24)</f>
        <v>15.393724770642182</v>
      </c>
      <c r="H89" s="451">
        <f>+SUM($D24:H24)</f>
        <v>46.181174311926547</v>
      </c>
      <c r="I89" s="451">
        <f>+SUM($D24:I24)</f>
        <v>76.968623853210914</v>
      </c>
      <c r="J89" s="451">
        <f>+SUM($D24:J24)</f>
        <v>107.75607339449527</v>
      </c>
      <c r="K89" s="451">
        <f>+SUM($D24:K24)</f>
        <v>138.54352293577963</v>
      </c>
      <c r="L89" s="451">
        <f>+SUM($D24:L24)</f>
        <v>167.79159999999979</v>
      </c>
      <c r="M89" s="451">
        <f>+SUM($D24:M24)</f>
        <v>167.79159999999979</v>
      </c>
      <c r="N89" s="451">
        <f>+SUM($D24:N24)</f>
        <v>167.79159999999979</v>
      </c>
      <c r="O89" s="451">
        <f>+SUM($D24:O24)</f>
        <v>167.79159999999979</v>
      </c>
      <c r="P89" s="451">
        <f>+SUM($D24:P24)</f>
        <v>167.79159999999979</v>
      </c>
      <c r="Q89" s="451">
        <f>+SUM($D24:Q24)</f>
        <v>167.79159999999979</v>
      </c>
      <c r="R89" s="451">
        <f>+SUM($D24:R24)</f>
        <v>167.79159999999979</v>
      </c>
      <c r="S89" s="451">
        <f>+SUM($D24:S24)</f>
        <v>167.79159999999979</v>
      </c>
      <c r="T89" s="451">
        <f>+SUM($D24:T24)</f>
        <v>167.79159999999979</v>
      </c>
      <c r="U89" s="451">
        <f>+SUM($D24:U24)</f>
        <v>167.79159999999979</v>
      </c>
      <c r="V89" s="451">
        <f>+SUM($D24:V24)</f>
        <v>167.79159999999979</v>
      </c>
      <c r="W89" s="451">
        <f>+SUM($D24:W24)</f>
        <v>167.79159999999979</v>
      </c>
      <c r="X89" s="451">
        <f>+SUM($D24:X24)</f>
        <v>167.79159999999979</v>
      </c>
      <c r="Y89" s="451">
        <f>+SUM($D24:Y24)</f>
        <v>167.79159999999979</v>
      </c>
      <c r="Z89" s="451">
        <f>+SUM($D24:Z24)</f>
        <v>167.79159999999979</v>
      </c>
      <c r="AA89" s="451">
        <f>+SUM($D24:AA24)</f>
        <v>167.79159999999979</v>
      </c>
      <c r="AB89" s="451">
        <f>+SUM($D24:AB24)</f>
        <v>167.79159999999979</v>
      </c>
      <c r="AC89" s="451">
        <f>+SUM($D24:AC24)</f>
        <v>167.79159999999979</v>
      </c>
    </row>
    <row r="90" spans="2:40" hidden="1" outlineLevel="1">
      <c r="B90" s="444" t="s">
        <v>151</v>
      </c>
      <c r="H90" s="451">
        <f>+SUM($D25:H25)</f>
        <v>35.424807339449586</v>
      </c>
      <c r="I90" s="451">
        <f>+SUM($D25:I25)</f>
        <v>106.27442201834876</v>
      </c>
      <c r="J90" s="451">
        <f>+SUM($D25:J25)</f>
        <v>177.12403669724793</v>
      </c>
      <c r="K90" s="451">
        <f>+SUM($D25:K25)</f>
        <v>247.9736513761471</v>
      </c>
      <c r="L90" s="451">
        <f>+SUM($D25:L25)</f>
        <v>318.82326605504625</v>
      </c>
      <c r="M90" s="451">
        <f>+SUM($D25:M25)</f>
        <v>386.13040000000046</v>
      </c>
      <c r="N90" s="451">
        <f>+SUM($D25:N25)</f>
        <v>386.13040000000046</v>
      </c>
      <c r="O90" s="451">
        <f>+SUM($D25:O25)</f>
        <v>386.13040000000046</v>
      </c>
      <c r="P90" s="451">
        <f>+SUM($D25:P25)</f>
        <v>386.13040000000046</v>
      </c>
      <c r="Q90" s="451">
        <f>+SUM($D25:Q25)</f>
        <v>386.13040000000046</v>
      </c>
      <c r="R90" s="451">
        <f>+SUM($D25:R25)</f>
        <v>386.13040000000046</v>
      </c>
      <c r="S90" s="451">
        <f>+SUM($D25:S25)</f>
        <v>386.13040000000046</v>
      </c>
      <c r="T90" s="451">
        <f>+SUM($D25:T25)</f>
        <v>386.13040000000046</v>
      </c>
      <c r="U90" s="451">
        <f>+SUM($D25:U25)</f>
        <v>386.13040000000046</v>
      </c>
      <c r="V90" s="451">
        <f>+SUM($D25:V25)</f>
        <v>386.13040000000046</v>
      </c>
      <c r="W90" s="451">
        <f>+SUM($D25:W25)</f>
        <v>386.13040000000046</v>
      </c>
      <c r="X90" s="451">
        <f>+SUM($D25:X25)</f>
        <v>386.13040000000046</v>
      </c>
      <c r="Y90" s="451">
        <f>+SUM($D25:Y25)</f>
        <v>386.13040000000046</v>
      </c>
      <c r="Z90" s="451">
        <f>+SUM($D25:Z25)</f>
        <v>386.13040000000046</v>
      </c>
      <c r="AA90" s="451">
        <f>+SUM($D25:AA25)</f>
        <v>386.13040000000046</v>
      </c>
      <c r="AB90" s="451">
        <f>+SUM($D25:AB25)</f>
        <v>386.13040000000046</v>
      </c>
      <c r="AC90" s="451">
        <f>+SUM($D25:AC25)</f>
        <v>386.13040000000046</v>
      </c>
    </row>
    <row r="91" spans="2:40" hidden="1" outlineLevel="1">
      <c r="B91" s="444" t="s">
        <v>150</v>
      </c>
      <c r="I91" s="451">
        <f>+SUM($D26:I26)</f>
        <v>15.568495412844014</v>
      </c>
      <c r="J91" s="451">
        <f>+SUM($D26:J26)</f>
        <v>46.705486238532039</v>
      </c>
      <c r="K91" s="451">
        <f>+SUM($D26:K26)</f>
        <v>77.842477064220063</v>
      </c>
      <c r="L91" s="451">
        <f>+SUM($D26:L26)</f>
        <v>108.97946788990809</v>
      </c>
      <c r="M91" s="451">
        <f>+SUM($D26:M26)</f>
        <v>140.11645871559611</v>
      </c>
      <c r="N91" s="451">
        <f>+SUM($D26:N26)</f>
        <v>169.69659999999976</v>
      </c>
      <c r="O91" s="451">
        <f>+SUM($D26:O26)</f>
        <v>169.69659999999976</v>
      </c>
      <c r="P91" s="451">
        <f>+SUM($D26:P26)</f>
        <v>169.69659999999976</v>
      </c>
      <c r="Q91" s="451">
        <f>+SUM($D26:Q26)</f>
        <v>169.69659999999976</v>
      </c>
      <c r="R91" s="451">
        <f>+SUM($D26:R26)</f>
        <v>169.69659999999976</v>
      </c>
      <c r="S91" s="451">
        <f>+SUM($D26:S26)</f>
        <v>169.69659999999976</v>
      </c>
      <c r="T91" s="451">
        <f>+SUM($D26:T26)</f>
        <v>169.69659999999976</v>
      </c>
      <c r="U91" s="451">
        <f>+SUM($D26:U26)</f>
        <v>169.69659999999976</v>
      </c>
      <c r="V91" s="451">
        <f>+SUM($D26:V26)</f>
        <v>169.69659999999976</v>
      </c>
      <c r="W91" s="451">
        <f>+SUM($D26:W26)</f>
        <v>169.69659999999976</v>
      </c>
      <c r="X91" s="451">
        <f>+SUM($D26:X26)</f>
        <v>169.69659999999976</v>
      </c>
      <c r="Y91" s="451">
        <f>+SUM($D26:Y26)</f>
        <v>169.69659999999976</v>
      </c>
      <c r="Z91" s="451">
        <f>+SUM($D26:Z26)</f>
        <v>169.69659999999976</v>
      </c>
      <c r="AA91" s="451">
        <f>+SUM($D26:AA26)</f>
        <v>169.69659999999976</v>
      </c>
      <c r="AB91" s="451">
        <f>+SUM($D26:AB26)</f>
        <v>169.69659999999976</v>
      </c>
      <c r="AC91" s="451">
        <f>+SUM($D26:AC26)</f>
        <v>169.69659999999976</v>
      </c>
      <c r="AD91" s="451"/>
    </row>
    <row r="92" spans="2:40" hidden="1" outlineLevel="1">
      <c r="B92" s="444" t="s">
        <v>10</v>
      </c>
      <c r="J92" s="451">
        <f>+SUM($D27:J27)</f>
        <v>14.771587155963294</v>
      </c>
      <c r="K92" s="451">
        <f>+SUM($D27:K27)</f>
        <v>44.31476146788988</v>
      </c>
      <c r="L92" s="451">
        <f>+SUM($D27:L27)</f>
        <v>73.857935779816472</v>
      </c>
      <c r="M92" s="451">
        <f>+SUM($D27:M27)</f>
        <v>103.40111009174306</v>
      </c>
      <c r="N92" s="451">
        <f>+SUM($D27:N27)</f>
        <v>132.94428440366966</v>
      </c>
      <c r="O92" s="451">
        <f>+SUM($D27:O27)</f>
        <v>161.01029999999992</v>
      </c>
      <c r="P92" s="451">
        <f>+SUM($D27:P27)</f>
        <v>161.01029999999992</v>
      </c>
      <c r="Q92" s="451">
        <f>+SUM($D27:Q27)</f>
        <v>161.01029999999992</v>
      </c>
      <c r="R92" s="451">
        <f>+SUM($D27:R27)</f>
        <v>161.01029999999992</v>
      </c>
      <c r="S92" s="451">
        <f>+SUM($D27:S27)</f>
        <v>161.01029999999992</v>
      </c>
      <c r="T92" s="451">
        <f>+SUM($D27:T27)</f>
        <v>161.01029999999992</v>
      </c>
      <c r="U92" s="451">
        <f>+SUM($D27:U27)</f>
        <v>161.01029999999992</v>
      </c>
      <c r="V92" s="451">
        <f>+SUM($D27:V27)</f>
        <v>161.01029999999992</v>
      </c>
      <c r="W92" s="451">
        <f>+SUM($D27:W27)</f>
        <v>161.01029999999992</v>
      </c>
      <c r="X92" s="451">
        <f>+SUM($D27:X27)</f>
        <v>161.01029999999992</v>
      </c>
      <c r="Y92" s="451">
        <f>+SUM($D27:Y27)</f>
        <v>161.01029999999992</v>
      </c>
      <c r="Z92" s="451">
        <f>+SUM($D27:Z27)</f>
        <v>161.01029999999992</v>
      </c>
      <c r="AA92" s="451">
        <f>+SUM($D27:AA27)</f>
        <v>161.01029999999992</v>
      </c>
      <c r="AB92" s="451">
        <f>+SUM($D27:AB27)</f>
        <v>161.01029999999992</v>
      </c>
      <c r="AC92" s="451">
        <f>+SUM($D27:AC27)</f>
        <v>161.01029999999992</v>
      </c>
      <c r="AD92" s="451"/>
      <c r="AE92" s="451"/>
    </row>
    <row r="93" spans="2:40" hidden="1" outlineLevel="1">
      <c r="B93" s="444" t="s">
        <v>11</v>
      </c>
      <c r="K93" s="451">
        <f>+SUM($D28:K28)</f>
        <v>48.373999999999967</v>
      </c>
      <c r="L93" s="451">
        <f>+SUM($D28:L28)</f>
        <v>145.1219999999999</v>
      </c>
      <c r="M93" s="451">
        <f>+SUM($D28:M28)</f>
        <v>241.86999999999983</v>
      </c>
      <c r="N93" s="451">
        <f>+SUM($D28:N28)</f>
        <v>338.61799999999977</v>
      </c>
      <c r="O93" s="451">
        <f>+SUM($D28:O28)</f>
        <v>435.3659999999997</v>
      </c>
      <c r="P93" s="451">
        <f>+SUM($D28:P28)</f>
        <v>527.27659999999969</v>
      </c>
      <c r="Q93" s="451">
        <f>+SUM($D28:Q28)</f>
        <v>527.27659999999969</v>
      </c>
      <c r="R93" s="451">
        <f>+SUM($D28:R28)</f>
        <v>527.27659999999969</v>
      </c>
      <c r="S93" s="451">
        <f>+SUM($D28:S28)</f>
        <v>527.27659999999969</v>
      </c>
      <c r="T93" s="451">
        <f>+SUM($D28:T28)</f>
        <v>527.27659999999969</v>
      </c>
      <c r="U93" s="451">
        <f>+SUM($D28:U28)</f>
        <v>527.27659999999969</v>
      </c>
      <c r="V93" s="451">
        <f>+SUM($D28:V28)</f>
        <v>527.27659999999969</v>
      </c>
      <c r="W93" s="451">
        <f>+SUM($D28:W28)</f>
        <v>527.27659999999969</v>
      </c>
      <c r="X93" s="451">
        <f>+SUM($D28:X28)</f>
        <v>527.27659999999969</v>
      </c>
      <c r="Y93" s="451">
        <f>+SUM($D28:Y28)</f>
        <v>527.27659999999969</v>
      </c>
      <c r="Z93" s="451">
        <f>+SUM($D28:Z28)</f>
        <v>527.27659999999969</v>
      </c>
      <c r="AA93" s="451">
        <f>+SUM($D28:AA28)</f>
        <v>527.27659999999969</v>
      </c>
      <c r="AB93" s="451">
        <f>+SUM($D28:AB28)</f>
        <v>527.27659999999969</v>
      </c>
      <c r="AC93" s="451">
        <f>+SUM($D28:AC28)</f>
        <v>527.27659999999969</v>
      </c>
      <c r="AD93" s="451"/>
      <c r="AE93" s="451"/>
      <c r="AF93" s="451"/>
    </row>
    <row r="94" spans="2:40" hidden="1" outlineLevel="1">
      <c r="B94" s="444" t="s">
        <v>1</v>
      </c>
      <c r="L94" s="451">
        <f>+SUM($D29:L29)</f>
        <v>26.291587155963356</v>
      </c>
      <c r="M94" s="451">
        <f>+SUM($D29:M29)</f>
        <v>78.874761467890067</v>
      </c>
      <c r="N94" s="451">
        <f>+SUM($D29:N29)</f>
        <v>131.45793577981678</v>
      </c>
      <c r="O94" s="451">
        <f>+SUM($D29:O29)</f>
        <v>184.04111009174349</v>
      </c>
      <c r="P94" s="451">
        <f>+SUM($D29:P29)</f>
        <v>236.6242844036702</v>
      </c>
      <c r="Q94" s="451">
        <f>+SUM($D29:Q29)</f>
        <v>286.57830000000058</v>
      </c>
      <c r="R94" s="451">
        <f>+SUM($D29:R29)</f>
        <v>286.57830000000058</v>
      </c>
      <c r="S94" s="451">
        <f>+SUM($D29:S29)</f>
        <v>286.57830000000058</v>
      </c>
      <c r="T94" s="451">
        <f>+SUM($D29:T29)</f>
        <v>286.57830000000058</v>
      </c>
      <c r="U94" s="451">
        <f>+SUM($D29:U29)</f>
        <v>286.57830000000058</v>
      </c>
      <c r="V94" s="451">
        <f>+SUM($D29:V29)</f>
        <v>286.57830000000058</v>
      </c>
      <c r="W94" s="451">
        <f>+SUM($D29:W29)</f>
        <v>286.57830000000058</v>
      </c>
      <c r="X94" s="451">
        <f>+SUM($D29:X29)</f>
        <v>286.57830000000058</v>
      </c>
      <c r="Y94" s="451">
        <f>+SUM($D29:Y29)</f>
        <v>286.57830000000058</v>
      </c>
      <c r="Z94" s="451">
        <f>+SUM($D29:Z29)</f>
        <v>286.57830000000058</v>
      </c>
      <c r="AA94" s="451">
        <f>+SUM($D29:AA29)</f>
        <v>286.57830000000058</v>
      </c>
      <c r="AB94" s="451">
        <f>+SUM($D29:AB29)</f>
        <v>286.57830000000058</v>
      </c>
      <c r="AC94" s="451">
        <f>+SUM($D29:AC29)</f>
        <v>286.57830000000058</v>
      </c>
      <c r="AD94" s="451"/>
      <c r="AE94" s="451"/>
      <c r="AF94" s="451"/>
      <c r="AG94" s="451"/>
    </row>
    <row r="95" spans="2:40" hidden="1" outlineLevel="1">
      <c r="B95" s="444" t="s">
        <v>2</v>
      </c>
      <c r="M95" s="451">
        <f>+SUM($D30:M30)</f>
        <v>16.830522935779801</v>
      </c>
      <c r="N95" s="451">
        <f>+SUM($D30:N30)</f>
        <v>50.491568807339405</v>
      </c>
      <c r="O95" s="451">
        <f>+SUM($D30:O30)</f>
        <v>84.152614678898999</v>
      </c>
      <c r="P95" s="451">
        <f>+SUM($D30:P30)</f>
        <v>117.81366055045859</v>
      </c>
      <c r="Q95" s="451">
        <f>+SUM($D30:Q30)</f>
        <v>151.47470642201819</v>
      </c>
      <c r="R95" s="451">
        <f>+SUM($D30:R30)</f>
        <v>183.45269999999982</v>
      </c>
      <c r="S95" s="451">
        <f>+SUM($D30:S30)</f>
        <v>183.45269999999982</v>
      </c>
      <c r="T95" s="451">
        <f>+SUM($D30:T30)</f>
        <v>183.45269999999982</v>
      </c>
      <c r="U95" s="451">
        <f>+SUM($D30:U30)</f>
        <v>183.45269999999982</v>
      </c>
      <c r="V95" s="451">
        <f>+SUM($D30:V30)</f>
        <v>183.45269999999982</v>
      </c>
      <c r="W95" s="451">
        <f>+SUM($D30:W30)</f>
        <v>183.45269999999982</v>
      </c>
      <c r="X95" s="451">
        <f>+SUM($D30:X30)</f>
        <v>183.45269999999982</v>
      </c>
      <c r="Y95" s="451">
        <f>+SUM($D30:Y30)</f>
        <v>183.45269999999982</v>
      </c>
      <c r="Z95" s="451">
        <f>+SUM($D30:Z30)</f>
        <v>183.45269999999982</v>
      </c>
      <c r="AA95" s="451">
        <f>+SUM($D30:AA30)</f>
        <v>183.45269999999982</v>
      </c>
      <c r="AB95" s="451">
        <f>+SUM($D30:AB30)</f>
        <v>183.45269999999982</v>
      </c>
      <c r="AC95" s="451">
        <f>+SUM($D30:AC30)</f>
        <v>183.45269999999982</v>
      </c>
      <c r="AD95" s="451"/>
      <c r="AE95" s="451"/>
      <c r="AF95" s="451"/>
      <c r="AG95" s="451"/>
      <c r="AH95" s="451"/>
    </row>
    <row r="96" spans="2:40" hidden="1" outlineLevel="1">
      <c r="B96" s="444" t="s">
        <v>3</v>
      </c>
      <c r="N96" s="451">
        <f>+SUM($D31:N31)</f>
        <v>75.138201834862315</v>
      </c>
      <c r="O96" s="451">
        <f>+SUM($D31:O31)</f>
        <v>225.41460550458694</v>
      </c>
      <c r="P96" s="451">
        <f>+SUM($D31:P31)</f>
        <v>375.6910091743116</v>
      </c>
      <c r="Q96" s="451">
        <f>+SUM($D31:Q31)</f>
        <v>525.96741284403629</v>
      </c>
      <c r="R96" s="451">
        <f>+SUM($D31:R31)</f>
        <v>676.24381651376098</v>
      </c>
      <c r="S96" s="451">
        <f>+SUM($D31:S31)</f>
        <v>819.0063999999993</v>
      </c>
      <c r="T96" s="451">
        <f>+SUM($D31:T31)</f>
        <v>819.0063999999993</v>
      </c>
      <c r="U96" s="451">
        <f>+SUM($D31:U31)</f>
        <v>819.0063999999993</v>
      </c>
      <c r="V96" s="451">
        <f>+SUM($D31:V31)</f>
        <v>819.0063999999993</v>
      </c>
      <c r="W96" s="451">
        <f>+SUM($D31:W31)</f>
        <v>819.0063999999993</v>
      </c>
      <c r="X96" s="451">
        <f>+SUM($D31:X31)</f>
        <v>819.0063999999993</v>
      </c>
      <c r="Y96" s="451">
        <f>+SUM($D31:Y31)</f>
        <v>819.0063999999993</v>
      </c>
      <c r="Z96" s="451">
        <f>+SUM($D31:Z31)</f>
        <v>819.0063999999993</v>
      </c>
      <c r="AA96" s="451">
        <f>+SUM($D31:AA31)</f>
        <v>819.0063999999993</v>
      </c>
      <c r="AB96" s="451">
        <f>+SUM($D31:AB31)</f>
        <v>819.0063999999993</v>
      </c>
      <c r="AC96" s="451">
        <f>+SUM($D31:AC31)</f>
        <v>819.0063999999993</v>
      </c>
      <c r="AD96" s="451"/>
      <c r="AE96" s="451"/>
      <c r="AF96" s="451"/>
      <c r="AG96" s="451"/>
      <c r="AH96" s="451"/>
      <c r="AI96" s="451"/>
    </row>
    <row r="97" spans="2:40" hidden="1" outlineLevel="1">
      <c r="B97" s="444" t="s">
        <v>4</v>
      </c>
      <c r="O97" s="451">
        <f>+SUM($D32:O32)</f>
        <v>40.292238532110204</v>
      </c>
      <c r="P97" s="451">
        <f>+SUM($D32:P32)</f>
        <v>120.87671559633061</v>
      </c>
      <c r="Q97" s="451">
        <f>+SUM($D32:Q32)</f>
        <v>201.46119266055103</v>
      </c>
      <c r="R97" s="451">
        <f>+SUM($D32:R32)</f>
        <v>282.04566972477141</v>
      </c>
      <c r="S97" s="451">
        <f>+SUM($D32:S32)</f>
        <v>362.63014678899185</v>
      </c>
      <c r="T97" s="451">
        <f>+SUM($D32:T32)</f>
        <v>439.18540000000121</v>
      </c>
      <c r="U97" s="451">
        <f>+SUM($D32:U32)</f>
        <v>439.18540000000121</v>
      </c>
      <c r="V97" s="451">
        <f>+SUM($D32:V32)</f>
        <v>439.18540000000121</v>
      </c>
      <c r="W97" s="451">
        <f>+SUM($D32:W32)</f>
        <v>439.18540000000121</v>
      </c>
      <c r="X97" s="451">
        <f>+SUM($D32:X32)</f>
        <v>439.18540000000121</v>
      </c>
      <c r="Y97" s="451">
        <f>+SUM($D32:Y32)</f>
        <v>439.18540000000121</v>
      </c>
      <c r="Z97" s="451">
        <f>+SUM($D32:Z32)</f>
        <v>439.18540000000121</v>
      </c>
      <c r="AA97" s="451">
        <f>+SUM($D32:AA32)</f>
        <v>439.18540000000121</v>
      </c>
      <c r="AB97" s="451">
        <f>+SUM($D32:AB32)</f>
        <v>439.18540000000121</v>
      </c>
      <c r="AC97" s="451">
        <f>+SUM($D32:AC32)</f>
        <v>439.18540000000121</v>
      </c>
      <c r="AD97" s="451"/>
      <c r="AE97" s="451"/>
      <c r="AF97" s="451"/>
      <c r="AG97" s="451"/>
      <c r="AH97" s="451"/>
      <c r="AI97" s="451"/>
      <c r="AJ97" s="451"/>
    </row>
    <row r="98" spans="2:40" hidden="1" outlineLevel="1">
      <c r="B98" s="444" t="s">
        <v>5</v>
      </c>
      <c r="P98" s="451">
        <f>+SUM($D33:P33)</f>
        <v>34.909752293577917</v>
      </c>
      <c r="Q98" s="451">
        <f>+SUM($D33:Q33)</f>
        <v>104.72925688073374</v>
      </c>
      <c r="R98" s="451">
        <f>+SUM($D33:R33)</f>
        <v>174.54876146788956</v>
      </c>
      <c r="S98" s="451">
        <f>+SUM($D33:S33)</f>
        <v>244.36826605504541</v>
      </c>
      <c r="T98" s="451">
        <f>+SUM($D33:T33)</f>
        <v>314.18777064220126</v>
      </c>
      <c r="U98" s="451">
        <f>+SUM($D33:U33)</f>
        <v>380.51629999999932</v>
      </c>
      <c r="V98" s="451">
        <f>+SUM($D33:V33)</f>
        <v>380.51629999999932</v>
      </c>
      <c r="W98" s="451">
        <f>+SUM($D33:W33)</f>
        <v>380.51629999999932</v>
      </c>
      <c r="X98" s="451">
        <f>+SUM($D33:X33)</f>
        <v>380.51629999999932</v>
      </c>
      <c r="Y98" s="451">
        <f>+SUM($D33:Y33)</f>
        <v>380.51629999999932</v>
      </c>
      <c r="Z98" s="451">
        <f>+SUM($D33:Z33)</f>
        <v>380.51629999999932</v>
      </c>
      <c r="AA98" s="451">
        <f>+SUM($D33:AA33)</f>
        <v>380.51629999999932</v>
      </c>
      <c r="AB98" s="451">
        <f>+SUM($D33:AB33)</f>
        <v>380.51629999999932</v>
      </c>
      <c r="AC98" s="451">
        <f>+SUM($D33:AC33)</f>
        <v>380.51629999999932</v>
      </c>
      <c r="AD98" s="451"/>
      <c r="AE98" s="451"/>
      <c r="AF98" s="451"/>
      <c r="AG98" s="451"/>
      <c r="AH98" s="451"/>
      <c r="AI98" s="451"/>
      <c r="AJ98" s="451"/>
      <c r="AK98" s="451"/>
    </row>
    <row r="99" spans="2:40" hidden="1" outlineLevel="1">
      <c r="B99" s="444" t="s">
        <v>68</v>
      </c>
      <c r="Q99" s="451">
        <f>+SUM($D34:Q34)</f>
        <v>117.85469724770637</v>
      </c>
      <c r="R99" s="451">
        <f>+SUM($D34:R34)</f>
        <v>353.56409174311909</v>
      </c>
      <c r="S99" s="451">
        <f>+SUM($D34:S34)</f>
        <v>589.27348623853186</v>
      </c>
      <c r="T99" s="451">
        <f>+SUM($D34:T34)</f>
        <v>824.98288073394463</v>
      </c>
      <c r="U99" s="451">
        <f>+SUM($D34:U34)</f>
        <v>1060.6922752293574</v>
      </c>
      <c r="V99" s="451">
        <f>+SUM($D34:V34)</f>
        <v>1284.6161999999995</v>
      </c>
      <c r="W99" s="451">
        <f>+SUM($D34:W34)</f>
        <v>1284.6161999999995</v>
      </c>
      <c r="X99" s="451">
        <f>+SUM($D34:X34)</f>
        <v>1284.6161999999995</v>
      </c>
      <c r="Y99" s="451">
        <f>+SUM($D34:Y34)</f>
        <v>1284.6161999999995</v>
      </c>
      <c r="Z99" s="451">
        <f>+SUM($D34:Z34)</f>
        <v>1284.6161999999995</v>
      </c>
      <c r="AA99" s="451">
        <f>+SUM($D34:AA34)</f>
        <v>1284.6161999999995</v>
      </c>
      <c r="AB99" s="451">
        <f>+SUM($D34:AB34)</f>
        <v>1284.6161999999995</v>
      </c>
      <c r="AC99" s="451">
        <f>+SUM($D34:AC34)</f>
        <v>1284.6161999999995</v>
      </c>
      <c r="AD99" s="451"/>
      <c r="AE99" s="451"/>
      <c r="AF99" s="451"/>
      <c r="AG99" s="451"/>
      <c r="AH99" s="451"/>
      <c r="AI99" s="451"/>
      <c r="AJ99" s="451"/>
      <c r="AK99" s="451"/>
      <c r="AL99" s="451"/>
    </row>
    <row r="100" spans="2:40" hidden="1" outlineLevel="1">
      <c r="B100" s="444" t="s">
        <v>6</v>
      </c>
      <c r="R100" s="451">
        <f ca="1">+SUM($D35:R35)</f>
        <v>81.75832445715065</v>
      </c>
      <c r="S100" s="451">
        <f ca="1">+SUM($D35:S35)</f>
        <v>245.27497337145195</v>
      </c>
      <c r="T100" s="451">
        <f ca="1">+SUM($D35:T35)</f>
        <v>408.79162228575325</v>
      </c>
      <c r="U100" s="451">
        <f ca="1">+SUM($D35:U35)</f>
        <v>572.30827120005461</v>
      </c>
      <c r="V100" s="451">
        <f ca="1">+SUM($D35:V35)</f>
        <v>735.8249201143559</v>
      </c>
      <c r="W100" s="451">
        <f ca="1">+SUM($D35:W35)</f>
        <v>891.16573658294215</v>
      </c>
      <c r="X100" s="451">
        <f ca="1">+SUM($D35:X35)</f>
        <v>891.16573658294215</v>
      </c>
      <c r="Y100" s="451">
        <f ca="1">+SUM($D35:Y35)</f>
        <v>891.16573658294215</v>
      </c>
      <c r="Z100" s="451">
        <f ca="1">+SUM($D35:Z35)</f>
        <v>891.16573658294215</v>
      </c>
      <c r="AA100" s="451">
        <f ca="1">+SUM($D35:AA35)</f>
        <v>891.16573658294215</v>
      </c>
      <c r="AB100" s="451">
        <f ca="1">+SUM($D35:AB35)</f>
        <v>891.16573658294215</v>
      </c>
      <c r="AC100" s="451">
        <f ca="1">+SUM($D35:AC35)</f>
        <v>891.16573658294215</v>
      </c>
      <c r="AD100" s="451"/>
      <c r="AE100" s="451"/>
      <c r="AF100" s="451"/>
      <c r="AG100" s="451"/>
      <c r="AH100" s="451"/>
      <c r="AI100" s="451"/>
      <c r="AJ100" s="451"/>
      <c r="AK100" s="451"/>
      <c r="AL100" s="451"/>
      <c r="AM100" s="451"/>
    </row>
    <row r="101" spans="2:40" hidden="1" outlineLevel="1">
      <c r="B101" s="444" t="s">
        <v>22</v>
      </c>
      <c r="S101" s="451">
        <f ca="1">+SUM($D36:S36)</f>
        <v>110.5179094313857</v>
      </c>
      <c r="T101" s="451">
        <f ca="1">+SUM($D36:T36)</f>
        <v>331.55372829415711</v>
      </c>
      <c r="U101" s="451">
        <f ca="1">+SUM($D36:U36)</f>
        <v>552.58954715692857</v>
      </c>
      <c r="V101" s="451">
        <f ca="1">+SUM($D36:V36)</f>
        <v>773.62536601969998</v>
      </c>
      <c r="W101" s="451">
        <f ca="1">+SUM($D36:W36)</f>
        <v>994.66118488247139</v>
      </c>
      <c r="X101" s="451">
        <f ca="1">+SUM($D36:X36)</f>
        <v>1204.6452128021042</v>
      </c>
      <c r="Y101" s="451">
        <f ca="1">+SUM($D36:Y36)</f>
        <v>1204.6452128021042</v>
      </c>
      <c r="Z101" s="451">
        <f ca="1">+SUM($D36:Z36)</f>
        <v>1204.6452128021042</v>
      </c>
      <c r="AA101" s="451">
        <f ca="1">+SUM($D36:AA36)</f>
        <v>1204.6452128021042</v>
      </c>
      <c r="AB101" s="451">
        <f ca="1">+SUM($D36:AB36)</f>
        <v>1204.6452128021042</v>
      </c>
      <c r="AC101" s="451">
        <f ca="1">+SUM($D36:AC36)</f>
        <v>1204.6452128021042</v>
      </c>
      <c r="AD101" s="451"/>
      <c r="AE101" s="451"/>
      <c r="AF101" s="451"/>
      <c r="AG101" s="451"/>
      <c r="AH101" s="451"/>
      <c r="AI101" s="451"/>
      <c r="AJ101" s="451"/>
      <c r="AK101" s="451"/>
      <c r="AL101" s="451"/>
      <c r="AM101" s="451"/>
      <c r="AN101" s="451"/>
    </row>
    <row r="102" spans="2:40" hidden="1" outlineLevel="1">
      <c r="B102" s="444" t="s">
        <v>23</v>
      </c>
      <c r="S102" s="451"/>
      <c r="T102" s="451">
        <f ca="1">+SUM($D37:T37)</f>
        <v>125.3971443698354</v>
      </c>
      <c r="U102" s="451">
        <f ca="1">+SUM($D37:U37)</f>
        <v>376.19143310950619</v>
      </c>
      <c r="V102" s="451">
        <f ca="1">+SUM($D37:V37)</f>
        <v>626.98572184917703</v>
      </c>
      <c r="W102" s="451">
        <f ca="1">+SUM($D37:W37)</f>
        <v>877.78001058884786</v>
      </c>
      <c r="X102" s="451">
        <f ca="1">+SUM($D37:X37)</f>
        <v>1128.5742993285187</v>
      </c>
      <c r="Y102" s="451">
        <f ca="1">+SUM($D37:Y37)</f>
        <v>1366.8288736312059</v>
      </c>
      <c r="Z102" s="451">
        <f ca="1">+SUM($D37:Z37)</f>
        <v>1366.8288736312059</v>
      </c>
      <c r="AA102" s="451">
        <f ca="1">+SUM($D37:AA37)</f>
        <v>1366.8288736312059</v>
      </c>
      <c r="AB102" s="451">
        <f ca="1">+SUM($D37:AB37)</f>
        <v>1366.8288736312059</v>
      </c>
      <c r="AC102" s="451">
        <f ca="1">+SUM($D37:AC37)</f>
        <v>1366.8288736312059</v>
      </c>
      <c r="AD102" s="451"/>
      <c r="AE102" s="451"/>
      <c r="AF102" s="451"/>
      <c r="AG102" s="451"/>
      <c r="AH102" s="451"/>
      <c r="AI102" s="451"/>
      <c r="AJ102" s="451"/>
      <c r="AK102" s="451"/>
      <c r="AL102" s="451"/>
      <c r="AM102" s="451"/>
      <c r="AN102" s="451"/>
    </row>
    <row r="103" spans="2:40" hidden="1" outlineLevel="1">
      <c r="B103" s="444" t="s">
        <v>24</v>
      </c>
      <c r="S103" s="451"/>
      <c r="T103" s="451"/>
      <c r="U103" s="451">
        <f ca="1">+SUM($D38:U38)</f>
        <v>141.24092608227033</v>
      </c>
      <c r="V103" s="451">
        <f ca="1">+SUM($D38:V38)</f>
        <v>423.722778246811</v>
      </c>
      <c r="W103" s="451">
        <f ca="1">+SUM($D38:W38)</f>
        <v>706.20463041135167</v>
      </c>
      <c r="X103" s="451">
        <f ca="1">+SUM($D38:X38)</f>
        <v>988.68648257589234</v>
      </c>
      <c r="Y103" s="451">
        <f ca="1">+SUM($D38:Y38)</f>
        <v>1271.168334740433</v>
      </c>
      <c r="Z103" s="451">
        <f ca="1">+SUM($D38:Z38)</f>
        <v>1539.5260942967468</v>
      </c>
      <c r="AA103" s="451">
        <f ca="1">+SUM($D38:AA38)</f>
        <v>1539.5260942967468</v>
      </c>
      <c r="AB103" s="451">
        <f ca="1">+SUM($D38:AB38)</f>
        <v>1539.5260942967468</v>
      </c>
      <c r="AC103" s="451">
        <f ca="1">+SUM($D38:AC38)</f>
        <v>1539.5260942967468</v>
      </c>
      <c r="AD103" s="451"/>
      <c r="AE103" s="451"/>
      <c r="AF103" s="451"/>
      <c r="AG103" s="451"/>
      <c r="AH103" s="451"/>
      <c r="AI103" s="451"/>
      <c r="AJ103" s="451"/>
      <c r="AK103" s="451"/>
      <c r="AL103" s="451"/>
      <c r="AM103" s="451"/>
      <c r="AN103" s="451"/>
    </row>
    <row r="104" spans="2:40" hidden="1" outlineLevel="1">
      <c r="B104" s="444" t="s">
        <v>25</v>
      </c>
      <c r="S104" s="451"/>
      <c r="T104" s="451"/>
      <c r="U104" s="451"/>
      <c r="V104" s="451">
        <f ca="1">+SUM($D39:V39)</f>
        <v>155.89644907332504</v>
      </c>
      <c r="W104" s="451">
        <f ca="1">+SUM($D39:W39)</f>
        <v>467.68934721997516</v>
      </c>
      <c r="X104" s="451">
        <f ca="1">+SUM($D39:X39)</f>
        <v>779.48224536662519</v>
      </c>
      <c r="Y104" s="451">
        <f ca="1">+SUM($D39:Y39)</f>
        <v>1091.2751435132752</v>
      </c>
      <c r="Z104" s="451">
        <f ca="1">+SUM($D39:Z39)</f>
        <v>1403.0680416599253</v>
      </c>
      <c r="AA104" s="451">
        <f ca="1">+SUM($D39:AA39)</f>
        <v>1699.271294899243</v>
      </c>
      <c r="AB104" s="451">
        <f ca="1">+SUM($D39:AB39)</f>
        <v>1699.271294899243</v>
      </c>
      <c r="AC104" s="451">
        <f ca="1">+SUM($D39:AC39)</f>
        <v>1699.271294899243</v>
      </c>
      <c r="AD104" s="451"/>
      <c r="AE104" s="451"/>
      <c r="AF104" s="451"/>
      <c r="AG104" s="451"/>
      <c r="AH104" s="451"/>
      <c r="AI104" s="451"/>
      <c r="AJ104" s="451"/>
      <c r="AK104" s="451"/>
      <c r="AL104" s="451"/>
      <c r="AM104" s="451"/>
      <c r="AN104" s="451"/>
    </row>
    <row r="105" spans="2:40" hidden="1" outlineLevel="1">
      <c r="B105" s="444" t="s">
        <v>26</v>
      </c>
      <c r="S105" s="451"/>
      <c r="T105" s="451"/>
      <c r="U105" s="451"/>
      <c r="V105" s="451"/>
      <c r="W105" s="451">
        <f ca="1">+SUM($D40:W40)</f>
        <v>170.4225029707772</v>
      </c>
      <c r="X105" s="451">
        <f ca="1">+SUM($D40:X40)</f>
        <v>511.26750891233161</v>
      </c>
      <c r="Y105" s="451">
        <f ca="1">+SUM($D40:Y40)</f>
        <v>852.11251485388607</v>
      </c>
      <c r="Z105" s="451">
        <f ca="1">+SUM($D40:Z40)</f>
        <v>1192.9575207954404</v>
      </c>
      <c r="AA105" s="451">
        <f ca="1">+SUM($D40:AA40)</f>
        <v>1533.8025267369949</v>
      </c>
      <c r="AB105" s="451">
        <f ca="1">+SUM($D40:AB40)</f>
        <v>1857.6052823814716</v>
      </c>
      <c r="AC105" s="451">
        <f ca="1">+SUM($D40:AC40)</f>
        <v>1857.6052823814716</v>
      </c>
      <c r="AD105" s="451"/>
      <c r="AE105" s="451"/>
      <c r="AF105" s="451"/>
      <c r="AG105" s="451"/>
      <c r="AH105" s="451"/>
      <c r="AI105" s="451"/>
      <c r="AJ105" s="451"/>
      <c r="AK105" s="451"/>
      <c r="AL105" s="451"/>
      <c r="AM105" s="451"/>
      <c r="AN105" s="451"/>
    </row>
    <row r="106" spans="2:40" hidden="1" outlineLevel="1">
      <c r="B106" s="444" t="s">
        <v>27</v>
      </c>
      <c r="S106" s="451"/>
      <c r="T106" s="451"/>
      <c r="U106" s="451"/>
      <c r="V106" s="451"/>
      <c r="W106" s="451"/>
      <c r="X106" s="451">
        <f ca="1">+SUM($D41:X41)</f>
        <v>185.23259745675261</v>
      </c>
      <c r="Y106" s="451">
        <f ca="1">+SUM($D41:Y41)</f>
        <v>555.69779237025784</v>
      </c>
      <c r="Z106" s="451">
        <f ca="1">+SUM($D41:Z41)</f>
        <v>926.16298728376307</v>
      </c>
      <c r="AA106" s="451">
        <f ca="1">+SUM($D41:AA41)</f>
        <v>1296.6281821972684</v>
      </c>
      <c r="AB106" s="451">
        <f ca="1">+SUM($D41:AB41)</f>
        <v>1667.0933771107736</v>
      </c>
      <c r="AC106" s="451">
        <f ca="1">+SUM($D41:AC41)</f>
        <v>2019.0353122786037</v>
      </c>
      <c r="AD106" s="451"/>
      <c r="AE106" s="451"/>
      <c r="AF106" s="451"/>
      <c r="AG106" s="451"/>
      <c r="AH106" s="451"/>
      <c r="AI106" s="451"/>
      <c r="AJ106" s="451"/>
      <c r="AK106" s="451"/>
      <c r="AL106" s="451"/>
      <c r="AM106" s="451"/>
      <c r="AN106" s="451"/>
    </row>
    <row r="107" spans="2:40" hidden="1" outlineLevel="1">
      <c r="B107" s="444" t="s">
        <v>38</v>
      </c>
      <c r="S107" s="451"/>
      <c r="T107" s="451"/>
      <c r="U107" s="451"/>
      <c r="V107" s="451"/>
      <c r="W107" s="451"/>
      <c r="X107" s="451"/>
      <c r="Y107" s="451">
        <f ca="1">+SUM($D42:Y42)</f>
        <v>199.37314664562015</v>
      </c>
      <c r="Z107" s="451">
        <f ca="1">+SUM($D42:Z42)</f>
        <v>598.11943993686043</v>
      </c>
      <c r="AA107" s="451">
        <f ca="1">+SUM($D42:AA42)</f>
        <v>996.86573322810068</v>
      </c>
      <c r="AB107" s="451">
        <f ca="1">+SUM($D42:AB42)</f>
        <v>1395.612026519341</v>
      </c>
      <c r="AC107" s="451">
        <f ca="1">+SUM($D42:AC42)</f>
        <v>1794.3583198105814</v>
      </c>
      <c r="AD107" s="451"/>
      <c r="AE107" s="451"/>
      <c r="AF107" s="451"/>
      <c r="AG107" s="451"/>
      <c r="AH107" s="451"/>
      <c r="AI107" s="451"/>
      <c r="AJ107" s="451"/>
      <c r="AK107" s="451"/>
      <c r="AL107" s="451"/>
      <c r="AM107" s="451"/>
      <c r="AN107" s="451"/>
    </row>
    <row r="108" spans="2:40" hidden="1" outlineLevel="1">
      <c r="B108" s="444" t="s">
        <v>39</v>
      </c>
      <c r="S108" s="451"/>
      <c r="T108" s="451"/>
      <c r="U108" s="451"/>
      <c r="V108" s="451"/>
      <c r="W108" s="451"/>
      <c r="X108" s="451"/>
      <c r="Y108" s="451"/>
      <c r="Z108" s="451">
        <f ca="1">+SUM($D43:Z43)</f>
        <v>213.04750771538184</v>
      </c>
      <c r="AA108" s="451">
        <f ca="1">+SUM($D43:AA43)</f>
        <v>639.14252314614555</v>
      </c>
      <c r="AB108" s="451">
        <f ca="1">+SUM($D43:AB43)</f>
        <v>1065.2375385769092</v>
      </c>
      <c r="AC108" s="451">
        <f ca="1">+SUM($D43:AC43)</f>
        <v>1491.3325540076728</v>
      </c>
      <c r="AD108" s="451"/>
      <c r="AE108" s="451"/>
      <c r="AF108" s="451"/>
      <c r="AG108" s="451"/>
      <c r="AH108" s="451"/>
      <c r="AI108" s="451"/>
      <c r="AJ108" s="451"/>
      <c r="AK108" s="451"/>
      <c r="AL108" s="451"/>
      <c r="AM108" s="451"/>
      <c r="AN108" s="451"/>
    </row>
    <row r="109" spans="2:40" hidden="1" outlineLevel="1">
      <c r="B109" s="444" t="s">
        <v>40</v>
      </c>
      <c r="S109" s="451"/>
      <c r="T109" s="451"/>
      <c r="U109" s="451"/>
      <c r="V109" s="451"/>
      <c r="W109" s="451"/>
      <c r="X109" s="451"/>
      <c r="Y109" s="451"/>
      <c r="Z109" s="451"/>
      <c r="AA109" s="451">
        <f ca="1">+SUM($D44:AA44)</f>
        <v>226.20515993137093</v>
      </c>
      <c r="AB109" s="451">
        <f ca="1">+SUM($D44:AB44)</f>
        <v>678.61547979411284</v>
      </c>
      <c r="AC109" s="451">
        <f ca="1">+SUM($D44:AC44)</f>
        <v>1131.0257996568548</v>
      </c>
      <c r="AD109" s="451"/>
      <c r="AE109" s="451"/>
      <c r="AF109" s="451"/>
      <c r="AG109" s="451"/>
      <c r="AH109" s="451"/>
      <c r="AI109" s="451"/>
      <c r="AJ109" s="451"/>
      <c r="AK109" s="451"/>
      <c r="AL109" s="451"/>
      <c r="AM109" s="451"/>
      <c r="AN109" s="451"/>
    </row>
    <row r="110" spans="2:40" hidden="1" outlineLevel="1">
      <c r="B110" s="444" t="s">
        <v>41</v>
      </c>
      <c r="S110" s="451"/>
      <c r="T110" s="451"/>
      <c r="U110" s="451"/>
      <c r="V110" s="451"/>
      <c r="W110" s="451"/>
      <c r="X110" s="451"/>
      <c r="Y110" s="451"/>
      <c r="Z110" s="451"/>
      <c r="AA110" s="451"/>
      <c r="AB110" s="451">
        <f ca="1">+SUM($D45:AB45)</f>
        <v>238.7983866911058</v>
      </c>
      <c r="AC110" s="451">
        <f ca="1">+SUM($D45:AC45)</f>
        <v>716.39516007331736</v>
      </c>
      <c r="AD110" s="451"/>
      <c r="AE110" s="451"/>
      <c r="AF110" s="451"/>
      <c r="AG110" s="451"/>
      <c r="AH110" s="451"/>
      <c r="AI110" s="451"/>
      <c r="AJ110" s="451"/>
      <c r="AK110" s="451"/>
      <c r="AL110" s="451"/>
      <c r="AM110" s="451"/>
      <c r="AN110" s="451"/>
    </row>
    <row r="111" spans="2:40" hidden="1" outlineLevel="1">
      <c r="B111" s="444" t="s">
        <v>112</v>
      </c>
      <c r="S111" s="451"/>
      <c r="T111" s="451"/>
      <c r="U111" s="451"/>
      <c r="V111" s="451"/>
      <c r="W111" s="451"/>
      <c r="X111" s="451"/>
      <c r="Y111" s="451"/>
      <c r="Z111" s="451"/>
      <c r="AA111" s="451"/>
      <c r="AB111" s="451"/>
      <c r="AC111" s="451">
        <f ca="1">+SUM($D46:AC46)</f>
        <v>250.76458211805826</v>
      </c>
      <c r="AD111" s="451"/>
      <c r="AE111" s="451"/>
      <c r="AF111" s="451"/>
      <c r="AG111" s="451"/>
      <c r="AH111" s="451"/>
      <c r="AI111" s="451"/>
      <c r="AJ111" s="451"/>
      <c r="AK111" s="451"/>
      <c r="AL111" s="451"/>
      <c r="AM111" s="451"/>
      <c r="AN111" s="451"/>
    </row>
    <row r="112" spans="2:40" hidden="1" outlineLevel="1"/>
    <row r="113" spans="2:40" hidden="1" outlineLevel="1">
      <c r="B113" s="449" t="s">
        <v>681</v>
      </c>
    </row>
    <row r="114" spans="2:40" hidden="1" outlineLevel="1">
      <c r="B114" s="444" t="s">
        <v>172</v>
      </c>
      <c r="E114" s="451">
        <f>+E60-E87</f>
        <v>157.539608256881</v>
      </c>
      <c r="F114" s="451">
        <f t="shared" ref="F114:AC127" si="19">+F60-F87</f>
        <v>125.7134247706424</v>
      </c>
      <c r="G114" s="451">
        <f t="shared" si="19"/>
        <v>93.887241284403828</v>
      </c>
      <c r="H114" s="451">
        <f t="shared" si="19"/>
        <v>62.061057798165251</v>
      </c>
      <c r="I114" s="451">
        <f t="shared" si="19"/>
        <v>30.23487431192666</v>
      </c>
      <c r="J114" s="451">
        <f t="shared" si="19"/>
        <v>0</v>
      </c>
      <c r="K114" s="451">
        <f t="shared" si="19"/>
        <v>0</v>
      </c>
      <c r="L114" s="451">
        <f t="shared" si="19"/>
        <v>0</v>
      </c>
      <c r="M114" s="451">
        <f t="shared" si="19"/>
        <v>0</v>
      </c>
      <c r="N114" s="451">
        <f t="shared" si="19"/>
        <v>0</v>
      </c>
      <c r="O114" s="451">
        <f t="shared" si="19"/>
        <v>0</v>
      </c>
      <c r="P114" s="451">
        <f t="shared" si="19"/>
        <v>0</v>
      </c>
      <c r="Q114" s="451">
        <f t="shared" si="19"/>
        <v>0</v>
      </c>
      <c r="R114" s="451">
        <f t="shared" si="19"/>
        <v>0</v>
      </c>
      <c r="S114" s="451">
        <f t="shared" si="19"/>
        <v>0</v>
      </c>
      <c r="T114" s="451">
        <f t="shared" si="19"/>
        <v>0</v>
      </c>
      <c r="U114" s="451">
        <f t="shared" si="19"/>
        <v>0</v>
      </c>
      <c r="V114" s="451">
        <f t="shared" si="19"/>
        <v>0</v>
      </c>
      <c r="W114" s="451">
        <f t="shared" si="19"/>
        <v>0</v>
      </c>
      <c r="X114" s="451">
        <f t="shared" si="19"/>
        <v>0</v>
      </c>
      <c r="Y114" s="451">
        <f t="shared" si="19"/>
        <v>0</v>
      </c>
      <c r="Z114" s="451">
        <f t="shared" si="19"/>
        <v>0</v>
      </c>
      <c r="AA114" s="451">
        <f t="shared" si="19"/>
        <v>0</v>
      </c>
      <c r="AB114" s="451">
        <f t="shared" si="19"/>
        <v>0</v>
      </c>
      <c r="AC114" s="451">
        <f t="shared" si="19"/>
        <v>0</v>
      </c>
    </row>
    <row r="115" spans="2:40" hidden="1" outlineLevel="1">
      <c r="B115" s="444" t="s">
        <v>153</v>
      </c>
      <c r="F115" s="451">
        <f t="shared" si="19"/>
        <v>227.01190458715587</v>
      </c>
      <c r="G115" s="451">
        <f t="shared" si="19"/>
        <v>181.15091376146782</v>
      </c>
      <c r="H115" s="451">
        <f t="shared" si="19"/>
        <v>135.28992293577977</v>
      </c>
      <c r="I115" s="451">
        <f t="shared" si="19"/>
        <v>89.428932110091722</v>
      </c>
      <c r="J115" s="451">
        <f t="shared" si="19"/>
        <v>43.567941284403673</v>
      </c>
      <c r="K115" s="451">
        <f t="shared" si="19"/>
        <v>0</v>
      </c>
      <c r="L115" s="451">
        <f t="shared" si="19"/>
        <v>0</v>
      </c>
      <c r="M115" s="451">
        <f t="shared" si="19"/>
        <v>0</v>
      </c>
      <c r="N115" s="451">
        <f t="shared" si="19"/>
        <v>0</v>
      </c>
      <c r="O115" s="451">
        <f t="shared" si="19"/>
        <v>0</v>
      </c>
      <c r="P115" s="451">
        <f t="shared" si="19"/>
        <v>0</v>
      </c>
      <c r="Q115" s="451">
        <f t="shared" si="19"/>
        <v>0</v>
      </c>
      <c r="R115" s="451">
        <f t="shared" si="19"/>
        <v>0</v>
      </c>
      <c r="S115" s="451">
        <f t="shared" si="19"/>
        <v>0</v>
      </c>
      <c r="T115" s="451">
        <f t="shared" si="19"/>
        <v>0</v>
      </c>
      <c r="U115" s="451">
        <f t="shared" si="19"/>
        <v>0</v>
      </c>
      <c r="V115" s="451">
        <f t="shared" si="19"/>
        <v>0</v>
      </c>
      <c r="W115" s="451">
        <f t="shared" si="19"/>
        <v>0</v>
      </c>
      <c r="X115" s="451">
        <f t="shared" si="19"/>
        <v>0</v>
      </c>
      <c r="Y115" s="451">
        <f t="shared" si="19"/>
        <v>0</v>
      </c>
      <c r="Z115" s="451">
        <f t="shared" si="19"/>
        <v>0</v>
      </c>
      <c r="AA115" s="451">
        <f t="shared" si="19"/>
        <v>0</v>
      </c>
      <c r="AB115" s="451">
        <f t="shared" si="19"/>
        <v>0</v>
      </c>
      <c r="AC115" s="451">
        <f t="shared" si="19"/>
        <v>0</v>
      </c>
    </row>
    <row r="116" spans="2:40" hidden="1" outlineLevel="1">
      <c r="B116" s="444" t="s">
        <v>152</v>
      </c>
      <c r="G116" s="451">
        <f t="shared" si="19"/>
        <v>152.3978752293576</v>
      </c>
      <c r="H116" s="451">
        <f t="shared" si="19"/>
        <v>121.61042568807324</v>
      </c>
      <c r="I116" s="451">
        <f t="shared" si="19"/>
        <v>90.822976146788875</v>
      </c>
      <c r="J116" s="451">
        <f t="shared" si="19"/>
        <v>60.035526605504515</v>
      </c>
      <c r="K116" s="451">
        <f t="shared" si="19"/>
        <v>29.248077064220155</v>
      </c>
      <c r="L116" s="451">
        <f t="shared" si="19"/>
        <v>0</v>
      </c>
      <c r="M116" s="451">
        <f t="shared" si="19"/>
        <v>0</v>
      </c>
      <c r="N116" s="451">
        <f t="shared" si="19"/>
        <v>0</v>
      </c>
      <c r="O116" s="451">
        <f t="shared" si="19"/>
        <v>0</v>
      </c>
      <c r="P116" s="451">
        <f t="shared" si="19"/>
        <v>0</v>
      </c>
      <c r="Q116" s="451">
        <f t="shared" si="19"/>
        <v>0</v>
      </c>
      <c r="R116" s="451">
        <f t="shared" si="19"/>
        <v>0</v>
      </c>
      <c r="S116" s="451">
        <f t="shared" si="19"/>
        <v>0</v>
      </c>
      <c r="T116" s="451">
        <f t="shared" si="19"/>
        <v>0</v>
      </c>
      <c r="U116" s="451">
        <f t="shared" si="19"/>
        <v>0</v>
      </c>
      <c r="V116" s="451">
        <f t="shared" si="19"/>
        <v>0</v>
      </c>
      <c r="W116" s="451">
        <f t="shared" si="19"/>
        <v>0</v>
      </c>
      <c r="X116" s="451">
        <f t="shared" si="19"/>
        <v>0</v>
      </c>
      <c r="Y116" s="451">
        <f t="shared" si="19"/>
        <v>0</v>
      </c>
      <c r="Z116" s="451">
        <f t="shared" si="19"/>
        <v>0</v>
      </c>
      <c r="AA116" s="451">
        <f t="shared" si="19"/>
        <v>0</v>
      </c>
      <c r="AB116" s="451">
        <f t="shared" si="19"/>
        <v>0</v>
      </c>
      <c r="AC116" s="451">
        <f t="shared" si="19"/>
        <v>0</v>
      </c>
    </row>
    <row r="117" spans="2:40" hidden="1" outlineLevel="1">
      <c r="B117" s="444" t="s">
        <v>151</v>
      </c>
      <c r="H117" s="451">
        <f t="shared" si="19"/>
        <v>350.70559266055091</v>
      </c>
      <c r="I117" s="451">
        <f t="shared" si="19"/>
        <v>279.85597798165168</v>
      </c>
      <c r="J117" s="451">
        <f t="shared" si="19"/>
        <v>209.00636330275253</v>
      </c>
      <c r="K117" s="451">
        <f t="shared" si="19"/>
        <v>138.15674862385336</v>
      </c>
      <c r="L117" s="451">
        <f t="shared" si="19"/>
        <v>67.307133944954217</v>
      </c>
      <c r="M117" s="451">
        <f t="shared" si="19"/>
        <v>0</v>
      </c>
      <c r="N117" s="451">
        <f t="shared" si="19"/>
        <v>0</v>
      </c>
      <c r="O117" s="451">
        <f t="shared" si="19"/>
        <v>0</v>
      </c>
      <c r="P117" s="451">
        <f t="shared" si="19"/>
        <v>0</v>
      </c>
      <c r="Q117" s="451">
        <f t="shared" si="19"/>
        <v>0</v>
      </c>
      <c r="R117" s="451">
        <f t="shared" si="19"/>
        <v>0</v>
      </c>
      <c r="S117" s="451">
        <f t="shared" si="19"/>
        <v>0</v>
      </c>
      <c r="T117" s="451">
        <f t="shared" si="19"/>
        <v>0</v>
      </c>
      <c r="U117" s="451">
        <f t="shared" si="19"/>
        <v>0</v>
      </c>
      <c r="V117" s="451">
        <f t="shared" si="19"/>
        <v>0</v>
      </c>
      <c r="W117" s="451">
        <f t="shared" si="19"/>
        <v>0</v>
      </c>
      <c r="X117" s="451">
        <f t="shared" si="19"/>
        <v>0</v>
      </c>
      <c r="Y117" s="451">
        <f t="shared" si="19"/>
        <v>0</v>
      </c>
      <c r="Z117" s="451">
        <f t="shared" si="19"/>
        <v>0</v>
      </c>
      <c r="AA117" s="451">
        <f t="shared" si="19"/>
        <v>0</v>
      </c>
      <c r="AB117" s="451">
        <f t="shared" si="19"/>
        <v>0</v>
      </c>
      <c r="AC117" s="451">
        <f t="shared" si="19"/>
        <v>0</v>
      </c>
    </row>
    <row r="118" spans="2:40" hidden="1" outlineLevel="1">
      <c r="B118" s="444" t="s">
        <v>150</v>
      </c>
      <c r="I118" s="451">
        <f t="shared" si="19"/>
        <v>154.12810458715575</v>
      </c>
      <c r="J118" s="451">
        <f t="shared" si="19"/>
        <v>122.99111376146772</v>
      </c>
      <c r="K118" s="451">
        <f t="shared" si="19"/>
        <v>91.854122935779699</v>
      </c>
      <c r="L118" s="451">
        <f t="shared" si="19"/>
        <v>60.717132110091669</v>
      </c>
      <c r="M118" s="451">
        <f t="shared" si="19"/>
        <v>29.580141284403652</v>
      </c>
      <c r="N118" s="451">
        <f t="shared" si="19"/>
        <v>0</v>
      </c>
      <c r="O118" s="451">
        <f t="shared" si="19"/>
        <v>0</v>
      </c>
      <c r="P118" s="451">
        <f t="shared" si="19"/>
        <v>0</v>
      </c>
      <c r="Q118" s="451">
        <f t="shared" si="19"/>
        <v>0</v>
      </c>
      <c r="R118" s="451">
        <f t="shared" si="19"/>
        <v>0</v>
      </c>
      <c r="S118" s="451">
        <f t="shared" si="19"/>
        <v>0</v>
      </c>
      <c r="T118" s="451">
        <f t="shared" si="19"/>
        <v>0</v>
      </c>
      <c r="U118" s="451">
        <f t="shared" si="19"/>
        <v>0</v>
      </c>
      <c r="V118" s="451">
        <f t="shared" si="19"/>
        <v>0</v>
      </c>
      <c r="W118" s="451">
        <f t="shared" si="19"/>
        <v>0</v>
      </c>
      <c r="X118" s="451">
        <f t="shared" si="19"/>
        <v>0</v>
      </c>
      <c r="Y118" s="451">
        <f t="shared" si="19"/>
        <v>0</v>
      </c>
      <c r="Z118" s="451">
        <f t="shared" si="19"/>
        <v>0</v>
      </c>
      <c r="AA118" s="451">
        <f t="shared" si="19"/>
        <v>0</v>
      </c>
      <c r="AB118" s="451">
        <f t="shared" si="19"/>
        <v>0</v>
      </c>
      <c r="AC118" s="451">
        <f t="shared" si="19"/>
        <v>0</v>
      </c>
      <c r="AD118" s="451"/>
    </row>
    <row r="119" spans="2:40" hidden="1" outlineLevel="1">
      <c r="B119" s="444" t="s">
        <v>10</v>
      </c>
      <c r="J119" s="451">
        <f t="shared" si="19"/>
        <v>146.23871284403663</v>
      </c>
      <c r="K119" s="451">
        <f t="shared" si="19"/>
        <v>116.69553853211004</v>
      </c>
      <c r="L119" s="451">
        <f t="shared" si="19"/>
        <v>87.152364220183443</v>
      </c>
      <c r="M119" s="451">
        <f t="shared" si="19"/>
        <v>57.609189908256852</v>
      </c>
      <c r="N119" s="451">
        <f t="shared" si="19"/>
        <v>28.06601559633026</v>
      </c>
      <c r="O119" s="451">
        <f t="shared" si="19"/>
        <v>0</v>
      </c>
      <c r="P119" s="451">
        <f t="shared" si="19"/>
        <v>0</v>
      </c>
      <c r="Q119" s="451">
        <f t="shared" si="19"/>
        <v>0</v>
      </c>
      <c r="R119" s="451">
        <f t="shared" si="19"/>
        <v>0</v>
      </c>
      <c r="S119" s="451">
        <f t="shared" si="19"/>
        <v>0</v>
      </c>
      <c r="T119" s="451">
        <f t="shared" si="19"/>
        <v>0</v>
      </c>
      <c r="U119" s="451">
        <f t="shared" si="19"/>
        <v>0</v>
      </c>
      <c r="V119" s="451">
        <f t="shared" si="19"/>
        <v>0</v>
      </c>
      <c r="W119" s="451">
        <f t="shared" si="19"/>
        <v>0</v>
      </c>
      <c r="X119" s="451">
        <f t="shared" si="19"/>
        <v>0</v>
      </c>
      <c r="Y119" s="451">
        <f t="shared" si="19"/>
        <v>0</v>
      </c>
      <c r="Z119" s="451">
        <f t="shared" si="19"/>
        <v>0</v>
      </c>
      <c r="AA119" s="451">
        <f t="shared" si="19"/>
        <v>0</v>
      </c>
      <c r="AB119" s="451">
        <f t="shared" si="19"/>
        <v>0</v>
      </c>
      <c r="AC119" s="451">
        <f t="shared" si="19"/>
        <v>0</v>
      </c>
      <c r="AD119" s="451"/>
      <c r="AE119" s="451"/>
    </row>
    <row r="120" spans="2:40" hidden="1" outlineLevel="1">
      <c r="B120" s="444" t="s">
        <v>11</v>
      </c>
      <c r="K120" s="451">
        <f t="shared" si="19"/>
        <v>478.90259999999972</v>
      </c>
      <c r="L120" s="451">
        <f t="shared" si="19"/>
        <v>382.15459999999979</v>
      </c>
      <c r="M120" s="451">
        <f t="shared" si="19"/>
        <v>285.40659999999986</v>
      </c>
      <c r="N120" s="451">
        <f t="shared" si="19"/>
        <v>188.65859999999992</v>
      </c>
      <c r="O120" s="451">
        <f t="shared" si="19"/>
        <v>91.910599999999988</v>
      </c>
      <c r="P120" s="451">
        <f t="shared" si="19"/>
        <v>0</v>
      </c>
      <c r="Q120" s="451">
        <f t="shared" si="19"/>
        <v>0</v>
      </c>
      <c r="R120" s="451">
        <f t="shared" si="19"/>
        <v>0</v>
      </c>
      <c r="S120" s="451">
        <f t="shared" si="19"/>
        <v>0</v>
      </c>
      <c r="T120" s="451">
        <f t="shared" si="19"/>
        <v>0</v>
      </c>
      <c r="U120" s="451">
        <f t="shared" si="19"/>
        <v>0</v>
      </c>
      <c r="V120" s="451">
        <f t="shared" si="19"/>
        <v>0</v>
      </c>
      <c r="W120" s="451">
        <f t="shared" si="19"/>
        <v>0</v>
      </c>
      <c r="X120" s="451">
        <f t="shared" si="19"/>
        <v>0</v>
      </c>
      <c r="Y120" s="451">
        <f t="shared" si="19"/>
        <v>0</v>
      </c>
      <c r="Z120" s="451">
        <f t="shared" si="19"/>
        <v>0</v>
      </c>
      <c r="AA120" s="451">
        <f t="shared" si="19"/>
        <v>0</v>
      </c>
      <c r="AB120" s="451">
        <f t="shared" si="19"/>
        <v>0</v>
      </c>
      <c r="AC120" s="451">
        <f t="shared" si="19"/>
        <v>0</v>
      </c>
      <c r="AD120" s="451"/>
      <c r="AE120" s="451"/>
      <c r="AF120" s="451"/>
    </row>
    <row r="121" spans="2:40" hidden="1" outlineLevel="1">
      <c r="B121" s="444" t="s">
        <v>1</v>
      </c>
      <c r="L121" s="451">
        <f t="shared" si="19"/>
        <v>260.2867128440372</v>
      </c>
      <c r="M121" s="451">
        <f t="shared" si="19"/>
        <v>207.70353853211051</v>
      </c>
      <c r="N121" s="451">
        <f t="shared" si="19"/>
        <v>155.1203642201838</v>
      </c>
      <c r="O121" s="451">
        <f t="shared" si="19"/>
        <v>102.53718990825709</v>
      </c>
      <c r="P121" s="451">
        <f t="shared" si="19"/>
        <v>49.954015596330379</v>
      </c>
      <c r="Q121" s="451">
        <f t="shared" si="19"/>
        <v>0</v>
      </c>
      <c r="R121" s="451">
        <f t="shared" si="19"/>
        <v>0</v>
      </c>
      <c r="S121" s="451">
        <f t="shared" si="19"/>
        <v>0</v>
      </c>
      <c r="T121" s="451">
        <f t="shared" si="19"/>
        <v>0</v>
      </c>
      <c r="U121" s="451">
        <f t="shared" si="19"/>
        <v>0</v>
      </c>
      <c r="V121" s="451">
        <f t="shared" si="19"/>
        <v>0</v>
      </c>
      <c r="W121" s="451">
        <f t="shared" si="19"/>
        <v>0</v>
      </c>
      <c r="X121" s="451">
        <f t="shared" si="19"/>
        <v>0</v>
      </c>
      <c r="Y121" s="451">
        <f t="shared" si="19"/>
        <v>0</v>
      </c>
      <c r="Z121" s="451">
        <f t="shared" si="19"/>
        <v>0</v>
      </c>
      <c r="AA121" s="451">
        <f t="shared" si="19"/>
        <v>0</v>
      </c>
      <c r="AB121" s="451">
        <f t="shared" si="19"/>
        <v>0</v>
      </c>
      <c r="AC121" s="451">
        <f t="shared" si="19"/>
        <v>0</v>
      </c>
      <c r="AD121" s="451"/>
      <c r="AE121" s="451"/>
      <c r="AF121" s="451"/>
      <c r="AG121" s="451"/>
    </row>
    <row r="122" spans="2:40" hidden="1" outlineLevel="1">
      <c r="B122" s="444" t="s">
        <v>2</v>
      </c>
      <c r="M122" s="451">
        <f t="shared" si="19"/>
        <v>166.62217706422001</v>
      </c>
      <c r="N122" s="451">
        <f t="shared" si="19"/>
        <v>132.96113119266042</v>
      </c>
      <c r="O122" s="451">
        <f t="shared" si="19"/>
        <v>99.300085321100823</v>
      </c>
      <c r="P122" s="451">
        <f t="shared" si="19"/>
        <v>65.639039449541229</v>
      </c>
      <c r="Q122" s="451">
        <f t="shared" si="19"/>
        <v>31.977993577981636</v>
      </c>
      <c r="R122" s="451">
        <f t="shared" si="19"/>
        <v>0</v>
      </c>
      <c r="S122" s="451">
        <f t="shared" si="19"/>
        <v>0</v>
      </c>
      <c r="T122" s="451">
        <f t="shared" si="19"/>
        <v>0</v>
      </c>
      <c r="U122" s="451">
        <f t="shared" si="19"/>
        <v>0</v>
      </c>
      <c r="V122" s="451">
        <f t="shared" si="19"/>
        <v>0</v>
      </c>
      <c r="W122" s="451">
        <f t="shared" si="19"/>
        <v>0</v>
      </c>
      <c r="X122" s="451">
        <f t="shared" si="19"/>
        <v>0</v>
      </c>
      <c r="Y122" s="451">
        <f t="shared" si="19"/>
        <v>0</v>
      </c>
      <c r="Z122" s="451">
        <f t="shared" si="19"/>
        <v>0</v>
      </c>
      <c r="AA122" s="451">
        <f t="shared" si="19"/>
        <v>0</v>
      </c>
      <c r="AB122" s="451">
        <f t="shared" si="19"/>
        <v>0</v>
      </c>
      <c r="AC122" s="451">
        <f t="shared" si="19"/>
        <v>0</v>
      </c>
      <c r="AD122" s="451"/>
      <c r="AE122" s="451"/>
      <c r="AF122" s="451"/>
      <c r="AG122" s="451"/>
      <c r="AH122" s="451"/>
    </row>
    <row r="123" spans="2:40" hidden="1" outlineLevel="1">
      <c r="B123" s="444" t="s">
        <v>3</v>
      </c>
      <c r="N123" s="451">
        <f t="shared" si="19"/>
        <v>743.86819816513696</v>
      </c>
      <c r="O123" s="451">
        <f t="shared" si="19"/>
        <v>593.59179449541239</v>
      </c>
      <c r="P123" s="451">
        <f t="shared" si="19"/>
        <v>443.3153908256877</v>
      </c>
      <c r="Q123" s="451">
        <f t="shared" si="19"/>
        <v>293.03898715596301</v>
      </c>
      <c r="R123" s="451">
        <f t="shared" si="19"/>
        <v>142.76258348623833</v>
      </c>
      <c r="S123" s="451">
        <f t="shared" si="19"/>
        <v>0</v>
      </c>
      <c r="T123" s="451">
        <f t="shared" si="19"/>
        <v>0</v>
      </c>
      <c r="U123" s="451">
        <f t="shared" si="19"/>
        <v>0</v>
      </c>
      <c r="V123" s="451">
        <f t="shared" si="19"/>
        <v>0</v>
      </c>
      <c r="W123" s="451">
        <f t="shared" si="19"/>
        <v>0</v>
      </c>
      <c r="X123" s="451">
        <f t="shared" si="19"/>
        <v>0</v>
      </c>
      <c r="Y123" s="451">
        <f t="shared" si="19"/>
        <v>0</v>
      </c>
      <c r="Z123" s="451">
        <f t="shared" si="19"/>
        <v>0</v>
      </c>
      <c r="AA123" s="451">
        <f t="shared" si="19"/>
        <v>0</v>
      </c>
      <c r="AB123" s="451">
        <f t="shared" si="19"/>
        <v>0</v>
      </c>
      <c r="AC123" s="451">
        <f t="shared" si="19"/>
        <v>0</v>
      </c>
      <c r="AD123" s="451"/>
      <c r="AE123" s="451"/>
      <c r="AF123" s="451"/>
      <c r="AG123" s="451"/>
      <c r="AH123" s="451"/>
      <c r="AI123" s="451"/>
    </row>
    <row r="124" spans="2:40" hidden="1" outlineLevel="1">
      <c r="B124" s="444" t="s">
        <v>4</v>
      </c>
      <c r="O124" s="451">
        <f t="shared" si="19"/>
        <v>398.89316146789099</v>
      </c>
      <c r="P124" s="451">
        <f t="shared" si="19"/>
        <v>318.30868440367061</v>
      </c>
      <c r="Q124" s="451">
        <f t="shared" si="19"/>
        <v>237.72420733945017</v>
      </c>
      <c r="R124" s="451">
        <f t="shared" si="19"/>
        <v>157.13973027522979</v>
      </c>
      <c r="S124" s="451">
        <f t="shared" si="19"/>
        <v>76.555253211009358</v>
      </c>
      <c r="T124" s="451">
        <f t="shared" si="19"/>
        <v>0</v>
      </c>
      <c r="U124" s="451">
        <f t="shared" si="19"/>
        <v>0</v>
      </c>
      <c r="V124" s="451">
        <f t="shared" si="19"/>
        <v>0</v>
      </c>
      <c r="W124" s="451">
        <f t="shared" si="19"/>
        <v>0</v>
      </c>
      <c r="X124" s="451">
        <f t="shared" si="19"/>
        <v>0</v>
      </c>
      <c r="Y124" s="451">
        <f t="shared" si="19"/>
        <v>0</v>
      </c>
      <c r="Z124" s="451">
        <f t="shared" si="19"/>
        <v>0</v>
      </c>
      <c r="AA124" s="451">
        <f t="shared" si="19"/>
        <v>0</v>
      </c>
      <c r="AB124" s="451">
        <f t="shared" si="19"/>
        <v>0</v>
      </c>
      <c r="AC124" s="451">
        <f t="shared" si="19"/>
        <v>0</v>
      </c>
      <c r="AD124" s="451"/>
      <c r="AE124" s="451"/>
      <c r="AF124" s="451"/>
      <c r="AG124" s="451"/>
      <c r="AH124" s="451"/>
      <c r="AI124" s="451"/>
      <c r="AJ124" s="451"/>
    </row>
    <row r="125" spans="2:40" hidden="1" outlineLevel="1">
      <c r="B125" s="444" t="s">
        <v>5</v>
      </c>
      <c r="P125" s="451">
        <f t="shared" si="19"/>
        <v>345.6065477064214</v>
      </c>
      <c r="Q125" s="451">
        <f t="shared" si="19"/>
        <v>275.7870431192656</v>
      </c>
      <c r="R125" s="451">
        <f t="shared" si="19"/>
        <v>205.96753853210976</v>
      </c>
      <c r="S125" s="451">
        <f t="shared" si="19"/>
        <v>136.14803394495391</v>
      </c>
      <c r="T125" s="451">
        <f t="shared" si="19"/>
        <v>66.328529357798061</v>
      </c>
      <c r="U125" s="451">
        <f t="shared" si="19"/>
        <v>0</v>
      </c>
      <c r="V125" s="451">
        <f t="shared" si="19"/>
        <v>0</v>
      </c>
      <c r="W125" s="451">
        <f t="shared" si="19"/>
        <v>0</v>
      </c>
      <c r="X125" s="451">
        <f t="shared" si="19"/>
        <v>0</v>
      </c>
      <c r="Y125" s="451">
        <f t="shared" si="19"/>
        <v>0</v>
      </c>
      <c r="Z125" s="451">
        <f t="shared" si="19"/>
        <v>0</v>
      </c>
      <c r="AA125" s="451">
        <f t="shared" si="19"/>
        <v>0</v>
      </c>
      <c r="AB125" s="451">
        <f t="shared" si="19"/>
        <v>0</v>
      </c>
      <c r="AC125" s="451">
        <f t="shared" si="19"/>
        <v>0</v>
      </c>
      <c r="AD125" s="451"/>
      <c r="AE125" s="451"/>
      <c r="AF125" s="451"/>
      <c r="AG125" s="451"/>
      <c r="AH125" s="451"/>
      <c r="AI125" s="451"/>
      <c r="AJ125" s="451"/>
      <c r="AK125" s="451"/>
    </row>
    <row r="126" spans="2:40" hidden="1" outlineLevel="1">
      <c r="B126" s="444" t="s">
        <v>68</v>
      </c>
      <c r="Q126" s="451">
        <f t="shared" si="19"/>
        <v>1166.7615027522932</v>
      </c>
      <c r="R126" s="451">
        <f t="shared" si="19"/>
        <v>931.05210825688039</v>
      </c>
      <c r="S126" s="451">
        <f t="shared" si="19"/>
        <v>695.34271376146762</v>
      </c>
      <c r="T126" s="451">
        <f t="shared" si="19"/>
        <v>459.63331926605485</v>
      </c>
      <c r="U126" s="451">
        <f t="shared" si="19"/>
        <v>223.92392477064209</v>
      </c>
      <c r="V126" s="451">
        <f t="shared" si="19"/>
        <v>0</v>
      </c>
      <c r="W126" s="451">
        <f t="shared" si="19"/>
        <v>0</v>
      </c>
      <c r="X126" s="451">
        <f t="shared" si="19"/>
        <v>0</v>
      </c>
      <c r="Y126" s="451">
        <f t="shared" si="19"/>
        <v>0</v>
      </c>
      <c r="Z126" s="451">
        <f t="shared" si="19"/>
        <v>0</v>
      </c>
      <c r="AA126" s="451">
        <f t="shared" si="19"/>
        <v>0</v>
      </c>
      <c r="AB126" s="451">
        <f t="shared" si="19"/>
        <v>0</v>
      </c>
      <c r="AC126" s="451">
        <f t="shared" si="19"/>
        <v>0</v>
      </c>
      <c r="AD126" s="451"/>
      <c r="AE126" s="451"/>
      <c r="AF126" s="451"/>
      <c r="AG126" s="451"/>
      <c r="AH126" s="451"/>
      <c r="AI126" s="451"/>
      <c r="AJ126" s="451"/>
      <c r="AK126" s="451"/>
      <c r="AL126" s="451"/>
    </row>
    <row r="127" spans="2:40" hidden="1" outlineLevel="1">
      <c r="B127" s="444" t="s">
        <v>6</v>
      </c>
      <c r="R127" s="451">
        <f t="shared" ca="1" si="19"/>
        <v>809.40741212579155</v>
      </c>
      <c r="S127" s="451">
        <f t="shared" ca="1" si="19"/>
        <v>645.89076321149014</v>
      </c>
      <c r="T127" s="451">
        <f t="shared" ca="1" si="19"/>
        <v>482.3741142971889</v>
      </c>
      <c r="U127" s="451">
        <f t="shared" ca="1" si="19"/>
        <v>318.85746538288754</v>
      </c>
      <c r="V127" s="451">
        <f t="shared" ca="1" si="19"/>
        <v>155.34081646858624</v>
      </c>
      <c r="W127" s="451">
        <f t="shared" ca="1" si="19"/>
        <v>0</v>
      </c>
      <c r="X127" s="451">
        <f t="shared" ca="1" si="19"/>
        <v>0</v>
      </c>
      <c r="Y127" s="451">
        <f t="shared" ca="1" si="19"/>
        <v>0</v>
      </c>
      <c r="Z127" s="451">
        <f t="shared" ca="1" si="19"/>
        <v>0</v>
      </c>
      <c r="AA127" s="451">
        <f t="shared" ref="AA127:AC132" ca="1" si="20">+AA73-AA100</f>
        <v>0</v>
      </c>
      <c r="AB127" s="451">
        <f t="shared" ca="1" si="20"/>
        <v>0</v>
      </c>
      <c r="AC127" s="451">
        <f t="shared" ca="1" si="20"/>
        <v>0</v>
      </c>
      <c r="AD127" s="451"/>
      <c r="AE127" s="451"/>
      <c r="AF127" s="451"/>
      <c r="AG127" s="451"/>
      <c r="AH127" s="451"/>
      <c r="AI127" s="451"/>
      <c r="AJ127" s="451"/>
      <c r="AK127" s="451"/>
      <c r="AL127" s="451"/>
      <c r="AM127" s="451"/>
    </row>
    <row r="128" spans="2:40" hidden="1" outlineLevel="1">
      <c r="B128" s="444" t="s">
        <v>22</v>
      </c>
      <c r="S128" s="451">
        <f t="shared" ref="S128:AC133" ca="1" si="21">+S74-S101</f>
        <v>1094.1273033707184</v>
      </c>
      <c r="T128" s="451">
        <f t="shared" ca="1" si="21"/>
        <v>873.09148450794714</v>
      </c>
      <c r="U128" s="451">
        <f t="shared" ca="1" si="21"/>
        <v>652.05566564517562</v>
      </c>
      <c r="V128" s="451">
        <f t="shared" ca="1" si="21"/>
        <v>431.01984678240422</v>
      </c>
      <c r="W128" s="451">
        <f t="shared" ca="1" si="21"/>
        <v>209.98402791963281</v>
      </c>
      <c r="X128" s="451">
        <f t="shared" ca="1" si="21"/>
        <v>0</v>
      </c>
      <c r="Y128" s="451">
        <f t="shared" ca="1" si="21"/>
        <v>0</v>
      </c>
      <c r="Z128" s="451">
        <f t="shared" ca="1" si="21"/>
        <v>0</v>
      </c>
      <c r="AA128" s="451">
        <f t="shared" ca="1" si="21"/>
        <v>0</v>
      </c>
      <c r="AB128" s="451">
        <f t="shared" ca="1" si="21"/>
        <v>0</v>
      </c>
      <c r="AC128" s="451">
        <f t="shared" ca="1" si="20"/>
        <v>0</v>
      </c>
      <c r="AD128" s="451"/>
      <c r="AE128" s="451"/>
      <c r="AF128" s="451"/>
      <c r="AG128" s="451"/>
      <c r="AH128" s="451"/>
      <c r="AI128" s="451"/>
      <c r="AJ128" s="451"/>
      <c r="AK128" s="451"/>
      <c r="AL128" s="451"/>
      <c r="AM128" s="451"/>
      <c r="AN128" s="451"/>
    </row>
    <row r="129" spans="2:40" hidden="1" outlineLevel="1">
      <c r="B129" s="444" t="s">
        <v>23</v>
      </c>
      <c r="S129" s="451"/>
      <c r="T129" s="451">
        <f t="shared" ca="1" si="21"/>
        <v>1241.4317292613705</v>
      </c>
      <c r="U129" s="451">
        <f t="shared" ca="1" si="21"/>
        <v>990.63744052169966</v>
      </c>
      <c r="V129" s="451">
        <f t="shared" ca="1" si="21"/>
        <v>739.84315178202883</v>
      </c>
      <c r="W129" s="451">
        <f t="shared" ca="1" si="21"/>
        <v>489.04886304235799</v>
      </c>
      <c r="X129" s="451">
        <f t="shared" ca="1" si="21"/>
        <v>238.25457430268716</v>
      </c>
      <c r="Y129" s="451">
        <f t="shared" ca="1" si="21"/>
        <v>0</v>
      </c>
      <c r="Z129" s="451">
        <f ca="1">+Z75-Z102</f>
        <v>0</v>
      </c>
      <c r="AA129" s="451">
        <f t="shared" ca="1" si="21"/>
        <v>0</v>
      </c>
      <c r="AB129" s="451">
        <f t="shared" ca="1" si="21"/>
        <v>0</v>
      </c>
      <c r="AC129" s="451">
        <f t="shared" ca="1" si="20"/>
        <v>0</v>
      </c>
      <c r="AD129" s="451"/>
      <c r="AE129" s="451"/>
      <c r="AF129" s="451"/>
      <c r="AG129" s="451"/>
      <c r="AH129" s="451"/>
      <c r="AI129" s="451"/>
      <c r="AJ129" s="451"/>
      <c r="AK129" s="451"/>
      <c r="AL129" s="451"/>
      <c r="AM129" s="451"/>
      <c r="AN129" s="451"/>
    </row>
    <row r="130" spans="2:40" hidden="1" outlineLevel="1">
      <c r="B130" s="444" t="s">
        <v>24</v>
      </c>
      <c r="S130" s="451"/>
      <c r="T130" s="451"/>
      <c r="U130" s="451">
        <f t="shared" ca="1" si="21"/>
        <v>1398.2851682144765</v>
      </c>
      <c r="V130" s="451">
        <f t="shared" ca="1" si="21"/>
        <v>1115.8033160499358</v>
      </c>
      <c r="W130" s="451">
        <f t="shared" ca="1" si="21"/>
        <v>833.32146388539513</v>
      </c>
      <c r="X130" s="451">
        <f t="shared" ca="1" si="21"/>
        <v>550.83961172085446</v>
      </c>
      <c r="Y130" s="451">
        <f t="shared" ca="1" si="21"/>
        <v>268.35775955631379</v>
      </c>
      <c r="Z130" s="451">
        <f t="shared" ca="1" si="21"/>
        <v>0</v>
      </c>
      <c r="AA130" s="451">
        <f t="shared" ca="1" si="21"/>
        <v>0</v>
      </c>
      <c r="AB130" s="451">
        <f t="shared" ca="1" si="21"/>
        <v>0</v>
      </c>
      <c r="AC130" s="451">
        <f t="shared" ca="1" si="20"/>
        <v>0</v>
      </c>
      <c r="AD130" s="451"/>
      <c r="AE130" s="451"/>
      <c r="AF130" s="451"/>
      <c r="AG130" s="451"/>
      <c r="AH130" s="451"/>
      <c r="AI130" s="451"/>
      <c r="AJ130" s="451"/>
      <c r="AK130" s="451"/>
      <c r="AL130" s="451"/>
      <c r="AM130" s="451"/>
      <c r="AN130" s="451"/>
    </row>
    <row r="131" spans="2:40" hidden="1" outlineLevel="1">
      <c r="B131" s="444" t="s">
        <v>25</v>
      </c>
      <c r="S131" s="451"/>
      <c r="T131" s="451"/>
      <c r="U131" s="451"/>
      <c r="V131" s="451">
        <f t="shared" ca="1" si="21"/>
        <v>1543.3748458259179</v>
      </c>
      <c r="W131" s="451">
        <f t="shared" ca="1" si="21"/>
        <v>1231.5819476792678</v>
      </c>
      <c r="X131" s="451">
        <f t="shared" ca="1" si="21"/>
        <v>919.78904953261781</v>
      </c>
      <c r="Y131" s="451">
        <f t="shared" ca="1" si="21"/>
        <v>607.99615138596778</v>
      </c>
      <c r="Z131" s="451">
        <f t="shared" ca="1" si="21"/>
        <v>296.20325323931775</v>
      </c>
      <c r="AA131" s="451">
        <f t="shared" ca="1" si="21"/>
        <v>0</v>
      </c>
      <c r="AB131" s="451">
        <f t="shared" ca="1" si="21"/>
        <v>0</v>
      </c>
      <c r="AC131" s="451">
        <f t="shared" ca="1" si="20"/>
        <v>0</v>
      </c>
      <c r="AD131" s="451"/>
      <c r="AE131" s="451"/>
      <c r="AF131" s="451"/>
      <c r="AG131" s="451"/>
      <c r="AH131" s="451"/>
      <c r="AI131" s="451"/>
      <c r="AJ131" s="451"/>
      <c r="AK131" s="451"/>
      <c r="AL131" s="451"/>
      <c r="AM131" s="451"/>
      <c r="AN131" s="451"/>
    </row>
    <row r="132" spans="2:40" hidden="1" outlineLevel="1">
      <c r="B132" s="444" t="s">
        <v>26</v>
      </c>
      <c r="S132" s="451"/>
      <c r="T132" s="451"/>
      <c r="U132" s="451"/>
      <c r="V132" s="451"/>
      <c r="W132" s="451">
        <f t="shared" ca="1" si="21"/>
        <v>1687.1827794106944</v>
      </c>
      <c r="X132" s="451">
        <f t="shared" ca="1" si="21"/>
        <v>1346.3377734691401</v>
      </c>
      <c r="Y132" s="451">
        <f t="shared" ca="1" si="21"/>
        <v>1005.4927675275856</v>
      </c>
      <c r="Z132" s="451">
        <f t="shared" ca="1" si="21"/>
        <v>664.64776158603127</v>
      </c>
      <c r="AA132" s="451">
        <f t="shared" ca="1" si="21"/>
        <v>323.80275564447675</v>
      </c>
      <c r="AB132" s="451">
        <f t="shared" ca="1" si="21"/>
        <v>0</v>
      </c>
      <c r="AC132" s="451">
        <f t="shared" ca="1" si="20"/>
        <v>0</v>
      </c>
      <c r="AD132" s="451"/>
      <c r="AE132" s="451"/>
      <c r="AF132" s="451"/>
      <c r="AG132" s="451"/>
      <c r="AH132" s="451"/>
      <c r="AI132" s="451"/>
      <c r="AJ132" s="451"/>
      <c r="AK132" s="451"/>
      <c r="AL132" s="451"/>
      <c r="AM132" s="451"/>
      <c r="AN132" s="451"/>
    </row>
    <row r="133" spans="2:40" hidden="1" outlineLevel="1">
      <c r="B133" s="444" t="s">
        <v>27</v>
      </c>
      <c r="S133" s="451"/>
      <c r="T133" s="451"/>
      <c r="U133" s="451"/>
      <c r="V133" s="451"/>
      <c r="W133" s="451"/>
      <c r="X133" s="451">
        <f t="shared" ca="1" si="21"/>
        <v>1833.8027148218512</v>
      </c>
      <c r="Y133" s="451">
        <f t="shared" ca="1" si="21"/>
        <v>1463.3375199083457</v>
      </c>
      <c r="Z133" s="451">
        <f t="shared" ca="1" si="21"/>
        <v>1092.8723249948407</v>
      </c>
      <c r="AA133" s="451">
        <f t="shared" ca="1" si="21"/>
        <v>722.40713008133525</v>
      </c>
      <c r="AB133" s="451">
        <f t="shared" ca="1" si="21"/>
        <v>351.94193516783002</v>
      </c>
      <c r="AC133" s="451">
        <f t="shared" ca="1" si="21"/>
        <v>0</v>
      </c>
      <c r="AD133" s="451"/>
      <c r="AE133" s="451"/>
      <c r="AF133" s="451"/>
      <c r="AG133" s="451"/>
      <c r="AH133" s="451"/>
      <c r="AI133" s="451"/>
      <c r="AJ133" s="451"/>
      <c r="AK133" s="451"/>
      <c r="AL133" s="451"/>
      <c r="AM133" s="451"/>
      <c r="AN133" s="451"/>
    </row>
    <row r="134" spans="2:40" hidden="1" outlineLevel="1">
      <c r="B134" s="444" t="s">
        <v>38</v>
      </c>
      <c r="S134" s="451"/>
      <c r="T134" s="451"/>
      <c r="U134" s="451"/>
      <c r="V134" s="451"/>
      <c r="W134" s="451"/>
      <c r="X134" s="451"/>
      <c r="Y134" s="451">
        <f ca="1">+Y80-Y107</f>
        <v>1973.7941517916397</v>
      </c>
      <c r="Z134" s="451">
        <f ca="1">+Z80-Z107</f>
        <v>1575.0478585003993</v>
      </c>
      <c r="AA134" s="451">
        <f ca="1">+AA80-AA107</f>
        <v>1176.3015652091592</v>
      </c>
      <c r="AB134" s="451">
        <f ca="1">+AB80-AB107</f>
        <v>777.55527191791884</v>
      </c>
      <c r="AC134" s="451">
        <f ca="1">+AC80-AC107</f>
        <v>378.80897862667848</v>
      </c>
      <c r="AD134" s="451"/>
      <c r="AE134" s="451"/>
      <c r="AF134" s="451"/>
      <c r="AG134" s="451"/>
      <c r="AH134" s="451"/>
      <c r="AI134" s="451"/>
      <c r="AJ134" s="451"/>
      <c r="AK134" s="451"/>
      <c r="AL134" s="451"/>
      <c r="AM134" s="451"/>
      <c r="AN134" s="451"/>
    </row>
    <row r="135" spans="2:40" hidden="1" outlineLevel="1">
      <c r="B135" s="444" t="s">
        <v>39</v>
      </c>
      <c r="S135" s="451"/>
      <c r="T135" s="451"/>
      <c r="U135" s="451"/>
      <c r="V135" s="451"/>
      <c r="W135" s="451"/>
      <c r="X135" s="451"/>
      <c r="Y135" s="451"/>
      <c r="Z135" s="451">
        <f ca="1">+Z81-Z108</f>
        <v>2109.1703263822801</v>
      </c>
      <c r="AA135" s="451">
        <f ca="1">+AA81-AA108</f>
        <v>1683.0753109515165</v>
      </c>
      <c r="AB135" s="451">
        <f ca="1">+AB81-AB108</f>
        <v>1256.9802955207529</v>
      </c>
      <c r="AC135" s="451">
        <f ca="1">+AC81-AC108</f>
        <v>830.88528008998924</v>
      </c>
      <c r="AD135" s="451"/>
      <c r="AE135" s="451"/>
      <c r="AF135" s="451"/>
      <c r="AG135" s="451"/>
      <c r="AH135" s="451"/>
      <c r="AI135" s="451"/>
      <c r="AJ135" s="451"/>
      <c r="AK135" s="451"/>
      <c r="AL135" s="451"/>
      <c r="AM135" s="451"/>
      <c r="AN135" s="451"/>
    </row>
    <row r="136" spans="2:40" hidden="1" outlineLevel="1">
      <c r="B136" s="444" t="s">
        <v>40</v>
      </c>
      <c r="S136" s="451"/>
      <c r="T136" s="451"/>
      <c r="U136" s="451"/>
      <c r="V136" s="451"/>
      <c r="W136" s="451"/>
      <c r="X136" s="451"/>
      <c r="Y136" s="451"/>
      <c r="Z136" s="451"/>
      <c r="AA136" s="451">
        <f ca="1">+AA82-AA109</f>
        <v>2239.4310833205723</v>
      </c>
      <c r="AB136" s="451">
        <f ca="1">+AB82-AB109</f>
        <v>1787.0207634578303</v>
      </c>
      <c r="AC136" s="451">
        <f ca="1">+AC82-AC109</f>
        <v>1334.6104435950883</v>
      </c>
      <c r="AD136" s="451"/>
      <c r="AE136" s="451"/>
      <c r="AF136" s="451"/>
      <c r="AG136" s="451"/>
      <c r="AH136" s="451"/>
      <c r="AI136" s="451"/>
      <c r="AJ136" s="451"/>
      <c r="AK136" s="451"/>
      <c r="AL136" s="451"/>
      <c r="AM136" s="451"/>
      <c r="AN136" s="451"/>
    </row>
    <row r="137" spans="2:40" hidden="1" outlineLevel="1">
      <c r="B137" s="444" t="s">
        <v>41</v>
      </c>
      <c r="S137" s="451"/>
      <c r="T137" s="451"/>
      <c r="U137" s="451"/>
      <c r="V137" s="451"/>
      <c r="W137" s="451"/>
      <c r="X137" s="451"/>
      <c r="Y137" s="451"/>
      <c r="Z137" s="451"/>
      <c r="AA137" s="451"/>
      <c r="AB137" s="451">
        <f ca="1">+AB83-AB110</f>
        <v>2364.1040282419476</v>
      </c>
      <c r="AC137" s="451">
        <f ca="1">+AC83-AC110</f>
        <v>1886.5072548597361</v>
      </c>
      <c r="AD137" s="451"/>
      <c r="AE137" s="451"/>
      <c r="AF137" s="451"/>
      <c r="AG137" s="451"/>
      <c r="AH137" s="451"/>
      <c r="AI137" s="451"/>
      <c r="AJ137" s="451"/>
      <c r="AK137" s="451"/>
      <c r="AL137" s="451"/>
      <c r="AM137" s="451"/>
      <c r="AN137" s="451"/>
    </row>
    <row r="138" spans="2:40" hidden="1" outlineLevel="1">
      <c r="B138" s="444" t="s">
        <v>112</v>
      </c>
      <c r="S138" s="451"/>
      <c r="T138" s="451"/>
      <c r="U138" s="451"/>
      <c r="V138" s="451"/>
      <c r="W138" s="451"/>
      <c r="X138" s="451"/>
      <c r="Y138" s="451"/>
      <c r="Z138" s="451"/>
      <c r="AA138" s="451"/>
      <c r="AB138" s="451"/>
      <c r="AC138" s="451">
        <f ca="1">+AC84-AC111</f>
        <v>2482.5693629687771</v>
      </c>
      <c r="AD138" s="451"/>
      <c r="AE138" s="451"/>
      <c r="AF138" s="451"/>
      <c r="AG138" s="451"/>
      <c r="AH138" s="451"/>
      <c r="AI138" s="451"/>
      <c r="AJ138" s="451"/>
      <c r="AK138" s="451"/>
      <c r="AL138" s="451"/>
      <c r="AM138" s="451"/>
      <c r="AN138" s="451"/>
    </row>
    <row r="139" spans="2:40" collapsed="1"/>
    <row r="140" spans="2:40">
      <c r="B140" s="447" t="s">
        <v>651</v>
      </c>
      <c r="C140" s="448"/>
    </row>
    <row r="142" spans="2:40">
      <c r="B142" s="449" t="s">
        <v>652</v>
      </c>
    </row>
    <row r="143" spans="2:40">
      <c r="B143" s="444" t="s">
        <v>668</v>
      </c>
      <c r="D143" s="464">
        <v>0.89119999999999999</v>
      </c>
      <c r="E143" s="464">
        <v>1.5410999999999999</v>
      </c>
      <c r="F143" s="464">
        <v>1.5270999999999999</v>
      </c>
      <c r="G143" s="464">
        <v>3.9868999999999999</v>
      </c>
      <c r="H143" s="464">
        <v>4.0368000000000004</v>
      </c>
      <c r="I143" s="464">
        <v>4.0674000000000001</v>
      </c>
      <c r="J143" s="464">
        <v>4.0493000000000006</v>
      </c>
      <c r="K143" s="464">
        <v>3.9831999999999996</v>
      </c>
      <c r="L143" s="464">
        <v>4.0114000000000001</v>
      </c>
      <c r="M143" s="464">
        <v>3.9918</v>
      </c>
      <c r="N143" s="464">
        <v>3.9426000000000001</v>
      </c>
      <c r="O143" s="464">
        <v>6.4882</v>
      </c>
      <c r="P143" s="464">
        <v>7.6618000000000004</v>
      </c>
      <c r="Q143" s="464">
        <v>7.6219999999999999</v>
      </c>
    </row>
    <row r="144" spans="2:40">
      <c r="B144" s="444" t="s">
        <v>653</v>
      </c>
      <c r="D144" s="464">
        <v>145.96600000000001</v>
      </c>
      <c r="E144" s="464">
        <v>172.8725</v>
      </c>
      <c r="F144" s="464">
        <v>197.4118</v>
      </c>
      <c r="G144" s="464">
        <v>229.18270000000001</v>
      </c>
      <c r="H144" s="464">
        <v>269.16390000000001</v>
      </c>
      <c r="I144" s="464">
        <v>296.80190000000005</v>
      </c>
      <c r="J144" s="464">
        <v>304.40449999999998</v>
      </c>
      <c r="K144" s="464">
        <v>379.13459999999998</v>
      </c>
      <c r="L144" s="464">
        <v>418.71429999999998</v>
      </c>
      <c r="M144" s="464">
        <v>438.07499999999999</v>
      </c>
      <c r="N144" s="464">
        <v>522.44740000000002</v>
      </c>
      <c r="O144" s="464">
        <v>576.59780000000001</v>
      </c>
      <c r="P144" s="464">
        <v>637.04690000000005</v>
      </c>
      <c r="Q144" s="464">
        <v>817.82299999999998</v>
      </c>
    </row>
    <row r="145" spans="2:29">
      <c r="B145" s="444" t="s">
        <v>666</v>
      </c>
      <c r="D145" s="464">
        <v>913.15519999999992</v>
      </c>
      <c r="E145" s="464">
        <v>1057.5887</v>
      </c>
      <c r="F145" s="464">
        <v>1279.8932</v>
      </c>
      <c r="G145" s="464">
        <v>1413.9198000000001</v>
      </c>
      <c r="H145" s="464">
        <v>1754.1702</v>
      </c>
      <c r="I145" s="464">
        <v>1893.4896000000001</v>
      </c>
      <c r="J145" s="464">
        <v>2042.8677</v>
      </c>
      <c r="K145" s="464">
        <v>2487.7522999999997</v>
      </c>
      <c r="L145" s="464">
        <v>2728.7602000000002</v>
      </c>
      <c r="M145" s="464">
        <v>2886.623</v>
      </c>
      <c r="N145" s="464">
        <v>3607.0057000000002</v>
      </c>
      <c r="O145" s="464">
        <v>3984.7492000000002</v>
      </c>
      <c r="P145" s="464">
        <v>4295.9425999999994</v>
      </c>
      <c r="Q145" s="464">
        <v>5384.9856</v>
      </c>
    </row>
    <row r="146" spans="2:29">
      <c r="B146" s="444" t="s">
        <v>667</v>
      </c>
      <c r="D146" s="464">
        <v>14.8566</v>
      </c>
      <c r="E146" s="464">
        <v>16.9693</v>
      </c>
      <c r="F146" s="464">
        <v>20.067900000000002</v>
      </c>
      <c r="G146" s="464">
        <v>22.062000000000001</v>
      </c>
      <c r="H146" s="464">
        <v>27.960799999999999</v>
      </c>
      <c r="I146" s="464">
        <v>30.7</v>
      </c>
      <c r="J146" s="464">
        <v>34.729599999999998</v>
      </c>
      <c r="K146" s="464">
        <v>42.391500000000001</v>
      </c>
      <c r="L146" s="464">
        <v>48.382199999999997</v>
      </c>
      <c r="M146" s="464">
        <v>54.611400000000003</v>
      </c>
      <c r="N146" s="464">
        <v>68.862700000000004</v>
      </c>
      <c r="O146" s="464">
        <v>76.154200000000003</v>
      </c>
      <c r="P146" s="464">
        <v>85.028000000000006</v>
      </c>
      <c r="Q146" s="464">
        <v>99.825100000000006</v>
      </c>
    </row>
    <row r="147" spans="2:29">
      <c r="B147" s="444" t="s">
        <v>676</v>
      </c>
      <c r="D147" s="464">
        <v>0.7016</v>
      </c>
      <c r="E147" s="464">
        <v>0.79149999999999998</v>
      </c>
      <c r="F147" s="464">
        <v>0.76679999999999993</v>
      </c>
      <c r="G147" s="464">
        <v>0.80449999999999999</v>
      </c>
      <c r="H147" s="464">
        <v>0.84120000000000006</v>
      </c>
      <c r="I147" s="464">
        <v>7.0999999999999995E-3</v>
      </c>
      <c r="J147" s="464">
        <v>0</v>
      </c>
      <c r="K147" s="464">
        <v>0</v>
      </c>
      <c r="L147" s="464">
        <v>0</v>
      </c>
      <c r="M147" s="464">
        <v>0</v>
      </c>
      <c r="N147" s="464">
        <v>0</v>
      </c>
      <c r="O147" s="464">
        <v>0</v>
      </c>
      <c r="P147" s="464">
        <v>0</v>
      </c>
      <c r="Q147" s="464">
        <v>0</v>
      </c>
    </row>
    <row r="148" spans="2:29" ht="13.5">
      <c r="B148" s="444" t="s">
        <v>654</v>
      </c>
      <c r="D148" s="463">
        <v>86.151600000000002</v>
      </c>
      <c r="E148" s="463">
        <v>116.864</v>
      </c>
      <c r="F148" s="463">
        <v>119.06399999999999</v>
      </c>
      <c r="G148" s="463">
        <v>272.17379999999997</v>
      </c>
      <c r="H148" s="463">
        <v>109.3347</v>
      </c>
      <c r="I148" s="463">
        <v>192.11150000000001</v>
      </c>
      <c r="J148" s="463">
        <v>387.19970000000001</v>
      </c>
      <c r="K148" s="463">
        <v>167.3535</v>
      </c>
      <c r="L148" s="463">
        <v>172.911</v>
      </c>
      <c r="M148" s="463">
        <v>528.29509999999993</v>
      </c>
      <c r="N148" s="463">
        <v>223.96539999999999</v>
      </c>
      <c r="O148" s="463">
        <v>593.15569999999991</v>
      </c>
      <c r="P148" s="463">
        <v>1336.8426000000002</v>
      </c>
      <c r="Q148" s="463">
        <v>908.28980000000001</v>
      </c>
    </row>
    <row r="149" spans="2:29" s="440" customFormat="1">
      <c r="B149" s="455" t="s">
        <v>669</v>
      </c>
      <c r="D149" s="456">
        <f>SUM(D143:D148)</f>
        <v>1161.7221999999999</v>
      </c>
      <c r="E149" s="456">
        <f>SUM(E143:E148)</f>
        <v>1366.6271000000002</v>
      </c>
      <c r="F149" s="456">
        <f>SUM(F143:F148)</f>
        <v>1618.7308000000003</v>
      </c>
      <c r="G149" s="456">
        <f>SUM(G143:G148)</f>
        <v>1942.1297</v>
      </c>
      <c r="H149" s="456">
        <f t="shared" ref="H149:Q149" si="22">SUM(H143:H148)</f>
        <v>2165.5075999999999</v>
      </c>
      <c r="I149" s="456">
        <f t="shared" si="22"/>
        <v>2417.1774999999998</v>
      </c>
      <c r="J149" s="456">
        <f t="shared" si="22"/>
        <v>2773.2508000000003</v>
      </c>
      <c r="K149" s="456">
        <f t="shared" si="22"/>
        <v>3080.6151</v>
      </c>
      <c r="L149" s="456">
        <f t="shared" si="22"/>
        <v>3372.7791000000002</v>
      </c>
      <c r="M149" s="456">
        <f t="shared" si="22"/>
        <v>3911.5962999999997</v>
      </c>
      <c r="N149" s="456">
        <f t="shared" si="22"/>
        <v>4426.2237999999998</v>
      </c>
      <c r="O149" s="456">
        <f t="shared" si="22"/>
        <v>5237.1451000000006</v>
      </c>
      <c r="P149" s="456">
        <f t="shared" si="22"/>
        <v>6362.5218999999997</v>
      </c>
      <c r="Q149" s="456">
        <f t="shared" si="22"/>
        <v>7218.5455000000002</v>
      </c>
      <c r="R149" s="456">
        <f ca="1">+R156</f>
        <v>8198.4524070688312</v>
      </c>
      <c r="S149" s="456">
        <f t="shared" ref="S149:AC149" ca="1" si="23">+S156</f>
        <v>9525.2747224583491</v>
      </c>
      <c r="T149" s="456">
        <f t="shared" ca="1" si="23"/>
        <v>11030.41207147519</v>
      </c>
      <c r="U149" s="456">
        <f t="shared" ca="1" si="23"/>
        <v>12725.292315181003</v>
      </c>
      <c r="V149" s="456">
        <f t="shared" ca="1" si="23"/>
        <v>14595.254177917719</v>
      </c>
      <c r="W149" s="456">
        <f t="shared" ca="1" si="23"/>
        <v>16638.480376519918</v>
      </c>
      <c r="X149" s="456">
        <f t="shared" ca="1" si="23"/>
        <v>18858.164276844676</v>
      </c>
      <c r="Y149" s="456">
        <f t="shared" ca="1" si="23"/>
        <v>21245.945713650122</v>
      </c>
      <c r="Z149" s="456">
        <f t="shared" ca="1" si="23"/>
        <v>23795.939305672979</v>
      </c>
      <c r="AA149" s="456">
        <f t="shared" ca="1" si="23"/>
        <v>26501.656188600562</v>
      </c>
      <c r="AB149" s="456">
        <f t="shared" ca="1" si="23"/>
        <v>29356.038835422914</v>
      </c>
      <c r="AC149" s="456">
        <f t="shared" ca="1" si="23"/>
        <v>32351.281540401404</v>
      </c>
    </row>
    <row r="150" spans="2:29" s="440" customFormat="1">
      <c r="B150" s="459" t="s">
        <v>655</v>
      </c>
      <c r="D150" s="460">
        <f>+D149-D148-D147-D143</f>
        <v>1073.9777999999999</v>
      </c>
      <c r="E150" s="460">
        <f t="shared" ref="E150:Q150" si="24">+E149-E148-E147-E143</f>
        <v>1247.4305000000002</v>
      </c>
      <c r="F150" s="460">
        <f t="shared" si="24"/>
        <v>1497.3729000000001</v>
      </c>
      <c r="G150" s="460">
        <f t="shared" si="24"/>
        <v>1665.1644999999999</v>
      </c>
      <c r="H150" s="460">
        <f t="shared" si="24"/>
        <v>2051.2949000000003</v>
      </c>
      <c r="I150" s="460">
        <f t="shared" si="24"/>
        <v>2220.9915000000001</v>
      </c>
      <c r="J150" s="460">
        <f t="shared" si="24"/>
        <v>2382.0018</v>
      </c>
      <c r="K150" s="460">
        <f t="shared" si="24"/>
        <v>2909.2783999999997</v>
      </c>
      <c r="L150" s="460">
        <f t="shared" si="24"/>
        <v>3195.8567000000003</v>
      </c>
      <c r="M150" s="460">
        <f t="shared" si="24"/>
        <v>3379.3094000000001</v>
      </c>
      <c r="N150" s="460">
        <f t="shared" si="24"/>
        <v>4198.3157999999994</v>
      </c>
      <c r="O150" s="460">
        <f t="shared" si="24"/>
        <v>4637.5012000000006</v>
      </c>
      <c r="P150" s="460">
        <f t="shared" si="24"/>
        <v>5018.0174999999999</v>
      </c>
      <c r="Q150" s="460">
        <f t="shared" si="24"/>
        <v>6302.6336999999994</v>
      </c>
      <c r="R150" s="460">
        <f t="shared" ref="R150:AC150" ca="1" si="25">+Q150+R19</f>
        <v>7193.7994365829418</v>
      </c>
      <c r="S150" s="460">
        <f t="shared" ca="1" si="25"/>
        <v>8398.4446493850464</v>
      </c>
      <c r="T150" s="460">
        <f t="shared" ca="1" si="25"/>
        <v>9765.2735230162525</v>
      </c>
      <c r="U150" s="460">
        <f t="shared" ca="1" si="25"/>
        <v>11304.799617313</v>
      </c>
      <c r="V150" s="460">
        <f t="shared" ca="1" si="25"/>
        <v>13004.070912212243</v>
      </c>
      <c r="W150" s="460">
        <f t="shared" ca="1" si="25"/>
        <v>14861.676194593714</v>
      </c>
      <c r="X150" s="460">
        <f t="shared" ca="1" si="25"/>
        <v>16880.711506872318</v>
      </c>
      <c r="Y150" s="460">
        <f t="shared" ca="1" si="25"/>
        <v>19053.878805309578</v>
      </c>
      <c r="Z150" s="460">
        <f t="shared" ca="1" si="25"/>
        <v>21376.096639407238</v>
      </c>
      <c r="AA150" s="460">
        <f t="shared" ca="1" si="25"/>
        <v>23841.73288265918</v>
      </c>
      <c r="AB150" s="460">
        <f t="shared" ca="1" si="25"/>
        <v>26444.635297592235</v>
      </c>
      <c r="AC150" s="460">
        <f t="shared" ca="1" si="25"/>
        <v>29177.969242679072</v>
      </c>
    </row>
    <row r="151" spans="2:29" s="440" customFormat="1">
      <c r="B151" s="455"/>
      <c r="O151" s="456"/>
      <c r="P151" s="456"/>
      <c r="Q151" s="456"/>
    </row>
    <row r="152" spans="2:29" s="440" customFormat="1">
      <c r="B152" s="444" t="s">
        <v>670</v>
      </c>
      <c r="D152" s="451"/>
      <c r="E152" s="451">
        <f>+D149</f>
        <v>1161.7221999999999</v>
      </c>
      <c r="F152" s="451">
        <f t="shared" ref="F152:Q152" si="26">+E149</f>
        <v>1366.6271000000002</v>
      </c>
      <c r="G152" s="451">
        <f t="shared" si="26"/>
        <v>1618.7308000000003</v>
      </c>
      <c r="H152" s="451">
        <f t="shared" si="26"/>
        <v>1942.1297</v>
      </c>
      <c r="I152" s="451">
        <f t="shared" si="26"/>
        <v>2165.5075999999999</v>
      </c>
      <c r="J152" s="451">
        <f t="shared" si="26"/>
        <v>2417.1774999999998</v>
      </c>
      <c r="K152" s="451">
        <f t="shared" si="26"/>
        <v>2773.2508000000003</v>
      </c>
      <c r="L152" s="451">
        <f t="shared" si="26"/>
        <v>3080.6151</v>
      </c>
      <c r="M152" s="451">
        <f t="shared" si="26"/>
        <v>3372.7791000000002</v>
      </c>
      <c r="N152" s="451">
        <f t="shared" si="26"/>
        <v>3911.5962999999997</v>
      </c>
      <c r="O152" s="451">
        <f t="shared" si="26"/>
        <v>4426.2237999999998</v>
      </c>
      <c r="P152" s="451">
        <f t="shared" si="26"/>
        <v>5237.1451000000006</v>
      </c>
      <c r="Q152" s="451">
        <f t="shared" si="26"/>
        <v>6362.5218999999997</v>
      </c>
      <c r="R152" s="451">
        <f>+Q156</f>
        <v>7218.5455000000002</v>
      </c>
      <c r="S152" s="451">
        <f t="shared" ref="S152:AC152" ca="1" si="27">+R156</f>
        <v>8198.4524070688312</v>
      </c>
      <c r="T152" s="451">
        <f t="shared" ca="1" si="27"/>
        <v>9525.2747224583491</v>
      </c>
      <c r="U152" s="451">
        <f t="shared" ca="1" si="27"/>
        <v>11030.41207147519</v>
      </c>
      <c r="V152" s="451">
        <f t="shared" ca="1" si="27"/>
        <v>12725.292315181003</v>
      </c>
      <c r="W152" s="451">
        <f t="shared" ca="1" si="27"/>
        <v>14595.254177917719</v>
      </c>
      <c r="X152" s="451">
        <f t="shared" ca="1" si="27"/>
        <v>16638.480376519918</v>
      </c>
      <c r="Y152" s="451">
        <f t="shared" ca="1" si="27"/>
        <v>18858.164276844676</v>
      </c>
      <c r="Z152" s="451">
        <f t="shared" ca="1" si="27"/>
        <v>21245.945713650122</v>
      </c>
      <c r="AA152" s="451">
        <f t="shared" ca="1" si="27"/>
        <v>23795.939305672979</v>
      </c>
      <c r="AB152" s="451">
        <f t="shared" ca="1" si="27"/>
        <v>26501.656188600562</v>
      </c>
      <c r="AC152" s="451">
        <f t="shared" ca="1" si="27"/>
        <v>29356.038835422914</v>
      </c>
    </row>
    <row r="153" spans="2:29" s="440" customFormat="1">
      <c r="B153" s="444" t="s">
        <v>640</v>
      </c>
      <c r="D153" s="464"/>
      <c r="E153" s="474">
        <f>F153/F152*E152</f>
        <v>219.05254781499644</v>
      </c>
      <c r="F153" s="464">
        <v>257.6891</v>
      </c>
      <c r="G153" s="464">
        <v>333.80220000000003</v>
      </c>
      <c r="H153" s="464">
        <v>224.01870000000002</v>
      </c>
      <c r="I153" s="464">
        <v>219.30339999999998</v>
      </c>
      <c r="J153" s="464">
        <v>365.82759999999996</v>
      </c>
      <c r="K153" s="464">
        <v>322.4939</v>
      </c>
      <c r="L153" s="464">
        <v>300.02440000000001</v>
      </c>
      <c r="M153" s="464">
        <v>564.28300000000002</v>
      </c>
      <c r="N153" s="464">
        <v>525.72069999999997</v>
      </c>
      <c r="O153" s="464">
        <v>835.4063000000001</v>
      </c>
      <c r="P153" s="464">
        <v>1139.8921</v>
      </c>
      <c r="Q153" s="464">
        <v>897.51880000000006</v>
      </c>
      <c r="R153" s="451">
        <f t="shared" ref="R153:AC154" ca="1" si="28">+R15</f>
        <v>990.18415175882456</v>
      </c>
      <c r="S153" s="451">
        <f t="shared" ca="1" si="28"/>
        <v>1338.4946808912268</v>
      </c>
      <c r="T153" s="451">
        <f t="shared" ca="1" si="28"/>
        <v>1518.6987484791175</v>
      </c>
      <c r="U153" s="451">
        <f t="shared" ca="1" si="28"/>
        <v>1710.5845492186077</v>
      </c>
      <c r="V153" s="451">
        <f t="shared" ca="1" si="28"/>
        <v>1888.0792165547145</v>
      </c>
      <c r="W153" s="451">
        <f t="shared" ca="1" si="28"/>
        <v>2064.0058693127462</v>
      </c>
      <c r="X153" s="451">
        <f t="shared" ca="1" si="28"/>
        <v>2243.3725691984487</v>
      </c>
      <c r="Y153" s="451">
        <f t="shared" ca="1" si="28"/>
        <v>2414.6303315969553</v>
      </c>
      <c r="Z153" s="451">
        <f t="shared" ca="1" si="28"/>
        <v>2580.2420378862912</v>
      </c>
      <c r="AA153" s="451">
        <f t="shared" ca="1" si="28"/>
        <v>2739.5958258354922</v>
      </c>
      <c r="AB153" s="451">
        <f t="shared" ca="1" si="28"/>
        <v>2892.1137943700592</v>
      </c>
      <c r="AC153" s="451">
        <f t="shared" ca="1" si="28"/>
        <v>3037.03771676315</v>
      </c>
    </row>
    <row r="154" spans="2:29" s="440" customFormat="1">
      <c r="B154" s="444" t="s">
        <v>641</v>
      </c>
      <c r="D154" s="464"/>
      <c r="E154" s="474">
        <f>F154/F152*E152</f>
        <v>-2.3146426544446541</v>
      </c>
      <c r="F154" s="464">
        <v>-2.7229000000000001</v>
      </c>
      <c r="G154" s="464">
        <v>-3.7131999999999996</v>
      </c>
      <c r="H154" s="464">
        <v>-2.8826999999999998</v>
      </c>
      <c r="I154" s="464">
        <v>-6.7846000000000002</v>
      </c>
      <c r="J154" s="464">
        <v>-3.5768</v>
      </c>
      <c r="K154" s="464">
        <v>-9.9677999999999987</v>
      </c>
      <c r="L154" s="464">
        <v>-7.1741999999999999</v>
      </c>
      <c r="M154" s="464">
        <v>-18.5839</v>
      </c>
      <c r="N154" s="464">
        <v>-7.1728999999999994</v>
      </c>
      <c r="O154" s="464">
        <v>-26.566700000000001</v>
      </c>
      <c r="P154" s="464">
        <v>-27.792400000000001</v>
      </c>
      <c r="Q154" s="464">
        <v>-32.436700000000002</v>
      </c>
      <c r="R154" s="456">
        <f t="shared" si="28"/>
        <v>0</v>
      </c>
      <c r="S154" s="456">
        <f t="shared" si="28"/>
        <v>0</v>
      </c>
      <c r="T154" s="456">
        <f t="shared" si="28"/>
        <v>0</v>
      </c>
      <c r="U154" s="456">
        <f t="shared" si="28"/>
        <v>0</v>
      </c>
      <c r="V154" s="456">
        <f t="shared" si="28"/>
        <v>0</v>
      </c>
      <c r="W154" s="456">
        <f t="shared" si="28"/>
        <v>0</v>
      </c>
      <c r="X154" s="456">
        <f t="shared" si="28"/>
        <v>0</v>
      </c>
      <c r="Y154" s="456">
        <f t="shared" si="28"/>
        <v>0</v>
      </c>
      <c r="Z154" s="456">
        <f t="shared" si="28"/>
        <v>0</v>
      </c>
      <c r="AA154" s="456">
        <f t="shared" si="28"/>
        <v>0</v>
      </c>
      <c r="AB154" s="456">
        <f t="shared" si="28"/>
        <v>0</v>
      </c>
      <c r="AC154" s="456">
        <f t="shared" si="28"/>
        <v>0</v>
      </c>
    </row>
    <row r="155" spans="2:29" s="440" customFormat="1" ht="13.5">
      <c r="B155" s="444" t="s">
        <v>19</v>
      </c>
      <c r="D155" s="453"/>
      <c r="E155" s="453">
        <f t="shared" ref="E155:Q155" si="29">+E156-SUM(E152:E154)</f>
        <v>-11.833005160551465</v>
      </c>
      <c r="F155" s="453">
        <f t="shared" si="29"/>
        <v>-2.8624999999999545</v>
      </c>
      <c r="G155" s="453">
        <f t="shared" si="29"/>
        <v>-6.6901000000004842</v>
      </c>
      <c r="H155" s="453">
        <f t="shared" si="29"/>
        <v>2.2418999999999869</v>
      </c>
      <c r="I155" s="453">
        <f t="shared" si="29"/>
        <v>39.151100000000042</v>
      </c>
      <c r="J155" s="453">
        <f t="shared" si="29"/>
        <v>-6.1774999999997817</v>
      </c>
      <c r="K155" s="453">
        <f t="shared" si="29"/>
        <v>-5.1618000000003121</v>
      </c>
      <c r="L155" s="453">
        <f t="shared" si="29"/>
        <v>-0.68620000000009895</v>
      </c>
      <c r="M155" s="453">
        <f t="shared" si="29"/>
        <v>-6.8819000000003143</v>
      </c>
      <c r="N155" s="453">
        <f t="shared" si="29"/>
        <v>-3.9203000000006796</v>
      </c>
      <c r="O155" s="453">
        <f t="shared" si="29"/>
        <v>2.0817000000006374</v>
      </c>
      <c r="P155" s="453">
        <f t="shared" si="29"/>
        <v>13.277099999999336</v>
      </c>
      <c r="Q155" s="453">
        <f t="shared" si="29"/>
        <v>-9.0584999999991851</v>
      </c>
      <c r="R155" s="454">
        <f>+Q155/Q152*R152</f>
        <v>-10.277244689993777</v>
      </c>
      <c r="S155" s="454">
        <f t="shared" ref="S155:AC155" ca="1" si="30">+R155/R152*S152</f>
        <v>-11.672365501708736</v>
      </c>
      <c r="T155" s="454">
        <f t="shared" ca="1" si="30"/>
        <v>-13.561399462276301</v>
      </c>
      <c r="U155" s="454">
        <f t="shared" ca="1" si="30"/>
        <v>-15.704305512795015</v>
      </c>
      <c r="V155" s="454">
        <f t="shared" ca="1" si="30"/>
        <v>-18.117353817997348</v>
      </c>
      <c r="W155" s="454">
        <f t="shared" ca="1" si="30"/>
        <v>-20.779670710548871</v>
      </c>
      <c r="X155" s="454">
        <f t="shared" ca="1" si="30"/>
        <v>-23.688668873688609</v>
      </c>
      <c r="Y155" s="454">
        <f t="shared" ca="1" si="30"/>
        <v>-26.848894791510599</v>
      </c>
      <c r="Z155" s="454">
        <f t="shared" ca="1" si="30"/>
        <v>-30.248445863436999</v>
      </c>
      <c r="AA155" s="454">
        <f t="shared" ca="1" si="30"/>
        <v>-33.878942907908772</v>
      </c>
      <c r="AB155" s="454">
        <f t="shared" ca="1" si="30"/>
        <v>-37.731147547706918</v>
      </c>
      <c r="AC155" s="454">
        <f t="shared" ca="1" si="30"/>
        <v>-41.795011784659557</v>
      </c>
    </row>
    <row r="156" spans="2:29" s="440" customFormat="1">
      <c r="B156" s="455" t="s">
        <v>669</v>
      </c>
      <c r="D156" s="456"/>
      <c r="E156" s="456">
        <f t="shared" ref="E156:Q156" si="31">+E149</f>
        <v>1366.6271000000002</v>
      </c>
      <c r="F156" s="456">
        <f t="shared" si="31"/>
        <v>1618.7308000000003</v>
      </c>
      <c r="G156" s="456">
        <f t="shared" si="31"/>
        <v>1942.1297</v>
      </c>
      <c r="H156" s="456">
        <f t="shared" si="31"/>
        <v>2165.5075999999999</v>
      </c>
      <c r="I156" s="456">
        <f t="shared" si="31"/>
        <v>2417.1774999999998</v>
      </c>
      <c r="J156" s="456">
        <f t="shared" si="31"/>
        <v>2773.2508000000003</v>
      </c>
      <c r="K156" s="456">
        <f t="shared" si="31"/>
        <v>3080.6151</v>
      </c>
      <c r="L156" s="456">
        <f t="shared" si="31"/>
        <v>3372.7791000000002</v>
      </c>
      <c r="M156" s="456">
        <f t="shared" si="31"/>
        <v>3911.5962999999997</v>
      </c>
      <c r="N156" s="456">
        <f t="shared" si="31"/>
        <v>4426.2237999999998</v>
      </c>
      <c r="O156" s="456">
        <f t="shared" si="31"/>
        <v>5237.1451000000006</v>
      </c>
      <c r="P156" s="456">
        <f t="shared" si="31"/>
        <v>6362.5218999999997</v>
      </c>
      <c r="Q156" s="456">
        <f t="shared" si="31"/>
        <v>7218.5455000000002</v>
      </c>
      <c r="R156" s="456">
        <f ca="1">SUM(R152:R155)</f>
        <v>8198.4524070688312</v>
      </c>
      <c r="S156" s="456">
        <f t="shared" ref="S156:AC156" ca="1" si="32">SUM(S152:S155)</f>
        <v>9525.2747224583491</v>
      </c>
      <c r="T156" s="456">
        <f t="shared" ca="1" si="32"/>
        <v>11030.41207147519</v>
      </c>
      <c r="U156" s="456">
        <f t="shared" ca="1" si="32"/>
        <v>12725.292315181003</v>
      </c>
      <c r="V156" s="456">
        <f t="shared" ca="1" si="32"/>
        <v>14595.254177917719</v>
      </c>
      <c r="W156" s="456">
        <f t="shared" ca="1" si="32"/>
        <v>16638.480376519918</v>
      </c>
      <c r="X156" s="456">
        <f t="shared" ca="1" si="32"/>
        <v>18858.164276844676</v>
      </c>
      <c r="Y156" s="456">
        <f t="shared" ca="1" si="32"/>
        <v>21245.945713650122</v>
      </c>
      <c r="Z156" s="456">
        <f t="shared" ca="1" si="32"/>
        <v>23795.939305672979</v>
      </c>
      <c r="AA156" s="456">
        <f t="shared" ca="1" si="32"/>
        <v>26501.656188600562</v>
      </c>
      <c r="AB156" s="456">
        <f t="shared" ca="1" si="32"/>
        <v>29356.038835422914</v>
      </c>
      <c r="AC156" s="456">
        <f t="shared" ca="1" si="32"/>
        <v>32351.281540401404</v>
      </c>
    </row>
    <row r="157" spans="2:29">
      <c r="M157" s="451"/>
      <c r="N157" s="451"/>
      <c r="O157" s="451"/>
      <c r="P157" s="451"/>
    </row>
    <row r="158" spans="2:29">
      <c r="B158" s="449" t="s">
        <v>656</v>
      </c>
    </row>
    <row r="159" spans="2:29" s="440" customFormat="1">
      <c r="B159" s="440" t="s">
        <v>672</v>
      </c>
      <c r="D159" s="465">
        <v>773.27819999999997</v>
      </c>
      <c r="E159" s="465">
        <v>876.2521999999999</v>
      </c>
      <c r="F159" s="465">
        <v>1001.1686</v>
      </c>
      <c r="G159" s="465">
        <v>1149.4638</v>
      </c>
      <c r="H159" s="465">
        <v>1347.3088</v>
      </c>
      <c r="I159" s="465">
        <v>1563.7072000000001</v>
      </c>
      <c r="J159" s="465">
        <v>1775.4731000000002</v>
      </c>
      <c r="K159" s="465">
        <v>2018.0728000000001</v>
      </c>
      <c r="L159" s="465">
        <v>2300.7287999999999</v>
      </c>
      <c r="M159" s="465">
        <v>2559.2824000000001</v>
      </c>
      <c r="N159" s="465">
        <v>2871.6378999999997</v>
      </c>
      <c r="O159" s="465">
        <v>3262.0311000000002</v>
      </c>
      <c r="P159" s="465">
        <v>3668.7062000000001</v>
      </c>
      <c r="Q159" s="465">
        <v>4154.1212000000005</v>
      </c>
      <c r="R159" s="456">
        <f ca="1">+R164</f>
        <v>4765.6907048474313</v>
      </c>
      <c r="S159" s="456">
        <f t="shared" ref="S159:AC159" ca="1" si="33">+S164</f>
        <v>5524.3683302252339</v>
      </c>
      <c r="T159" s="456">
        <f t="shared" ca="1" si="33"/>
        <v>6365.1275143010771</v>
      </c>
      <c r="U159" s="456">
        <f t="shared" ca="1" si="33"/>
        <v>7384.6750103243539</v>
      </c>
      <c r="V159" s="456">
        <f t="shared" ca="1" si="33"/>
        <v>8613.7829235997542</v>
      </c>
      <c r="W159" s="456">
        <f t="shared" ca="1" si="33"/>
        <v>9925.7020319626863</v>
      </c>
      <c r="X159" s="456">
        <f t="shared" ca="1" si="33"/>
        <v>11414.707019159921</v>
      </c>
      <c r="Y159" s="456">
        <f t="shared" ca="1" si="33"/>
        <v>13051.973766345736</v>
      </c>
      <c r="Z159" s="456">
        <f t="shared" ca="1" si="33"/>
        <v>14834.08616352028</v>
      </c>
      <c r="AA159" s="456">
        <f t="shared" ca="1" si="33"/>
        <v>16754.963097433643</v>
      </c>
      <c r="AB159" s="456">
        <f t="shared" ca="1" si="33"/>
        <v>18809.769401029895</v>
      </c>
      <c r="AC159" s="456">
        <f t="shared" ca="1" si="33"/>
        <v>20992.740915422371</v>
      </c>
    </row>
    <row r="161" spans="2:29">
      <c r="B161" s="444" t="s">
        <v>671</v>
      </c>
      <c r="D161" s="451"/>
      <c r="E161" s="451">
        <f>+D159</f>
        <v>773.27819999999997</v>
      </c>
      <c r="F161" s="451">
        <f t="shared" ref="F161:Q161" si="34">+E164</f>
        <v>876.2521999999999</v>
      </c>
      <c r="G161" s="451">
        <f t="shared" si="34"/>
        <v>1001.1686</v>
      </c>
      <c r="H161" s="451">
        <f t="shared" si="34"/>
        <v>1149.4638</v>
      </c>
      <c r="I161" s="451">
        <f t="shared" si="34"/>
        <v>1347.3088</v>
      </c>
      <c r="J161" s="451">
        <f t="shared" si="34"/>
        <v>1563.7072000000001</v>
      </c>
      <c r="K161" s="451">
        <f t="shared" si="34"/>
        <v>1775.4731000000002</v>
      </c>
      <c r="L161" s="451">
        <f t="shared" si="34"/>
        <v>2018.0728000000001</v>
      </c>
      <c r="M161" s="451">
        <f t="shared" si="34"/>
        <v>2300.7287999999999</v>
      </c>
      <c r="N161" s="451">
        <f t="shared" si="34"/>
        <v>2559.2824000000001</v>
      </c>
      <c r="O161" s="451">
        <f t="shared" si="34"/>
        <v>2871.6378999999997</v>
      </c>
      <c r="P161" s="451">
        <f t="shared" si="34"/>
        <v>3262.0311000000002</v>
      </c>
      <c r="Q161" s="451">
        <f t="shared" si="34"/>
        <v>3668.7062000000001</v>
      </c>
      <c r="R161" s="451">
        <f>+Q164</f>
        <v>4154.1212000000005</v>
      </c>
      <c r="S161" s="451">
        <f t="shared" ref="S161:AC161" ca="1" si="35">+R164</f>
        <v>4765.6907048474313</v>
      </c>
      <c r="T161" s="451">
        <f t="shared" ca="1" si="35"/>
        <v>5524.3683302252339</v>
      </c>
      <c r="U161" s="451">
        <f t="shared" ca="1" si="35"/>
        <v>6365.1275143010771</v>
      </c>
      <c r="V161" s="451">
        <f t="shared" ca="1" si="35"/>
        <v>7384.6750103243539</v>
      </c>
      <c r="W161" s="451">
        <f t="shared" ca="1" si="35"/>
        <v>8613.7829235997542</v>
      </c>
      <c r="X161" s="451">
        <f t="shared" ca="1" si="35"/>
        <v>9925.7020319626863</v>
      </c>
      <c r="Y161" s="451">
        <f t="shared" ca="1" si="35"/>
        <v>11414.707019159921</v>
      </c>
      <c r="Z161" s="451">
        <f t="shared" ca="1" si="35"/>
        <v>13051.973766345736</v>
      </c>
      <c r="AA161" s="451">
        <f t="shared" ca="1" si="35"/>
        <v>14834.08616352028</v>
      </c>
      <c r="AB161" s="451">
        <f t="shared" ca="1" si="35"/>
        <v>16754.963097433643</v>
      </c>
      <c r="AC161" s="451">
        <f t="shared" ca="1" si="35"/>
        <v>18809.769401029895</v>
      </c>
    </row>
    <row r="162" spans="2:29">
      <c r="B162" s="444" t="s">
        <v>657</v>
      </c>
      <c r="D162" s="464"/>
      <c r="E162" s="464">
        <v>105.32719999999999</v>
      </c>
      <c r="F162" s="464">
        <v>129.16849999999999</v>
      </c>
      <c r="G162" s="464">
        <v>153.97979999999998</v>
      </c>
      <c r="H162" s="464">
        <v>197.64520000000002</v>
      </c>
      <c r="I162" s="464">
        <v>219.30339999999998</v>
      </c>
      <c r="J162" s="464">
        <v>220.08500000000001</v>
      </c>
      <c r="K162" s="464">
        <v>255.79599999999999</v>
      </c>
      <c r="L162" s="464">
        <v>288.12490000000003</v>
      </c>
      <c r="M162" s="464">
        <v>278.76490000000001</v>
      </c>
      <c r="N162" s="464">
        <v>321.8211</v>
      </c>
      <c r="O162" s="464">
        <v>411.48390000000001</v>
      </c>
      <c r="P162" s="464">
        <v>425.41629999999998</v>
      </c>
      <c r="Q162" s="464">
        <v>519.46619999999996</v>
      </c>
      <c r="R162" s="451">
        <f t="shared" ref="R162:AC162" ca="1" si="36">+R47</f>
        <v>650.12609785164591</v>
      </c>
      <c r="S162" s="451">
        <f t="shared" ca="1" si="36"/>
        <v>802.91051797871432</v>
      </c>
      <c r="T162" s="451">
        <f t="shared" ca="1" si="36"/>
        <v>892.03376444048604</v>
      </c>
      <c r="U162" s="451">
        <f t="shared" ca="1" si="36"/>
        <v>1078.6256064522247</v>
      </c>
      <c r="V162" s="451">
        <f t="shared" ca="1" si="36"/>
        <v>1297.6489825252515</v>
      </c>
      <c r="W162" s="451">
        <f t="shared" ca="1" si="36"/>
        <v>1391.8681773529966</v>
      </c>
      <c r="X162" s="451">
        <f t="shared" ca="1" si="36"/>
        <v>1581.1306703688015</v>
      </c>
      <c r="Y162" s="451">
        <f t="shared" ca="1" si="36"/>
        <v>1743.2126721145576</v>
      </c>
      <c r="Z162" s="451">
        <f t="shared" ca="1" si="36"/>
        <v>1903.2546595646459</v>
      </c>
      <c r="AA162" s="451">
        <f t="shared" ca="1" si="36"/>
        <v>2058.5599227477524</v>
      </c>
      <c r="AB162" s="451">
        <f t="shared" ca="1" si="36"/>
        <v>2210.3179658338336</v>
      </c>
      <c r="AC162" s="451">
        <f t="shared" ca="1" si="36"/>
        <v>2357.5549192528456</v>
      </c>
    </row>
    <row r="163" spans="2:29" ht="13.5">
      <c r="B163" s="444" t="s">
        <v>19</v>
      </c>
      <c r="D163" s="453"/>
      <c r="E163" s="453">
        <f t="shared" ref="E163:Q163" si="37">+E164-SUM(E161:E162)</f>
        <v>-2.3532000000000153</v>
      </c>
      <c r="F163" s="453">
        <f t="shared" si="37"/>
        <v>-4.2520999999999276</v>
      </c>
      <c r="G163" s="453">
        <f t="shared" si="37"/>
        <v>-5.6846000000000458</v>
      </c>
      <c r="H163" s="453">
        <f t="shared" si="37"/>
        <v>0.19980000000009568</v>
      </c>
      <c r="I163" s="453">
        <f t="shared" si="37"/>
        <v>-2.9049999999999727</v>
      </c>
      <c r="J163" s="453">
        <f t="shared" si="37"/>
        <v>-8.3190999999999349</v>
      </c>
      <c r="K163" s="453">
        <f t="shared" si="37"/>
        <v>-13.196300000000065</v>
      </c>
      <c r="L163" s="453">
        <f t="shared" si="37"/>
        <v>-5.4689000000003034</v>
      </c>
      <c r="M163" s="453">
        <f t="shared" si="37"/>
        <v>-20.211299999999937</v>
      </c>
      <c r="N163" s="453">
        <f t="shared" si="37"/>
        <v>-9.4656000000004497</v>
      </c>
      <c r="O163" s="453">
        <f t="shared" si="37"/>
        <v>-21.090699999999742</v>
      </c>
      <c r="P163" s="453">
        <f t="shared" si="37"/>
        <v>-18.741199999999935</v>
      </c>
      <c r="Q163" s="453">
        <f t="shared" si="37"/>
        <v>-34.051199999999881</v>
      </c>
      <c r="R163" s="454">
        <f>+Q163/Q161*R161</f>
        <v>-38.556593004214811</v>
      </c>
      <c r="S163" s="454">
        <f t="shared" ref="S163:AC163" ca="1" si="38">+R163/R161*S161</f>
        <v>-44.232892600912081</v>
      </c>
      <c r="T163" s="454">
        <f t="shared" ca="1" si="38"/>
        <v>-51.274580364643214</v>
      </c>
      <c r="U163" s="454">
        <f t="shared" ca="1" si="38"/>
        <v>-59.078110428948513</v>
      </c>
      <c r="V163" s="454">
        <f t="shared" ca="1" si="38"/>
        <v>-68.541069249850466</v>
      </c>
      <c r="W163" s="454">
        <f t="shared" ca="1" si="38"/>
        <v>-79.949068990064916</v>
      </c>
      <c r="X163" s="454">
        <f t="shared" ca="1" si="38"/>
        <v>-92.125683171567843</v>
      </c>
      <c r="Y163" s="454">
        <f t="shared" ca="1" si="38"/>
        <v>-105.94592492874379</v>
      </c>
      <c r="Z163" s="454">
        <f t="shared" ca="1" si="38"/>
        <v>-121.142262390101</v>
      </c>
      <c r="AA163" s="454">
        <f t="shared" ca="1" si="38"/>
        <v>-137.6829888343907</v>
      </c>
      <c r="AB163" s="454">
        <f t="shared" ca="1" si="38"/>
        <v>-155.51166223758403</v>
      </c>
      <c r="AC163" s="454">
        <f t="shared" ca="1" si="38"/>
        <v>-174.58340486036926</v>
      </c>
    </row>
    <row r="164" spans="2:29" s="440" customFormat="1">
      <c r="B164" s="455" t="s">
        <v>672</v>
      </c>
      <c r="D164" s="456"/>
      <c r="E164" s="456">
        <f t="shared" ref="E164:Q164" si="39">+E159</f>
        <v>876.2521999999999</v>
      </c>
      <c r="F164" s="456">
        <f t="shared" si="39"/>
        <v>1001.1686</v>
      </c>
      <c r="G164" s="456">
        <f t="shared" si="39"/>
        <v>1149.4638</v>
      </c>
      <c r="H164" s="456">
        <f t="shared" si="39"/>
        <v>1347.3088</v>
      </c>
      <c r="I164" s="456">
        <f t="shared" si="39"/>
        <v>1563.7072000000001</v>
      </c>
      <c r="J164" s="456">
        <f t="shared" si="39"/>
        <v>1775.4731000000002</v>
      </c>
      <c r="K164" s="456">
        <f t="shared" si="39"/>
        <v>2018.0728000000001</v>
      </c>
      <c r="L164" s="456">
        <f t="shared" si="39"/>
        <v>2300.7287999999999</v>
      </c>
      <c r="M164" s="456">
        <f t="shared" si="39"/>
        <v>2559.2824000000001</v>
      </c>
      <c r="N164" s="456">
        <f t="shared" si="39"/>
        <v>2871.6378999999997</v>
      </c>
      <c r="O164" s="456">
        <f t="shared" si="39"/>
        <v>3262.0311000000002</v>
      </c>
      <c r="P164" s="456">
        <f t="shared" si="39"/>
        <v>3668.7062000000001</v>
      </c>
      <c r="Q164" s="456">
        <f t="shared" si="39"/>
        <v>4154.1212000000005</v>
      </c>
      <c r="R164" s="456">
        <f ca="1">SUM(R161:R163)</f>
        <v>4765.6907048474313</v>
      </c>
      <c r="S164" s="456">
        <f t="shared" ref="S164:AC164" ca="1" si="40">SUM(S161:S163)</f>
        <v>5524.3683302252339</v>
      </c>
      <c r="T164" s="456">
        <f t="shared" ca="1" si="40"/>
        <v>6365.1275143010771</v>
      </c>
      <c r="U164" s="456">
        <f t="shared" ca="1" si="40"/>
        <v>7384.6750103243539</v>
      </c>
      <c r="V164" s="456">
        <f t="shared" ca="1" si="40"/>
        <v>8613.782923599756</v>
      </c>
      <c r="W164" s="456">
        <f t="shared" ca="1" si="40"/>
        <v>9925.7020319626863</v>
      </c>
      <c r="X164" s="456">
        <f t="shared" ca="1" si="40"/>
        <v>11414.707019159921</v>
      </c>
      <c r="Y164" s="456">
        <f t="shared" ca="1" si="40"/>
        <v>13051.973766345736</v>
      </c>
      <c r="Z164" s="456">
        <f t="shared" ca="1" si="40"/>
        <v>14834.08616352028</v>
      </c>
      <c r="AA164" s="456">
        <f t="shared" ca="1" si="40"/>
        <v>16754.963097433643</v>
      </c>
      <c r="AB164" s="456">
        <f t="shared" ca="1" si="40"/>
        <v>18809.769401029895</v>
      </c>
      <c r="AC164" s="456">
        <f t="shared" ca="1" si="40"/>
        <v>20992.740915422371</v>
      </c>
    </row>
    <row r="165" spans="2:29">
      <c r="B165" s="459"/>
      <c r="D165" s="466"/>
      <c r="E165" s="466"/>
      <c r="F165" s="466"/>
      <c r="G165" s="466"/>
      <c r="H165" s="466"/>
      <c r="I165" s="466"/>
      <c r="J165" s="466"/>
      <c r="K165" s="466"/>
      <c r="L165" s="466"/>
      <c r="M165" s="466"/>
      <c r="N165" s="466"/>
      <c r="O165" s="466"/>
      <c r="P165" s="466"/>
      <c r="Q165" s="466"/>
    </row>
    <row r="166" spans="2:29">
      <c r="B166" s="449" t="s">
        <v>534</v>
      </c>
    </row>
    <row r="167" spans="2:29">
      <c r="B167" s="444" t="s">
        <v>669</v>
      </c>
      <c r="D167" s="451">
        <f t="shared" ref="D167:AC167" si="41">+D149</f>
        <v>1161.7221999999999</v>
      </c>
      <c r="E167" s="451">
        <f t="shared" si="41"/>
        <v>1366.6271000000002</v>
      </c>
      <c r="F167" s="451">
        <f t="shared" si="41"/>
        <v>1618.7308000000003</v>
      </c>
      <c r="G167" s="451">
        <f t="shared" si="41"/>
        <v>1942.1297</v>
      </c>
      <c r="H167" s="451">
        <f t="shared" si="41"/>
        <v>2165.5075999999999</v>
      </c>
      <c r="I167" s="451">
        <f t="shared" si="41"/>
        <v>2417.1774999999998</v>
      </c>
      <c r="J167" s="451">
        <f t="shared" si="41"/>
        <v>2773.2508000000003</v>
      </c>
      <c r="K167" s="451">
        <f t="shared" si="41"/>
        <v>3080.6151</v>
      </c>
      <c r="L167" s="451">
        <f t="shared" si="41"/>
        <v>3372.7791000000002</v>
      </c>
      <c r="M167" s="451">
        <f t="shared" si="41"/>
        <v>3911.5962999999997</v>
      </c>
      <c r="N167" s="451">
        <f t="shared" si="41"/>
        <v>4426.2237999999998</v>
      </c>
      <c r="O167" s="451">
        <f t="shared" si="41"/>
        <v>5237.1451000000006</v>
      </c>
      <c r="P167" s="451">
        <f t="shared" si="41"/>
        <v>6362.5218999999997</v>
      </c>
      <c r="Q167" s="451">
        <f t="shared" si="41"/>
        <v>7218.5455000000002</v>
      </c>
      <c r="R167" s="451">
        <f t="shared" ca="1" si="41"/>
        <v>8198.4524070688312</v>
      </c>
      <c r="S167" s="451">
        <f t="shared" ca="1" si="41"/>
        <v>9525.2747224583491</v>
      </c>
      <c r="T167" s="451">
        <f t="shared" ca="1" si="41"/>
        <v>11030.41207147519</v>
      </c>
      <c r="U167" s="451">
        <f t="shared" ca="1" si="41"/>
        <v>12725.292315181003</v>
      </c>
      <c r="V167" s="451">
        <f t="shared" ca="1" si="41"/>
        <v>14595.254177917719</v>
      </c>
      <c r="W167" s="451">
        <f t="shared" ca="1" si="41"/>
        <v>16638.480376519918</v>
      </c>
      <c r="X167" s="451">
        <f t="shared" ca="1" si="41"/>
        <v>18858.164276844676</v>
      </c>
      <c r="Y167" s="451">
        <f t="shared" ca="1" si="41"/>
        <v>21245.945713650122</v>
      </c>
      <c r="Z167" s="451">
        <f t="shared" ca="1" si="41"/>
        <v>23795.939305672979</v>
      </c>
      <c r="AA167" s="451">
        <f t="shared" ca="1" si="41"/>
        <v>26501.656188600562</v>
      </c>
      <c r="AB167" s="451">
        <f t="shared" ca="1" si="41"/>
        <v>29356.038835422914</v>
      </c>
      <c r="AC167" s="451">
        <f t="shared" ca="1" si="41"/>
        <v>32351.281540401404</v>
      </c>
    </row>
    <row r="168" spans="2:29" ht="13.5">
      <c r="B168" s="444" t="s">
        <v>672</v>
      </c>
      <c r="D168" s="453">
        <f t="shared" ref="D168:AC168" si="42">-D159</f>
        <v>-773.27819999999997</v>
      </c>
      <c r="E168" s="453">
        <f t="shared" si="42"/>
        <v>-876.2521999999999</v>
      </c>
      <c r="F168" s="453">
        <f t="shared" si="42"/>
        <v>-1001.1686</v>
      </c>
      <c r="G168" s="453">
        <f t="shared" si="42"/>
        <v>-1149.4638</v>
      </c>
      <c r="H168" s="453">
        <f t="shared" si="42"/>
        <v>-1347.3088</v>
      </c>
      <c r="I168" s="453">
        <f t="shared" si="42"/>
        <v>-1563.7072000000001</v>
      </c>
      <c r="J168" s="453">
        <f t="shared" si="42"/>
        <v>-1775.4731000000002</v>
      </c>
      <c r="K168" s="453">
        <f t="shared" si="42"/>
        <v>-2018.0728000000001</v>
      </c>
      <c r="L168" s="453">
        <f t="shared" si="42"/>
        <v>-2300.7287999999999</v>
      </c>
      <c r="M168" s="453">
        <f t="shared" si="42"/>
        <v>-2559.2824000000001</v>
      </c>
      <c r="N168" s="453">
        <f t="shared" si="42"/>
        <v>-2871.6378999999997</v>
      </c>
      <c r="O168" s="453">
        <f t="shared" si="42"/>
        <v>-3262.0311000000002</v>
      </c>
      <c r="P168" s="453">
        <f t="shared" si="42"/>
        <v>-3668.7062000000001</v>
      </c>
      <c r="Q168" s="453">
        <f t="shared" si="42"/>
        <v>-4154.1212000000005</v>
      </c>
      <c r="R168" s="453">
        <f t="shared" ca="1" si="42"/>
        <v>-4765.6907048474313</v>
      </c>
      <c r="S168" s="453">
        <f t="shared" ca="1" si="42"/>
        <v>-5524.3683302252339</v>
      </c>
      <c r="T168" s="453">
        <f t="shared" ca="1" si="42"/>
        <v>-6365.1275143010771</v>
      </c>
      <c r="U168" s="453">
        <f t="shared" ca="1" si="42"/>
        <v>-7384.6750103243539</v>
      </c>
      <c r="V168" s="453">
        <f t="shared" ca="1" si="42"/>
        <v>-8613.7829235997542</v>
      </c>
      <c r="W168" s="453">
        <f t="shared" ca="1" si="42"/>
        <v>-9925.7020319626863</v>
      </c>
      <c r="X168" s="453">
        <f t="shared" ca="1" si="42"/>
        <v>-11414.707019159921</v>
      </c>
      <c r="Y168" s="453">
        <f t="shared" ca="1" si="42"/>
        <v>-13051.973766345736</v>
      </c>
      <c r="Z168" s="453">
        <f t="shared" ca="1" si="42"/>
        <v>-14834.08616352028</v>
      </c>
      <c r="AA168" s="453">
        <f t="shared" ca="1" si="42"/>
        <v>-16754.963097433643</v>
      </c>
      <c r="AB168" s="453">
        <f t="shared" ca="1" si="42"/>
        <v>-18809.769401029895</v>
      </c>
      <c r="AC168" s="453">
        <f t="shared" ca="1" si="42"/>
        <v>-20992.740915422371</v>
      </c>
    </row>
    <row r="169" spans="2:29" s="440" customFormat="1">
      <c r="B169" s="455" t="s">
        <v>673</v>
      </c>
      <c r="D169" s="456">
        <f t="shared" ref="D169:AC169" si="43">SUM(D167:D168)</f>
        <v>388.44399999999996</v>
      </c>
      <c r="E169" s="456">
        <f t="shared" si="43"/>
        <v>490.37490000000025</v>
      </c>
      <c r="F169" s="456">
        <f t="shared" si="43"/>
        <v>617.5622000000003</v>
      </c>
      <c r="G169" s="456">
        <f t="shared" si="43"/>
        <v>792.66589999999997</v>
      </c>
      <c r="H169" s="456">
        <f t="shared" si="43"/>
        <v>818.19879999999989</v>
      </c>
      <c r="I169" s="456">
        <f t="shared" si="43"/>
        <v>853.47029999999972</v>
      </c>
      <c r="J169" s="456">
        <f t="shared" si="43"/>
        <v>997.7777000000001</v>
      </c>
      <c r="K169" s="456">
        <f t="shared" si="43"/>
        <v>1062.5422999999998</v>
      </c>
      <c r="L169" s="456">
        <f t="shared" si="43"/>
        <v>1072.0503000000003</v>
      </c>
      <c r="M169" s="456">
        <f t="shared" si="43"/>
        <v>1352.3138999999996</v>
      </c>
      <c r="N169" s="456">
        <f t="shared" si="43"/>
        <v>1554.5859</v>
      </c>
      <c r="O169" s="456">
        <f t="shared" si="43"/>
        <v>1975.1140000000005</v>
      </c>
      <c r="P169" s="456">
        <f t="shared" si="43"/>
        <v>2693.8156999999997</v>
      </c>
      <c r="Q169" s="456">
        <f t="shared" si="43"/>
        <v>3064.4242999999997</v>
      </c>
      <c r="R169" s="456">
        <f t="shared" ca="1" si="43"/>
        <v>3432.7617022213999</v>
      </c>
      <c r="S169" s="456">
        <f t="shared" ca="1" si="43"/>
        <v>4000.9063922331152</v>
      </c>
      <c r="T169" s="456">
        <f t="shared" ca="1" si="43"/>
        <v>4665.2845571741127</v>
      </c>
      <c r="U169" s="456">
        <f t="shared" ca="1" si="43"/>
        <v>5340.6173048566488</v>
      </c>
      <c r="V169" s="456">
        <f t="shared" ca="1" si="43"/>
        <v>5981.4712543179648</v>
      </c>
      <c r="W169" s="456">
        <f t="shared" ca="1" si="43"/>
        <v>6712.7783445572313</v>
      </c>
      <c r="X169" s="456">
        <f t="shared" ca="1" si="43"/>
        <v>7443.4572576847549</v>
      </c>
      <c r="Y169" s="456">
        <f t="shared" ca="1" si="43"/>
        <v>8193.971947304386</v>
      </c>
      <c r="Z169" s="456">
        <f t="shared" ca="1" si="43"/>
        <v>8961.8531421526986</v>
      </c>
      <c r="AA169" s="456">
        <f t="shared" ca="1" si="43"/>
        <v>9746.6930911669187</v>
      </c>
      <c r="AB169" s="456">
        <f t="shared" ca="1" si="43"/>
        <v>10546.26943439302</v>
      </c>
      <c r="AC169" s="456">
        <f t="shared" ca="1" si="43"/>
        <v>11358.540624979032</v>
      </c>
    </row>
    <row r="171" spans="2:29">
      <c r="B171" s="444" t="s">
        <v>674</v>
      </c>
      <c r="D171" s="451"/>
      <c r="E171" s="451">
        <f t="shared" ref="E171:AC171" si="44">+D169</f>
        <v>388.44399999999996</v>
      </c>
      <c r="F171" s="451">
        <f t="shared" si="44"/>
        <v>490.37490000000025</v>
      </c>
      <c r="G171" s="451">
        <f t="shared" si="44"/>
        <v>617.5622000000003</v>
      </c>
      <c r="H171" s="451">
        <f t="shared" si="44"/>
        <v>792.66589999999997</v>
      </c>
      <c r="I171" s="451">
        <f t="shared" si="44"/>
        <v>818.19879999999989</v>
      </c>
      <c r="J171" s="451">
        <f t="shared" si="44"/>
        <v>853.47029999999972</v>
      </c>
      <c r="K171" s="451">
        <f t="shared" si="44"/>
        <v>997.7777000000001</v>
      </c>
      <c r="L171" s="451">
        <f t="shared" si="44"/>
        <v>1062.5422999999998</v>
      </c>
      <c r="M171" s="451">
        <f t="shared" si="44"/>
        <v>1072.0503000000003</v>
      </c>
      <c r="N171" s="451">
        <f t="shared" si="44"/>
        <v>1352.3138999999996</v>
      </c>
      <c r="O171" s="451">
        <f t="shared" si="44"/>
        <v>1554.5859</v>
      </c>
      <c r="P171" s="451">
        <f t="shared" si="44"/>
        <v>1975.1140000000005</v>
      </c>
      <c r="Q171" s="451">
        <f t="shared" si="44"/>
        <v>2693.8156999999997</v>
      </c>
      <c r="R171" s="451">
        <f t="shared" si="44"/>
        <v>3064.4242999999997</v>
      </c>
      <c r="S171" s="451">
        <f t="shared" ca="1" si="44"/>
        <v>3432.7617022213999</v>
      </c>
      <c r="T171" s="451">
        <f t="shared" ca="1" si="44"/>
        <v>4000.9063922331152</v>
      </c>
      <c r="U171" s="451">
        <f t="shared" ca="1" si="44"/>
        <v>4665.2845571741127</v>
      </c>
      <c r="V171" s="451">
        <f t="shared" ca="1" si="44"/>
        <v>5340.6173048566488</v>
      </c>
      <c r="W171" s="451">
        <f t="shared" ca="1" si="44"/>
        <v>5981.4712543179648</v>
      </c>
      <c r="X171" s="451">
        <f t="shared" ca="1" si="44"/>
        <v>6712.7783445572313</v>
      </c>
      <c r="Y171" s="451">
        <f t="shared" ca="1" si="44"/>
        <v>7443.4572576847549</v>
      </c>
      <c r="Z171" s="451">
        <f t="shared" ca="1" si="44"/>
        <v>8193.971947304386</v>
      </c>
      <c r="AA171" s="451">
        <f t="shared" ca="1" si="44"/>
        <v>8961.8531421526986</v>
      </c>
      <c r="AB171" s="451">
        <f t="shared" ca="1" si="44"/>
        <v>9746.6930911669187</v>
      </c>
      <c r="AC171" s="451">
        <f t="shared" ca="1" si="44"/>
        <v>10546.26943439302</v>
      </c>
    </row>
    <row r="172" spans="2:29">
      <c r="B172" s="444" t="s">
        <v>640</v>
      </c>
      <c r="D172" s="451"/>
      <c r="E172" s="451">
        <f t="shared" ref="E172:AC173" si="45">+E153</f>
        <v>219.05254781499644</v>
      </c>
      <c r="F172" s="451">
        <f t="shared" si="45"/>
        <v>257.6891</v>
      </c>
      <c r="G172" s="451">
        <f t="shared" si="45"/>
        <v>333.80220000000003</v>
      </c>
      <c r="H172" s="451">
        <f t="shared" si="45"/>
        <v>224.01870000000002</v>
      </c>
      <c r="I172" s="451">
        <f t="shared" si="45"/>
        <v>219.30339999999998</v>
      </c>
      <c r="J172" s="451">
        <f t="shared" si="45"/>
        <v>365.82759999999996</v>
      </c>
      <c r="K172" s="451">
        <f t="shared" si="45"/>
        <v>322.4939</v>
      </c>
      <c r="L172" s="451">
        <f t="shared" si="45"/>
        <v>300.02440000000001</v>
      </c>
      <c r="M172" s="451">
        <f t="shared" si="45"/>
        <v>564.28300000000002</v>
      </c>
      <c r="N172" s="451">
        <f t="shared" si="45"/>
        <v>525.72069999999997</v>
      </c>
      <c r="O172" s="451">
        <f t="shared" si="45"/>
        <v>835.4063000000001</v>
      </c>
      <c r="P172" s="451">
        <f t="shared" si="45"/>
        <v>1139.8921</v>
      </c>
      <c r="Q172" s="451">
        <f t="shared" si="45"/>
        <v>897.51880000000006</v>
      </c>
      <c r="R172" s="451">
        <f t="shared" ca="1" si="45"/>
        <v>990.18415175882456</v>
      </c>
      <c r="S172" s="451">
        <f t="shared" ca="1" si="45"/>
        <v>1338.4946808912268</v>
      </c>
      <c r="T172" s="451">
        <f t="shared" ca="1" si="45"/>
        <v>1518.6987484791175</v>
      </c>
      <c r="U172" s="451">
        <f t="shared" ca="1" si="45"/>
        <v>1710.5845492186077</v>
      </c>
      <c r="V172" s="451">
        <f t="shared" ca="1" si="45"/>
        <v>1888.0792165547145</v>
      </c>
      <c r="W172" s="451">
        <f t="shared" ca="1" si="45"/>
        <v>2064.0058693127462</v>
      </c>
      <c r="X172" s="451">
        <f t="shared" ca="1" si="45"/>
        <v>2243.3725691984487</v>
      </c>
      <c r="Y172" s="451">
        <f t="shared" ca="1" si="45"/>
        <v>2414.6303315969553</v>
      </c>
      <c r="Z172" s="451">
        <f t="shared" ca="1" si="45"/>
        <v>2580.2420378862912</v>
      </c>
      <c r="AA172" s="451">
        <f t="shared" ca="1" si="45"/>
        <v>2739.5958258354922</v>
      </c>
      <c r="AB172" s="451">
        <f t="shared" ca="1" si="45"/>
        <v>2892.1137943700592</v>
      </c>
      <c r="AC172" s="451">
        <f t="shared" ca="1" si="45"/>
        <v>3037.03771676315</v>
      </c>
    </row>
    <row r="173" spans="2:29">
      <c r="B173" s="444" t="s">
        <v>641</v>
      </c>
      <c r="D173" s="451"/>
      <c r="E173" s="451">
        <f t="shared" si="45"/>
        <v>-2.3146426544446541</v>
      </c>
      <c r="F173" s="451">
        <f t="shared" si="45"/>
        <v>-2.7229000000000001</v>
      </c>
      <c r="G173" s="451">
        <f t="shared" si="45"/>
        <v>-3.7131999999999996</v>
      </c>
      <c r="H173" s="451">
        <f t="shared" si="45"/>
        <v>-2.8826999999999998</v>
      </c>
      <c r="I173" s="451">
        <f t="shared" si="45"/>
        <v>-6.7846000000000002</v>
      </c>
      <c r="J173" s="451">
        <f t="shared" si="45"/>
        <v>-3.5768</v>
      </c>
      <c r="K173" s="451">
        <f t="shared" si="45"/>
        <v>-9.9677999999999987</v>
      </c>
      <c r="L173" s="451">
        <f t="shared" si="45"/>
        <v>-7.1741999999999999</v>
      </c>
      <c r="M173" s="451">
        <f t="shared" si="45"/>
        <v>-18.5839</v>
      </c>
      <c r="N173" s="451">
        <f t="shared" si="45"/>
        <v>-7.1728999999999994</v>
      </c>
      <c r="O173" s="451">
        <f t="shared" si="45"/>
        <v>-26.566700000000001</v>
      </c>
      <c r="P173" s="451">
        <f t="shared" si="45"/>
        <v>-27.792400000000001</v>
      </c>
      <c r="Q173" s="451">
        <f t="shared" si="45"/>
        <v>-32.436700000000002</v>
      </c>
      <c r="R173" s="451">
        <f t="shared" si="45"/>
        <v>0</v>
      </c>
      <c r="S173" s="451">
        <f t="shared" si="45"/>
        <v>0</v>
      </c>
      <c r="T173" s="451">
        <f t="shared" si="45"/>
        <v>0</v>
      </c>
      <c r="U173" s="451">
        <f t="shared" si="45"/>
        <v>0</v>
      </c>
      <c r="V173" s="451">
        <f t="shared" si="45"/>
        <v>0</v>
      </c>
      <c r="W173" s="451">
        <f t="shared" si="45"/>
        <v>0</v>
      </c>
      <c r="X173" s="451">
        <f t="shared" si="45"/>
        <v>0</v>
      </c>
      <c r="Y173" s="451">
        <f t="shared" si="45"/>
        <v>0</v>
      </c>
      <c r="Z173" s="451">
        <f t="shared" si="45"/>
        <v>0</v>
      </c>
      <c r="AA173" s="451">
        <f t="shared" si="45"/>
        <v>0</v>
      </c>
      <c r="AB173" s="451">
        <f t="shared" si="45"/>
        <v>0</v>
      </c>
      <c r="AC173" s="451">
        <f t="shared" si="45"/>
        <v>0</v>
      </c>
    </row>
    <row r="174" spans="2:29">
      <c r="B174" s="444" t="s">
        <v>657</v>
      </c>
      <c r="D174" s="451"/>
      <c r="E174" s="478">
        <f>-E162</f>
        <v>-105.32719999999999</v>
      </c>
      <c r="F174" s="478">
        <f t="shared" ref="F174:AC174" si="46">-F162</f>
        <v>-129.16849999999999</v>
      </c>
      <c r="G174" s="478">
        <f t="shared" si="46"/>
        <v>-153.97979999999998</v>
      </c>
      <c r="H174" s="478">
        <f t="shared" si="46"/>
        <v>-197.64520000000002</v>
      </c>
      <c r="I174" s="478">
        <f t="shared" si="46"/>
        <v>-219.30339999999998</v>
      </c>
      <c r="J174" s="478">
        <f t="shared" si="46"/>
        <v>-220.08500000000001</v>
      </c>
      <c r="K174" s="478">
        <f t="shared" si="46"/>
        <v>-255.79599999999999</v>
      </c>
      <c r="L174" s="478">
        <f t="shared" si="46"/>
        <v>-288.12490000000003</v>
      </c>
      <c r="M174" s="478">
        <f t="shared" si="46"/>
        <v>-278.76490000000001</v>
      </c>
      <c r="N174" s="478">
        <f t="shared" si="46"/>
        <v>-321.8211</v>
      </c>
      <c r="O174" s="478">
        <f t="shared" si="46"/>
        <v>-411.48390000000001</v>
      </c>
      <c r="P174" s="478">
        <f t="shared" si="46"/>
        <v>-425.41629999999998</v>
      </c>
      <c r="Q174" s="478">
        <f t="shared" si="46"/>
        <v>-519.46619999999996</v>
      </c>
      <c r="R174" s="478">
        <f t="shared" ca="1" si="46"/>
        <v>-650.12609785164591</v>
      </c>
      <c r="S174" s="478">
        <f t="shared" ca="1" si="46"/>
        <v>-802.91051797871432</v>
      </c>
      <c r="T174" s="478">
        <f t="shared" ca="1" si="46"/>
        <v>-892.03376444048604</v>
      </c>
      <c r="U174" s="478">
        <f t="shared" ca="1" si="46"/>
        <v>-1078.6256064522247</v>
      </c>
      <c r="V174" s="478">
        <f t="shared" ca="1" si="46"/>
        <v>-1297.6489825252515</v>
      </c>
      <c r="W174" s="478">
        <f t="shared" ca="1" si="46"/>
        <v>-1391.8681773529966</v>
      </c>
      <c r="X174" s="478">
        <f t="shared" ca="1" si="46"/>
        <v>-1581.1306703688015</v>
      </c>
      <c r="Y174" s="478">
        <f t="shared" ca="1" si="46"/>
        <v>-1743.2126721145576</v>
      </c>
      <c r="Z174" s="478">
        <f t="shared" ca="1" si="46"/>
        <v>-1903.2546595646459</v>
      </c>
      <c r="AA174" s="478">
        <f t="shared" ca="1" si="46"/>
        <v>-2058.5599227477524</v>
      </c>
      <c r="AB174" s="478">
        <f t="shared" ca="1" si="46"/>
        <v>-2210.3179658338336</v>
      </c>
      <c r="AC174" s="478">
        <f t="shared" ca="1" si="46"/>
        <v>-2357.5549192528456</v>
      </c>
    </row>
    <row r="175" spans="2:29" ht="13.5">
      <c r="B175" s="444" t="s">
        <v>19</v>
      </c>
      <c r="D175" s="453"/>
      <c r="E175" s="453">
        <f t="shared" ref="E175:AC175" si="47">+E176-SUM(E171:E174)</f>
        <v>-9.4798051605513933</v>
      </c>
      <c r="F175" s="453">
        <f t="shared" si="47"/>
        <v>1.3895999999999731</v>
      </c>
      <c r="G175" s="453">
        <f t="shared" si="47"/>
        <v>-1.0055000000004384</v>
      </c>
      <c r="H175" s="453">
        <f t="shared" si="47"/>
        <v>2.0420999999998912</v>
      </c>
      <c r="I175" s="453">
        <f t="shared" si="47"/>
        <v>42.056099999999788</v>
      </c>
      <c r="J175" s="453">
        <f t="shared" si="47"/>
        <v>2.1416000000006079</v>
      </c>
      <c r="K175" s="453">
        <f t="shared" si="47"/>
        <v>8.0344999999997526</v>
      </c>
      <c r="L175" s="453">
        <f t="shared" si="47"/>
        <v>4.7827000000004318</v>
      </c>
      <c r="M175" s="453">
        <f t="shared" si="47"/>
        <v>13.329399999999623</v>
      </c>
      <c r="N175" s="453">
        <f t="shared" si="47"/>
        <v>5.5453000000006796</v>
      </c>
      <c r="O175" s="453">
        <f t="shared" si="47"/>
        <v>23.172400000000152</v>
      </c>
      <c r="P175" s="453">
        <f t="shared" si="47"/>
        <v>32.018299999998817</v>
      </c>
      <c r="Q175" s="453">
        <f t="shared" si="47"/>
        <v>24.992699999999786</v>
      </c>
      <c r="R175" s="453">
        <f t="shared" ca="1" si="47"/>
        <v>28.279348314221352</v>
      </c>
      <c r="S175" s="453">
        <f t="shared" ca="1" si="47"/>
        <v>32.560527099203227</v>
      </c>
      <c r="T175" s="453">
        <f t="shared" ca="1" si="47"/>
        <v>37.71318090236673</v>
      </c>
      <c r="U175" s="453">
        <f t="shared" ca="1" si="47"/>
        <v>43.373804916154768</v>
      </c>
      <c r="V175" s="453">
        <f t="shared" ca="1" si="47"/>
        <v>50.423715431852543</v>
      </c>
      <c r="W175" s="453">
        <f t="shared" ca="1" si="47"/>
        <v>59.169398279516827</v>
      </c>
      <c r="X175" s="453">
        <f t="shared" ca="1" si="47"/>
        <v>68.437014297875976</v>
      </c>
      <c r="Y175" s="453">
        <f t="shared" ca="1" si="47"/>
        <v>79.097030137234469</v>
      </c>
      <c r="Z175" s="453">
        <f t="shared" ca="1" si="47"/>
        <v>90.893816526666342</v>
      </c>
      <c r="AA175" s="453">
        <f t="shared" ca="1" si="47"/>
        <v>103.80404592647938</v>
      </c>
      <c r="AB175" s="453">
        <f t="shared" ca="1" si="47"/>
        <v>117.78051468987542</v>
      </c>
      <c r="AC175" s="453">
        <f t="shared" ca="1" si="47"/>
        <v>132.78839307570706</v>
      </c>
    </row>
    <row r="176" spans="2:29" s="440" customFormat="1">
      <c r="B176" s="455" t="s">
        <v>673</v>
      </c>
      <c r="D176" s="456"/>
      <c r="E176" s="456">
        <f t="shared" ref="E176:AC176" si="48">+E169</f>
        <v>490.37490000000025</v>
      </c>
      <c r="F176" s="456">
        <f t="shared" si="48"/>
        <v>617.5622000000003</v>
      </c>
      <c r="G176" s="456">
        <f t="shared" si="48"/>
        <v>792.66589999999997</v>
      </c>
      <c r="H176" s="456">
        <f t="shared" si="48"/>
        <v>818.19879999999989</v>
      </c>
      <c r="I176" s="456">
        <f t="shared" si="48"/>
        <v>853.47029999999972</v>
      </c>
      <c r="J176" s="456">
        <f t="shared" si="48"/>
        <v>997.7777000000001</v>
      </c>
      <c r="K176" s="456">
        <f t="shared" si="48"/>
        <v>1062.5422999999998</v>
      </c>
      <c r="L176" s="456">
        <f t="shared" si="48"/>
        <v>1072.0503000000003</v>
      </c>
      <c r="M176" s="456">
        <f t="shared" si="48"/>
        <v>1352.3138999999996</v>
      </c>
      <c r="N176" s="456">
        <f t="shared" si="48"/>
        <v>1554.5859</v>
      </c>
      <c r="O176" s="456">
        <f t="shared" si="48"/>
        <v>1975.1140000000005</v>
      </c>
      <c r="P176" s="456">
        <f t="shared" si="48"/>
        <v>2693.8156999999997</v>
      </c>
      <c r="Q176" s="456">
        <f t="shared" si="48"/>
        <v>3064.4242999999997</v>
      </c>
      <c r="R176" s="456">
        <f t="shared" ca="1" si="48"/>
        <v>3432.7617022213999</v>
      </c>
      <c r="S176" s="456">
        <f t="shared" ca="1" si="48"/>
        <v>4000.9063922331152</v>
      </c>
      <c r="T176" s="456">
        <f t="shared" ca="1" si="48"/>
        <v>4665.2845571741127</v>
      </c>
      <c r="U176" s="456">
        <f t="shared" ca="1" si="48"/>
        <v>5340.6173048566488</v>
      </c>
      <c r="V176" s="456">
        <f t="shared" ca="1" si="48"/>
        <v>5981.4712543179648</v>
      </c>
      <c r="W176" s="456">
        <f t="shared" ca="1" si="48"/>
        <v>6712.7783445572313</v>
      </c>
      <c r="X176" s="456">
        <f t="shared" ca="1" si="48"/>
        <v>7443.4572576847549</v>
      </c>
      <c r="Y176" s="456">
        <f t="shared" ca="1" si="48"/>
        <v>8193.971947304386</v>
      </c>
      <c r="Z176" s="456">
        <f t="shared" ca="1" si="48"/>
        <v>8961.8531421526986</v>
      </c>
      <c r="AA176" s="456">
        <f t="shared" ca="1" si="48"/>
        <v>9746.6930911669187</v>
      </c>
      <c r="AB176" s="456">
        <f t="shared" ca="1" si="48"/>
        <v>10546.26943439302</v>
      </c>
      <c r="AC176" s="456">
        <f t="shared" ca="1" si="48"/>
        <v>11358.540624979032</v>
      </c>
    </row>
    <row r="177" spans="2:29" s="440" customFormat="1">
      <c r="B177" s="455"/>
      <c r="D177" s="456"/>
      <c r="E177" s="456"/>
      <c r="F177" s="456"/>
      <c r="G177" s="456"/>
      <c r="H177" s="456"/>
      <c r="I177" s="456"/>
      <c r="J177" s="456"/>
      <c r="K177" s="456"/>
      <c r="L177" s="456"/>
      <c r="M177" s="456"/>
      <c r="N177" s="456"/>
      <c r="O177" s="456"/>
      <c r="P177" s="456"/>
      <c r="Q177" s="456"/>
    </row>
    <row r="178" spans="2:29" s="440" customFormat="1">
      <c r="B178" s="449" t="s">
        <v>658</v>
      </c>
      <c r="D178" s="456"/>
      <c r="E178" s="456"/>
      <c r="F178" s="456"/>
      <c r="G178" s="456"/>
      <c r="H178" s="456"/>
      <c r="I178" s="456"/>
      <c r="J178" s="456"/>
      <c r="K178" s="456"/>
      <c r="L178" s="456"/>
      <c r="M178" s="456"/>
      <c r="N178" s="456"/>
      <c r="O178" s="456"/>
      <c r="P178" s="456"/>
      <c r="Q178" s="456"/>
    </row>
    <row r="179" spans="2:29" s="440" customFormat="1">
      <c r="B179" s="450" t="s">
        <v>665</v>
      </c>
      <c r="D179" s="467"/>
      <c r="E179" s="467">
        <v>20</v>
      </c>
      <c r="F179" s="467">
        <v>20</v>
      </c>
      <c r="G179" s="467">
        <v>20</v>
      </c>
      <c r="H179" s="467">
        <v>20</v>
      </c>
      <c r="I179" s="467">
        <v>20</v>
      </c>
      <c r="J179" s="467">
        <v>20</v>
      </c>
      <c r="K179" s="467">
        <v>20</v>
      </c>
      <c r="L179" s="467">
        <v>20</v>
      </c>
      <c r="M179" s="467">
        <v>20</v>
      </c>
      <c r="N179" s="467">
        <v>20</v>
      </c>
      <c r="O179" s="467">
        <v>20</v>
      </c>
      <c r="P179" s="467">
        <v>20</v>
      </c>
      <c r="Q179" s="467">
        <v>20</v>
      </c>
    </row>
    <row r="180" spans="2:29" s="440" customFormat="1">
      <c r="B180" s="450" t="s">
        <v>653</v>
      </c>
      <c r="D180" s="468"/>
      <c r="E180" s="471" t="s">
        <v>675</v>
      </c>
      <c r="F180" s="471" t="s">
        <v>675</v>
      </c>
      <c r="G180" s="471" t="s">
        <v>675</v>
      </c>
      <c r="H180" s="471" t="s">
        <v>675</v>
      </c>
      <c r="I180" s="471" t="s">
        <v>675</v>
      </c>
      <c r="J180" s="471" t="s">
        <v>677</v>
      </c>
      <c r="K180" s="471" t="s">
        <v>675</v>
      </c>
      <c r="L180" s="471" t="s">
        <v>675</v>
      </c>
      <c r="M180" s="471" t="s">
        <v>675</v>
      </c>
      <c r="N180" s="471" t="s">
        <v>675</v>
      </c>
      <c r="O180" s="471" t="s">
        <v>675</v>
      </c>
      <c r="P180" s="471" t="s">
        <v>675</v>
      </c>
      <c r="Q180" s="471" t="s">
        <v>675</v>
      </c>
    </row>
    <row r="181" spans="2:29" s="440" customFormat="1">
      <c r="B181" s="450" t="s">
        <v>666</v>
      </c>
      <c r="D181" s="468"/>
      <c r="E181" s="468" t="s">
        <v>659</v>
      </c>
      <c r="F181" s="468" t="s">
        <v>659</v>
      </c>
      <c r="G181" s="468" t="s">
        <v>659</v>
      </c>
      <c r="H181" s="468" t="s">
        <v>659</v>
      </c>
      <c r="I181" s="468" t="s">
        <v>660</v>
      </c>
      <c r="J181" s="468" t="s">
        <v>660</v>
      </c>
      <c r="K181" s="468" t="s">
        <v>660</v>
      </c>
      <c r="L181" s="468" t="s">
        <v>660</v>
      </c>
      <c r="M181" s="468">
        <v>5</v>
      </c>
      <c r="N181" s="468">
        <v>5</v>
      </c>
      <c r="O181" s="468">
        <v>5</v>
      </c>
      <c r="P181" s="468">
        <v>5</v>
      </c>
      <c r="Q181" s="468">
        <v>5</v>
      </c>
    </row>
    <row r="182" spans="2:29" s="440" customFormat="1">
      <c r="B182" s="450" t="s">
        <v>667</v>
      </c>
      <c r="D182" s="468"/>
      <c r="E182" s="468" t="s">
        <v>678</v>
      </c>
      <c r="F182" s="468" t="s">
        <v>678</v>
      </c>
      <c r="G182" s="468" t="s">
        <v>678</v>
      </c>
      <c r="H182" s="468" t="s">
        <v>678</v>
      </c>
      <c r="I182" s="468" t="s">
        <v>678</v>
      </c>
      <c r="J182" s="468" t="s">
        <v>678</v>
      </c>
      <c r="K182" s="468" t="s">
        <v>659</v>
      </c>
      <c r="L182" s="468" t="s">
        <v>659</v>
      </c>
      <c r="M182" s="468">
        <v>5</v>
      </c>
      <c r="N182" s="468">
        <v>5</v>
      </c>
      <c r="O182" s="468">
        <v>5</v>
      </c>
      <c r="P182" s="468">
        <v>5</v>
      </c>
      <c r="Q182" s="468">
        <v>5</v>
      </c>
    </row>
    <row r="183" spans="2:29">
      <c r="P183" s="469"/>
    </row>
    <row r="184" spans="2:29">
      <c r="B184" s="449" t="s">
        <v>661</v>
      </c>
    </row>
    <row r="185" spans="2:29">
      <c r="B185" s="444" t="s">
        <v>662</v>
      </c>
      <c r="E185" s="470">
        <f>+E149/E162</f>
        <v>12.975063421414415</v>
      </c>
      <c r="F185" s="470">
        <f>+F149/F162</f>
        <v>12.531931546778049</v>
      </c>
      <c r="G185" s="470">
        <f>+G149/G162</f>
        <v>12.612886235727025</v>
      </c>
      <c r="H185" s="470">
        <f t="shared" ref="H185:AC185" si="49">+H149/H162</f>
        <v>10.956540305557635</v>
      </c>
      <c r="I185" s="470">
        <f t="shared" si="49"/>
        <v>11.022070337258793</v>
      </c>
      <c r="J185" s="470">
        <f t="shared" si="49"/>
        <v>12.600816957084763</v>
      </c>
      <c r="K185" s="470">
        <f t="shared" si="49"/>
        <v>12.043249698978874</v>
      </c>
      <c r="L185" s="470">
        <f t="shared" si="49"/>
        <v>11.705961893609334</v>
      </c>
      <c r="M185" s="470">
        <f t="shared" si="49"/>
        <v>14.031882421352185</v>
      </c>
      <c r="N185" s="470">
        <f t="shared" si="49"/>
        <v>13.753678052806357</v>
      </c>
      <c r="O185" s="470">
        <f t="shared" si="49"/>
        <v>12.727460539768385</v>
      </c>
      <c r="P185" s="470">
        <f t="shared" si="49"/>
        <v>14.95598993268476</v>
      </c>
      <c r="Q185" s="470">
        <f>+Q149/Q162</f>
        <v>13.896083133031564</v>
      </c>
      <c r="R185" s="470">
        <f ca="1">+R149/R162</f>
        <v>12.61055729674716</v>
      </c>
      <c r="S185" s="470">
        <f t="shared" ca="1" si="49"/>
        <v>11.863432486147691</v>
      </c>
      <c r="T185" s="470">
        <f t="shared" ca="1" si="49"/>
        <v>12.365464751655269</v>
      </c>
      <c r="U185" s="470">
        <f t="shared" ca="1" si="49"/>
        <v>11.797691654138049</v>
      </c>
      <c r="V185" s="470">
        <f t="shared" ca="1" si="49"/>
        <v>11.24745934722274</v>
      </c>
      <c r="W185" s="470">
        <f t="shared" ca="1" si="49"/>
        <v>11.954063356892291</v>
      </c>
      <c r="X185" s="470">
        <f t="shared" ca="1" si="49"/>
        <v>11.927011872109201</v>
      </c>
      <c r="Y185" s="470">
        <f t="shared" ca="1" si="49"/>
        <v>12.187810502707221</v>
      </c>
      <c r="Z185" s="470">
        <f t="shared" ca="1" si="49"/>
        <v>12.502761617363442</v>
      </c>
      <c r="AA185" s="470">
        <f t="shared" ca="1" si="49"/>
        <v>12.873881345764433</v>
      </c>
      <c r="AB185" s="470">
        <f t="shared" ca="1" si="49"/>
        <v>13.281364622283412</v>
      </c>
      <c r="AC185" s="470">
        <f t="shared" ca="1" si="49"/>
        <v>13.722387239510903</v>
      </c>
    </row>
    <row r="186" spans="2:29">
      <c r="B186" s="444" t="s">
        <v>663</v>
      </c>
      <c r="E186" s="470">
        <f>+E150/E162</f>
        <v>11.84338423503141</v>
      </c>
      <c r="F186" s="470">
        <f>+F150/F162</f>
        <v>11.592399849808585</v>
      </c>
      <c r="G186" s="470">
        <f>+G150/G162</f>
        <v>10.814174976198178</v>
      </c>
      <c r="H186" s="470">
        <f t="shared" ref="H186:AC186" si="50">+H150/H162</f>
        <v>10.378672995853176</v>
      </c>
      <c r="I186" s="470">
        <f t="shared" si="50"/>
        <v>10.127483203634783</v>
      </c>
      <c r="J186" s="470">
        <f t="shared" si="50"/>
        <v>10.823099257105209</v>
      </c>
      <c r="K186" s="470">
        <f t="shared" si="50"/>
        <v>11.373431953588014</v>
      </c>
      <c r="L186" s="470">
        <f t="shared" si="50"/>
        <v>11.091914305219715</v>
      </c>
      <c r="M186" s="470">
        <f t="shared" si="50"/>
        <v>12.122435069838419</v>
      </c>
      <c r="N186" s="470">
        <f t="shared" si="50"/>
        <v>13.045495773894253</v>
      </c>
      <c r="O186" s="470">
        <f t="shared" si="50"/>
        <v>11.270188699971008</v>
      </c>
      <c r="P186" s="470">
        <f t="shared" si="50"/>
        <v>11.795545915847606</v>
      </c>
      <c r="Q186" s="470">
        <f t="shared" si="50"/>
        <v>12.132904316007471</v>
      </c>
      <c r="R186" s="470">
        <f ca="1">+R150/R162</f>
        <v>11.065237129158465</v>
      </c>
      <c r="S186" s="470">
        <f t="shared" ca="1" si="50"/>
        <v>10.460000786298947</v>
      </c>
      <c r="T186" s="470">
        <f t="shared" ca="1" si="50"/>
        <v>10.947201678112895</v>
      </c>
      <c r="U186" s="470">
        <f t="shared" ca="1" si="50"/>
        <v>10.480744708533599</v>
      </c>
      <c r="V186" s="470">
        <f t="shared" ca="1" si="50"/>
        <v>10.021254659257741</v>
      </c>
      <c r="W186" s="470">
        <f t="shared" ca="1" si="50"/>
        <v>10.677502680503192</v>
      </c>
      <c r="X186" s="470">
        <f t="shared" ca="1" si="50"/>
        <v>10.676354474190841</v>
      </c>
      <c r="Y186" s="470">
        <f t="shared" ca="1" si="50"/>
        <v>10.930323712135927</v>
      </c>
      <c r="Z186" s="470">
        <f t="shared" ca="1" si="50"/>
        <v>11.231338135432097</v>
      </c>
      <c r="AA186" s="470">
        <f t="shared" ca="1" si="50"/>
        <v>11.581753156272173</v>
      </c>
      <c r="AB186" s="470">
        <f t="shared" ca="1" si="50"/>
        <v>11.96417696746002</v>
      </c>
      <c r="AC186" s="470">
        <f t="shared" ca="1" si="50"/>
        <v>12.376368840614806</v>
      </c>
    </row>
    <row r="187" spans="2:29">
      <c r="B187" s="444" t="s">
        <v>664</v>
      </c>
      <c r="E187" s="470">
        <f>+E169/E162</f>
        <v>4.655729004473681</v>
      </c>
      <c r="F187" s="470">
        <f>+F169/F162</f>
        <v>4.7810588494872999</v>
      </c>
      <c r="G187" s="470">
        <f>+G169/G162</f>
        <v>5.1478564071391189</v>
      </c>
      <c r="H187" s="470">
        <f t="shared" ref="H187:AC187" si="51">+H169/H162</f>
        <v>4.1397352427481158</v>
      </c>
      <c r="I187" s="470">
        <f t="shared" si="51"/>
        <v>3.8917330967052939</v>
      </c>
      <c r="J187" s="470">
        <f t="shared" si="51"/>
        <v>4.5336015630324651</v>
      </c>
      <c r="K187" s="470">
        <f t="shared" si="51"/>
        <v>4.1538659713208954</v>
      </c>
      <c r="L187" s="470">
        <f t="shared" si="51"/>
        <v>3.7207832436557906</v>
      </c>
      <c r="M187" s="470">
        <f t="shared" si="51"/>
        <v>4.8510910089469643</v>
      </c>
      <c r="N187" s="470">
        <f t="shared" si="51"/>
        <v>4.8305903497315743</v>
      </c>
      <c r="O187" s="470">
        <f t="shared" si="51"/>
        <v>4.7999788084053847</v>
      </c>
      <c r="P187" s="470">
        <f t="shared" si="51"/>
        <v>6.3321873186335358</v>
      </c>
      <c r="Q187" s="470">
        <f t="shared" si="51"/>
        <v>5.8991793883798405</v>
      </c>
      <c r="R187" s="470">
        <f t="shared" ca="1" si="51"/>
        <v>5.2801475184045472</v>
      </c>
      <c r="S187" s="470">
        <f t="shared" ca="1" si="51"/>
        <v>4.9830040865639544</v>
      </c>
      <c r="T187" s="470">
        <f t="shared" ca="1" si="51"/>
        <v>5.2299416716589624</v>
      </c>
      <c r="U187" s="470">
        <f t="shared" ca="1" si="51"/>
        <v>4.9513170027761619</v>
      </c>
      <c r="V187" s="470">
        <f t="shared" ca="1" si="51"/>
        <v>4.6094678413556025</v>
      </c>
      <c r="W187" s="470">
        <f t="shared" ca="1" si="51"/>
        <v>4.8228549612531157</v>
      </c>
      <c r="X187" s="470">
        <f t="shared" ca="1" si="51"/>
        <v>4.7076800148014053</v>
      </c>
      <c r="Y187" s="470">
        <f t="shared" ca="1" si="51"/>
        <v>4.7005004486141715</v>
      </c>
      <c r="Z187" s="470">
        <f t="shared" ca="1" si="51"/>
        <v>4.7086989106348227</v>
      </c>
      <c r="AA187" s="470">
        <f t="shared" ca="1" si="51"/>
        <v>4.7347142939405407</v>
      </c>
      <c r="AB187" s="470">
        <f t="shared" ca="1" si="51"/>
        <v>4.7713811304132809</v>
      </c>
      <c r="AC187" s="470">
        <f t="shared" ca="1" si="51"/>
        <v>4.8179325674325213</v>
      </c>
    </row>
    <row r="188" spans="2:29">
      <c r="E188" s="470"/>
      <c r="F188" s="470"/>
      <c r="G188" s="470"/>
      <c r="H188" s="470"/>
      <c r="I188" s="470"/>
      <c r="J188" s="470"/>
      <c r="K188" s="470"/>
      <c r="L188" s="470"/>
      <c r="M188" s="470"/>
      <c r="N188" s="470"/>
      <c r="O188" s="470"/>
      <c r="P188" s="470"/>
      <c r="Q188" s="470"/>
      <c r="R188" s="470"/>
      <c r="S188" s="470"/>
      <c r="T188" s="470"/>
      <c r="U188" s="470"/>
      <c r="V188" s="470"/>
      <c r="W188" s="470"/>
      <c r="X188" s="470"/>
      <c r="Y188" s="470"/>
      <c r="Z188" s="470"/>
      <c r="AA188" s="470"/>
      <c r="AB188" s="470"/>
      <c r="AC188" s="470"/>
    </row>
  </sheetData>
  <pageMargins left="0.3" right="0.3" top="0.3" bottom="0.3" header="0.3" footer="0.3"/>
  <pageSetup scale="59" fitToHeight="0" orientation="landscape" r:id="rId1"/>
  <rowBreaks count="1" manualBreakCount="1">
    <brk id="139" min="1" max="28" man="1"/>
  </rowBreak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5169C-8BF8-4DB9-BAE4-EC98B08CCC85}">
  <sheetPr>
    <tabColor theme="4" tint="0.59999389629810485"/>
  </sheetPr>
  <dimension ref="A1:BV600"/>
  <sheetViews>
    <sheetView view="pageBreakPreview" zoomScale="85" zoomScaleNormal="100" zoomScaleSheetLayoutView="85" workbookViewId="0">
      <pane xSplit="3" ySplit="7" topLeftCell="L264" activePane="bottomRight" state="frozen"/>
      <selection activeCell="J120" sqref="J120"/>
      <selection pane="topRight" activeCell="J120" sqref="J120"/>
      <selection pane="bottomLeft" activeCell="J120" sqref="J120"/>
      <selection pane="bottomRight" activeCell="W283" sqref="W283"/>
    </sheetView>
  </sheetViews>
  <sheetFormatPr defaultRowHeight="11.25" customHeight="1" outlineLevelRow="1" outlineLevelCol="1"/>
  <cols>
    <col min="1" max="1" width="2.7109375" customWidth="1"/>
    <col min="2" max="2" width="22.140625" customWidth="1"/>
    <col min="3" max="3" width="2.42578125" customWidth="1"/>
    <col min="4" max="7" width="9.28515625" hidden="1" customWidth="1" outlineLevel="1"/>
    <col min="8" max="8" width="8.28515625" hidden="1" customWidth="1" outlineLevel="1" collapsed="1"/>
    <col min="9" max="11" width="8.28515625" hidden="1" customWidth="1" outlineLevel="1"/>
    <col min="12" max="12" width="8.28515625" customWidth="1" collapsed="1"/>
    <col min="13" max="27" width="8.28515625" customWidth="1"/>
    <col min="28" max="28" width="2.7109375" customWidth="1"/>
    <col min="29" max="38" width="8.28515625" hidden="1" customWidth="1" outlineLevel="1"/>
    <col min="39" max="39" width="8.28515625" hidden="1" customWidth="1" outlineLevel="1" collapsed="1"/>
    <col min="40" max="41" width="8.28515625" hidden="1" customWidth="1" outlineLevel="1"/>
    <col min="42" max="42" width="8.28515625" customWidth="1" collapsed="1"/>
    <col min="43" max="57" width="8.28515625" customWidth="1"/>
    <col min="58" max="58" width="2.7109375" customWidth="1"/>
    <col min="59" max="63" width="8" customWidth="1"/>
    <col min="64" max="64" width="12.140625" bestFit="1" customWidth="1"/>
  </cols>
  <sheetData>
    <row r="1" spans="1:63" ht="11.2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row>
    <row r="2" spans="1:63" ht="11.25" customHeight="1">
      <c r="A2" s="2"/>
      <c r="B2" s="55" t="s">
        <v>114</v>
      </c>
      <c r="C2" s="2"/>
      <c r="D2" s="2"/>
      <c r="E2" s="2"/>
      <c r="F2" s="2"/>
      <c r="G2" s="2"/>
      <c r="H2" s="2"/>
      <c r="I2" s="2"/>
      <c r="J2" s="2"/>
      <c r="K2" s="2"/>
      <c r="L2" s="2"/>
      <c r="M2" s="2"/>
      <c r="N2" s="2"/>
      <c r="O2" s="2"/>
      <c r="P2" s="2"/>
      <c r="Q2" s="2"/>
      <c r="R2" s="2"/>
      <c r="S2" s="2"/>
      <c r="T2" s="2"/>
      <c r="U2" s="2"/>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E2" s="62">
        <f ca="1">TODAY()</f>
        <v>45796</v>
      </c>
      <c r="BF2" s="2"/>
      <c r="BG2" s="2"/>
      <c r="BH2" s="2"/>
      <c r="BI2" s="2"/>
      <c r="BJ2" s="2"/>
      <c r="BK2" s="2"/>
    </row>
    <row r="3" spans="1:63" ht="11.25" customHeight="1">
      <c r="A3" s="2"/>
      <c r="B3" s="5" t="s">
        <v>115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row>
    <row r="4" spans="1:63" ht="11.25" customHeight="1">
      <c r="A4" s="2"/>
      <c r="B4" s="7" t="s">
        <v>111</v>
      </c>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c r="BD4" s="123"/>
      <c r="BE4" s="123"/>
      <c r="BF4" s="2"/>
      <c r="BG4" s="2"/>
      <c r="BH4" s="2"/>
      <c r="BI4" s="2"/>
      <c r="BJ4" s="2"/>
      <c r="BK4" s="2"/>
    </row>
    <row r="5" spans="1:63" ht="11.25" customHeight="1">
      <c r="A5" s="2"/>
      <c r="B5" s="6"/>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row>
    <row r="6" spans="1:63" ht="13.5" customHeight="1">
      <c r="A6" s="2"/>
      <c r="B6" s="232"/>
      <c r="C6" s="2"/>
      <c r="D6" s="22" t="s">
        <v>78</v>
      </c>
      <c r="E6" s="1"/>
      <c r="F6" s="22"/>
      <c r="G6" s="22"/>
      <c r="H6" s="22" t="s">
        <v>78</v>
      </c>
      <c r="I6" s="22"/>
      <c r="J6" s="22"/>
      <c r="K6" s="22"/>
      <c r="L6" s="22" t="s">
        <v>78</v>
      </c>
      <c r="M6" s="22"/>
      <c r="N6" s="22"/>
      <c r="O6" s="22"/>
      <c r="P6" s="22"/>
      <c r="Q6" s="22"/>
      <c r="R6" s="22"/>
      <c r="S6" s="22"/>
      <c r="T6" s="22"/>
      <c r="U6" s="22"/>
      <c r="V6" s="22"/>
      <c r="W6" s="22"/>
      <c r="X6" s="22"/>
      <c r="Y6" s="22"/>
      <c r="Z6" s="22"/>
      <c r="AA6" s="22"/>
      <c r="AB6" s="2"/>
      <c r="AC6" s="22" t="s">
        <v>98</v>
      </c>
      <c r="AD6" s="22"/>
      <c r="AE6" s="22"/>
      <c r="AF6" s="22"/>
      <c r="AG6" s="22"/>
      <c r="AH6" s="22"/>
      <c r="AI6" s="22"/>
      <c r="AJ6" s="22"/>
      <c r="AK6" s="22"/>
      <c r="AL6" s="22"/>
      <c r="AM6" s="22"/>
      <c r="AN6" s="22"/>
      <c r="AO6" s="22"/>
      <c r="AP6" s="22" t="s">
        <v>98</v>
      </c>
      <c r="AQ6" s="22"/>
      <c r="AR6" s="22"/>
      <c r="AS6" s="22"/>
      <c r="AT6" s="22"/>
      <c r="AU6" s="22"/>
      <c r="AV6" s="22"/>
      <c r="AW6" s="22"/>
      <c r="AX6" s="23"/>
      <c r="AY6" s="22"/>
      <c r="AZ6" s="22"/>
      <c r="BA6" s="22"/>
      <c r="BB6" s="22"/>
      <c r="BC6" s="22"/>
      <c r="BD6" s="22"/>
      <c r="BE6" s="22"/>
      <c r="BF6" s="2"/>
      <c r="BG6" s="85" t="s">
        <v>37</v>
      </c>
      <c r="BH6" s="3"/>
      <c r="BI6" s="3"/>
      <c r="BJ6" s="3"/>
      <c r="BK6" s="3"/>
    </row>
    <row r="7" spans="1:63" ht="13.5" customHeight="1">
      <c r="A7" s="2"/>
      <c r="B7" s="198" t="s">
        <v>108</v>
      </c>
      <c r="C7" s="2"/>
      <c r="D7" s="8" t="s">
        <v>79</v>
      </c>
      <c r="E7" s="8" t="s">
        <v>80</v>
      </c>
      <c r="F7" s="8" t="s">
        <v>81</v>
      </c>
      <c r="G7" s="8" t="s">
        <v>82</v>
      </c>
      <c r="H7" s="8" t="s">
        <v>83</v>
      </c>
      <c r="I7" s="8" t="s">
        <v>84</v>
      </c>
      <c r="J7" s="8" t="s">
        <v>85</v>
      </c>
      <c r="K7" s="8" t="s">
        <v>86</v>
      </c>
      <c r="L7" s="8" t="s">
        <v>87</v>
      </c>
      <c r="M7" s="8" t="s">
        <v>88</v>
      </c>
      <c r="N7" s="8" t="s">
        <v>89</v>
      </c>
      <c r="O7" s="8" t="s">
        <v>90</v>
      </c>
      <c r="P7" s="8" t="s">
        <v>91</v>
      </c>
      <c r="Q7" s="8" t="s">
        <v>92</v>
      </c>
      <c r="R7" s="8" t="s">
        <v>93</v>
      </c>
      <c r="S7" s="8" t="s">
        <v>97</v>
      </c>
      <c r="T7" s="8" t="s">
        <v>113</v>
      </c>
      <c r="U7" s="8" t="s">
        <v>353</v>
      </c>
      <c r="V7" s="8" t="s">
        <v>355</v>
      </c>
      <c r="W7" s="8" t="s">
        <v>96</v>
      </c>
      <c r="X7" s="8" t="s">
        <v>307</v>
      </c>
      <c r="Y7" s="8" t="s">
        <v>308</v>
      </c>
      <c r="Z7" s="8" t="s">
        <v>309</v>
      </c>
      <c r="AA7" s="8" t="s">
        <v>310</v>
      </c>
      <c r="AB7" s="2"/>
      <c r="AC7" s="8" t="s">
        <v>158</v>
      </c>
      <c r="AD7" s="8" t="s">
        <v>159</v>
      </c>
      <c r="AE7" s="8" t="s">
        <v>160</v>
      </c>
      <c r="AF7" s="8" t="s">
        <v>161</v>
      </c>
      <c r="AG7" s="8" t="s">
        <v>162</v>
      </c>
      <c r="AH7" s="8" t="s">
        <v>163</v>
      </c>
      <c r="AI7" s="8" t="s">
        <v>164</v>
      </c>
      <c r="AJ7" s="8" t="s">
        <v>165</v>
      </c>
      <c r="AK7" s="8" t="s">
        <v>166</v>
      </c>
      <c r="AL7" s="8" t="s">
        <v>167</v>
      </c>
      <c r="AM7" s="8" t="s">
        <v>168</v>
      </c>
      <c r="AN7" s="8" t="s">
        <v>169</v>
      </c>
      <c r="AO7" s="8" t="s">
        <v>170</v>
      </c>
      <c r="AP7" s="8" t="s">
        <v>171</v>
      </c>
      <c r="AQ7" s="8" t="s">
        <v>172</v>
      </c>
      <c r="AR7" s="8" t="s">
        <v>153</v>
      </c>
      <c r="AS7" s="8" t="s">
        <v>152</v>
      </c>
      <c r="AT7" s="8" t="s">
        <v>151</v>
      </c>
      <c r="AU7" s="8" t="s">
        <v>150</v>
      </c>
      <c r="AV7" s="8" t="s">
        <v>10</v>
      </c>
      <c r="AW7" s="8" t="s">
        <v>11</v>
      </c>
      <c r="AX7" s="8" t="s">
        <v>1</v>
      </c>
      <c r="AY7" s="8" t="s">
        <v>2</v>
      </c>
      <c r="AZ7" s="8" t="s">
        <v>3</v>
      </c>
      <c r="BA7" s="8" t="s">
        <v>4</v>
      </c>
      <c r="BB7" s="8" t="s">
        <v>5</v>
      </c>
      <c r="BC7" s="8" t="s">
        <v>68</v>
      </c>
      <c r="BD7" s="8" t="s">
        <v>6</v>
      </c>
      <c r="BE7" s="8" t="s">
        <v>22</v>
      </c>
      <c r="BF7" s="2"/>
      <c r="BG7" s="82" t="s">
        <v>3</v>
      </c>
      <c r="BH7" s="82" t="s">
        <v>4</v>
      </c>
      <c r="BI7" s="82" t="s">
        <v>5</v>
      </c>
      <c r="BJ7" s="82" t="s">
        <v>68</v>
      </c>
      <c r="BK7" s="82" t="s">
        <v>6</v>
      </c>
    </row>
    <row r="8" spans="1:63" ht="11.25" customHeight="1">
      <c r="A8" s="2"/>
      <c r="B8" s="11" t="s">
        <v>16</v>
      </c>
      <c r="C8" s="10"/>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6"/>
      <c r="BH8" s="6"/>
      <c r="BI8" s="6"/>
      <c r="BJ8" s="6"/>
      <c r="BK8" s="6"/>
    </row>
    <row r="9" spans="1:63" ht="11.25" customHeight="1">
      <c r="A9" s="2"/>
      <c r="B9" s="2"/>
      <c r="C9" s="2"/>
      <c r="D9" s="435"/>
      <c r="E9" s="435"/>
      <c r="F9" s="435"/>
      <c r="G9" s="435"/>
      <c r="H9" s="435"/>
      <c r="I9" s="435"/>
      <c r="J9" s="435"/>
      <c r="K9" s="435"/>
      <c r="L9" s="435"/>
      <c r="M9" s="435"/>
      <c r="N9" s="435"/>
      <c r="O9" s="435"/>
      <c r="P9" s="435"/>
      <c r="Q9" s="435"/>
      <c r="R9" s="435"/>
      <c r="S9" s="435"/>
      <c r="T9" s="435"/>
      <c r="U9" s="435"/>
      <c r="V9" s="435"/>
      <c r="W9" s="435"/>
      <c r="X9" s="435"/>
      <c r="Y9" s="435"/>
      <c r="Z9" s="435"/>
      <c r="AA9" s="435"/>
      <c r="AB9" s="2"/>
      <c r="AC9" s="435"/>
      <c r="AD9" s="435"/>
      <c r="AE9" s="435"/>
      <c r="AF9" s="435"/>
      <c r="AG9" s="435"/>
      <c r="AH9" s="435"/>
      <c r="AI9" s="435"/>
      <c r="AJ9" s="435"/>
      <c r="AK9" s="435"/>
      <c r="AL9" s="435"/>
      <c r="AM9" s="435"/>
      <c r="AN9" s="435"/>
      <c r="AO9" s="435"/>
      <c r="AP9" s="435"/>
      <c r="AQ9" s="435"/>
      <c r="AR9" s="435"/>
      <c r="AS9" s="435"/>
      <c r="AT9" s="435"/>
      <c r="AU9" s="435"/>
      <c r="AV9" s="435"/>
      <c r="AW9" s="435"/>
      <c r="AX9" s="435"/>
      <c r="AY9" s="435"/>
      <c r="AZ9" s="435"/>
      <c r="BA9" s="435"/>
      <c r="BB9" s="435"/>
      <c r="BC9" s="435"/>
      <c r="BD9" s="2"/>
      <c r="BE9" s="2"/>
      <c r="BF9" s="2"/>
      <c r="BG9" s="6"/>
      <c r="BH9" s="6"/>
      <c r="BI9" s="6"/>
      <c r="BJ9" s="6"/>
      <c r="BK9" s="6"/>
    </row>
    <row r="10" spans="1:63" ht="11.25" customHeight="1">
      <c r="A10" s="2"/>
      <c r="B10" s="2" t="s">
        <v>242</v>
      </c>
      <c r="C10" s="2"/>
      <c r="D10" s="19">
        <f t="shared" ref="D10:W10" si="0">D105</f>
        <v>151.93127699999999</v>
      </c>
      <c r="E10" s="19">
        <f t="shared" si="0"/>
        <v>145.84387599999999</v>
      </c>
      <c r="F10" s="19">
        <f t="shared" si="0"/>
        <v>163.49123800000001</v>
      </c>
      <c r="G10" s="19">
        <f t="shared" si="0"/>
        <v>184.03722200000004</v>
      </c>
      <c r="H10" s="19">
        <f t="shared" si="0"/>
        <v>163.207797</v>
      </c>
      <c r="I10" s="19">
        <f t="shared" si="0"/>
        <v>157.74489499999999</v>
      </c>
      <c r="J10" s="19">
        <f t="shared" si="0"/>
        <v>180.649835</v>
      </c>
      <c r="K10" s="19">
        <f t="shared" si="0"/>
        <v>193.48866400000003</v>
      </c>
      <c r="L10" s="19">
        <f t="shared" si="0"/>
        <v>195.99989400000001</v>
      </c>
      <c r="M10" s="19">
        <f t="shared" si="0"/>
        <v>201.55575899999999</v>
      </c>
      <c r="N10" s="19">
        <f t="shared" si="0"/>
        <v>251.06957199999999</v>
      </c>
      <c r="O10" s="19">
        <f t="shared" si="0"/>
        <v>240.25402499999996</v>
      </c>
      <c r="P10" s="19">
        <f t="shared" si="0"/>
        <v>174.372275</v>
      </c>
      <c r="Q10" s="19">
        <f t="shared" si="0"/>
        <v>159.366872</v>
      </c>
      <c r="R10" s="19">
        <f t="shared" si="0"/>
        <v>212.00117699999998</v>
      </c>
      <c r="S10" s="19">
        <f t="shared" si="0"/>
        <v>269.173676</v>
      </c>
      <c r="T10" s="19">
        <f t="shared" si="0"/>
        <v>225.032139</v>
      </c>
      <c r="U10" s="19">
        <f t="shared" si="0"/>
        <v>222.54336999999998</v>
      </c>
      <c r="V10" s="19">
        <f t="shared" ref="V10" si="1">V105</f>
        <v>258.29528000000005</v>
      </c>
      <c r="W10" s="19">
        <f t="shared" ca="1" si="0"/>
        <v>292.51434617135783</v>
      </c>
      <c r="X10" s="19"/>
      <c r="Y10" s="19"/>
      <c r="Z10" s="19"/>
      <c r="AA10" s="19"/>
      <c r="AB10" s="2"/>
      <c r="AC10" s="2"/>
      <c r="AD10" s="2"/>
      <c r="AE10" s="2"/>
      <c r="AF10" s="2"/>
      <c r="AG10" s="2"/>
      <c r="AH10" s="2"/>
      <c r="AI10" s="2"/>
      <c r="AJ10" s="2"/>
      <c r="AK10" s="2"/>
      <c r="AL10" s="2"/>
      <c r="AM10" s="2"/>
      <c r="AN10" s="2"/>
      <c r="AO10" s="2"/>
      <c r="AP10" s="2"/>
      <c r="AQ10" s="2"/>
      <c r="AR10" s="2"/>
      <c r="AS10" s="2"/>
      <c r="AT10" s="2"/>
      <c r="AU10" s="2"/>
      <c r="AV10" s="19"/>
      <c r="AW10" s="19">
        <f t="shared" ref="AW10:BC15" si="2">AW105</f>
        <v>504.17500000000001</v>
      </c>
      <c r="AX10" s="19">
        <f t="shared" si="2"/>
        <v>466.45228000000003</v>
      </c>
      <c r="AY10" s="19">
        <f t="shared" si="2"/>
        <v>523.61286300000006</v>
      </c>
      <c r="AZ10" s="19">
        <f t="shared" si="2"/>
        <v>645.30361300000004</v>
      </c>
      <c r="BA10" s="19">
        <f t="shared" si="2"/>
        <v>695.09119099999998</v>
      </c>
      <c r="BB10" s="19">
        <f t="shared" si="2"/>
        <v>888.87924999999996</v>
      </c>
      <c r="BC10" s="19">
        <f t="shared" si="2"/>
        <v>814.91399999999999</v>
      </c>
      <c r="BD10" s="19">
        <f ca="1">SUM(T10:W10)</f>
        <v>998.38513517135789</v>
      </c>
      <c r="BE10" s="19"/>
      <c r="BF10" s="2"/>
      <c r="BG10" s="6"/>
      <c r="BH10" s="6"/>
      <c r="BI10" s="6"/>
      <c r="BJ10" s="6"/>
      <c r="BK10" s="6"/>
    </row>
    <row r="11" spans="1:63" ht="11.25" customHeight="1">
      <c r="A11" s="2"/>
      <c r="B11" s="2" t="s">
        <v>241</v>
      </c>
      <c r="C11" s="2"/>
      <c r="D11" s="19">
        <f t="shared" ref="D11:W11" si="3">D106</f>
        <v>92.993610000000004</v>
      </c>
      <c r="E11" s="19">
        <f t="shared" si="3"/>
        <v>104.115544</v>
      </c>
      <c r="F11" s="19">
        <f t="shared" si="3"/>
        <v>130.40409299999999</v>
      </c>
      <c r="G11" s="19">
        <f t="shared" si="3"/>
        <v>112.29673700000001</v>
      </c>
      <c r="H11" s="19">
        <f t="shared" si="3"/>
        <v>127.84338700000001</v>
      </c>
      <c r="I11" s="19">
        <f t="shared" si="3"/>
        <v>143.39101399999998</v>
      </c>
      <c r="J11" s="19">
        <f t="shared" si="3"/>
        <v>155.62973399999998</v>
      </c>
      <c r="K11" s="19">
        <f t="shared" si="3"/>
        <v>160.91600899999997</v>
      </c>
      <c r="L11" s="19">
        <f t="shared" si="3"/>
        <v>202.24516200000002</v>
      </c>
      <c r="M11" s="19">
        <f t="shared" si="3"/>
        <v>228.94067000000001</v>
      </c>
      <c r="N11" s="19">
        <f t="shared" si="3"/>
        <v>238.23728599999998</v>
      </c>
      <c r="O11" s="19">
        <f t="shared" si="3"/>
        <v>262.96061100000009</v>
      </c>
      <c r="P11" s="19">
        <f t="shared" si="3"/>
        <v>225.53203400000001</v>
      </c>
      <c r="Q11" s="19">
        <f t="shared" si="3"/>
        <v>214.35934</v>
      </c>
      <c r="R11" s="19">
        <f t="shared" si="3"/>
        <v>227.816587</v>
      </c>
      <c r="S11" s="19">
        <f t="shared" si="3"/>
        <v>267.06103899999994</v>
      </c>
      <c r="T11" s="19">
        <f t="shared" si="3"/>
        <v>274.77297399999998</v>
      </c>
      <c r="U11" s="19">
        <f t="shared" si="3"/>
        <v>351.39253000000002</v>
      </c>
      <c r="V11" s="19">
        <f t="shared" ref="V11" si="4">V106</f>
        <v>387.44292000000002</v>
      </c>
      <c r="W11" s="19">
        <f t="shared" si="3"/>
        <v>445.55935799999997</v>
      </c>
      <c r="X11" s="19"/>
      <c r="Y11" s="19"/>
      <c r="Z11" s="19"/>
      <c r="AA11" s="19"/>
      <c r="AB11" s="2"/>
      <c r="AC11" s="2"/>
      <c r="AD11" s="2"/>
      <c r="AE11" s="2"/>
      <c r="AF11" s="2"/>
      <c r="AG11" s="2"/>
      <c r="AH11" s="2"/>
      <c r="AI11" s="2"/>
      <c r="AJ11" s="2"/>
      <c r="AK11" s="2"/>
      <c r="AL11" s="2"/>
      <c r="AM11" s="2"/>
      <c r="AN11" s="2"/>
      <c r="AO11" s="2"/>
      <c r="AP11" s="2"/>
      <c r="AQ11" s="2"/>
      <c r="AR11" s="2"/>
      <c r="AS11" s="2"/>
      <c r="AT11" s="2"/>
      <c r="AU11" s="2"/>
      <c r="AV11" s="19"/>
      <c r="AW11" s="19">
        <f t="shared" si="2"/>
        <v>265.39400000000001</v>
      </c>
      <c r="AX11" s="19">
        <f t="shared" si="2"/>
        <v>341.91019499999999</v>
      </c>
      <c r="AY11" s="19">
        <f t="shared" si="2"/>
        <v>315.82231100000001</v>
      </c>
      <c r="AZ11" s="19">
        <f t="shared" si="2"/>
        <v>439.80998399999999</v>
      </c>
      <c r="BA11" s="19">
        <f t="shared" si="2"/>
        <v>587.78014399999995</v>
      </c>
      <c r="BB11" s="19">
        <f t="shared" si="2"/>
        <v>932.38372900000002</v>
      </c>
      <c r="BC11" s="19">
        <f t="shared" si="2"/>
        <v>934.76900000000001</v>
      </c>
      <c r="BD11" s="19">
        <f t="shared" ref="BD11:BD15" si="5">SUM(T11:W11)</f>
        <v>1459.167782</v>
      </c>
      <c r="BE11" s="19"/>
      <c r="BF11" s="2"/>
      <c r="BG11" s="6"/>
      <c r="BH11" s="6"/>
      <c r="BI11" s="6"/>
      <c r="BJ11" s="6"/>
      <c r="BK11" s="6"/>
    </row>
    <row r="12" spans="1:63" ht="11.25" customHeight="1">
      <c r="A12" s="2"/>
      <c r="B12" s="2" t="s">
        <v>243</v>
      </c>
      <c r="C12" s="2"/>
      <c r="D12" s="19">
        <f t="shared" ref="D12:W12" si="6">D107</f>
        <v>26.595813</v>
      </c>
      <c r="E12" s="19">
        <f t="shared" si="6"/>
        <v>25.365822999999999</v>
      </c>
      <c r="F12" s="19">
        <f t="shared" si="6"/>
        <v>31.201283</v>
      </c>
      <c r="G12" s="19">
        <f t="shared" si="6"/>
        <v>27.192268999999996</v>
      </c>
      <c r="H12" s="19">
        <f t="shared" si="6"/>
        <v>30.122730999999998</v>
      </c>
      <c r="I12" s="19">
        <f t="shared" si="6"/>
        <v>29.391787000000001</v>
      </c>
      <c r="J12" s="19">
        <f t="shared" si="6"/>
        <v>36.282240999999999</v>
      </c>
      <c r="K12" s="19">
        <f t="shared" si="6"/>
        <v>37.209220000000002</v>
      </c>
      <c r="L12" s="19">
        <f t="shared" si="6"/>
        <v>39.045774999999999</v>
      </c>
      <c r="M12" s="19">
        <f t="shared" si="6"/>
        <v>44.648550999999998</v>
      </c>
      <c r="N12" s="19">
        <f t="shared" si="6"/>
        <v>59.410567</v>
      </c>
      <c r="O12" s="19">
        <f t="shared" si="6"/>
        <v>53.010093999999981</v>
      </c>
      <c r="P12" s="19">
        <f t="shared" si="6"/>
        <v>42.72043</v>
      </c>
      <c r="Q12" s="19">
        <f t="shared" si="6"/>
        <v>38.168913000000003</v>
      </c>
      <c r="R12" s="19">
        <f t="shared" si="6"/>
        <v>47.409811000000005</v>
      </c>
      <c r="S12" s="19">
        <f t="shared" si="6"/>
        <v>33.617846000000014</v>
      </c>
      <c r="T12" s="19">
        <f t="shared" si="6"/>
        <v>35.320949999999996</v>
      </c>
      <c r="U12" s="19">
        <f t="shared" si="6"/>
        <v>37.346266999999997</v>
      </c>
      <c r="V12" s="19">
        <f t="shared" ref="V12" si="7">V107</f>
        <v>53.178440000000009</v>
      </c>
      <c r="W12" s="19">
        <f t="shared" si="6"/>
        <v>58.496284000000017</v>
      </c>
      <c r="X12" s="19"/>
      <c r="Y12" s="19"/>
      <c r="Z12" s="19"/>
      <c r="AA12" s="19"/>
      <c r="AB12" s="2"/>
      <c r="AC12" s="2"/>
      <c r="AD12" s="2"/>
      <c r="AE12" s="2"/>
      <c r="AF12" s="2"/>
      <c r="AG12" s="2"/>
      <c r="AH12" s="2"/>
      <c r="AI12" s="2"/>
      <c r="AJ12" s="2"/>
      <c r="AK12" s="2"/>
      <c r="AL12" s="2"/>
      <c r="AM12" s="2"/>
      <c r="AN12" s="2"/>
      <c r="AO12" s="2"/>
      <c r="AP12" s="2"/>
      <c r="AQ12" s="2"/>
      <c r="AR12" s="2"/>
      <c r="AS12" s="2"/>
      <c r="AT12" s="2"/>
      <c r="AU12" s="2"/>
      <c r="AV12" s="19"/>
      <c r="AW12" s="19">
        <f t="shared" si="2"/>
        <v>51.776000000000003</v>
      </c>
      <c r="AX12" s="19">
        <f t="shared" si="2"/>
        <v>65.091313999999997</v>
      </c>
      <c r="AY12" s="19">
        <f t="shared" si="2"/>
        <v>86.34270699999999</v>
      </c>
      <c r="AZ12" s="19">
        <f t="shared" si="2"/>
        <v>110.355188</v>
      </c>
      <c r="BA12" s="19">
        <f t="shared" si="2"/>
        <v>133.005979</v>
      </c>
      <c r="BB12" s="19">
        <f t="shared" si="2"/>
        <v>196.11498699999999</v>
      </c>
      <c r="BC12" s="19">
        <f t="shared" si="2"/>
        <v>161.917</v>
      </c>
      <c r="BD12" s="19">
        <f t="shared" si="5"/>
        <v>184.34194100000002</v>
      </c>
      <c r="BE12" s="19"/>
      <c r="BF12" s="2"/>
      <c r="BG12" s="6"/>
      <c r="BH12" s="6"/>
      <c r="BI12" s="6"/>
      <c r="BJ12" s="6"/>
      <c r="BK12" s="6"/>
    </row>
    <row r="13" spans="1:63" ht="11.25" customHeight="1">
      <c r="A13" s="2"/>
      <c r="B13" s="2" t="s">
        <v>244</v>
      </c>
      <c r="C13" s="2"/>
      <c r="D13" s="19">
        <f t="shared" ref="D13:W13" si="8">D108</f>
        <v>13.061727000000001</v>
      </c>
      <c r="E13" s="19">
        <f t="shared" si="8"/>
        <v>11.392379</v>
      </c>
      <c r="F13" s="19">
        <f t="shared" si="8"/>
        <v>8.7911049999999999</v>
      </c>
      <c r="G13" s="19">
        <f t="shared" si="8"/>
        <v>11.122350999999995</v>
      </c>
      <c r="H13" s="19">
        <f t="shared" si="8"/>
        <v>14.605540000000001</v>
      </c>
      <c r="I13" s="19">
        <f t="shared" si="8"/>
        <v>16.395914000000001</v>
      </c>
      <c r="J13" s="19">
        <f t="shared" si="8"/>
        <v>17.186114</v>
      </c>
      <c r="K13" s="19">
        <f t="shared" si="8"/>
        <v>18.888784999999999</v>
      </c>
      <c r="L13" s="19">
        <f t="shared" si="8"/>
        <v>23.731218000000002</v>
      </c>
      <c r="M13" s="19">
        <f t="shared" si="8"/>
        <v>27.041397</v>
      </c>
      <c r="N13" s="19">
        <f t="shared" si="8"/>
        <v>31.203686000000001</v>
      </c>
      <c r="O13" s="19">
        <f t="shared" si="8"/>
        <v>34.404685999999984</v>
      </c>
      <c r="P13" s="19">
        <f t="shared" si="8"/>
        <v>36.022649999999999</v>
      </c>
      <c r="Q13" s="19">
        <f t="shared" si="8"/>
        <v>37.275506999999998</v>
      </c>
      <c r="R13" s="19">
        <f t="shared" si="8"/>
        <v>28.338187999999999</v>
      </c>
      <c r="S13" s="19">
        <f t="shared" si="8"/>
        <v>32.017654999999991</v>
      </c>
      <c r="T13" s="19">
        <f t="shared" si="8"/>
        <v>32.136633000000003</v>
      </c>
      <c r="U13" s="19">
        <f t="shared" si="8"/>
        <v>33.747862999999995</v>
      </c>
      <c r="V13" s="19">
        <f t="shared" ref="V13" si="9">V108</f>
        <v>37.9846</v>
      </c>
      <c r="W13" s="19">
        <f t="shared" si="8"/>
        <v>39.883830000000003</v>
      </c>
      <c r="X13" s="19"/>
      <c r="Y13" s="19"/>
      <c r="Z13" s="19"/>
      <c r="AA13" s="19"/>
      <c r="AB13" s="2"/>
      <c r="AC13" s="2"/>
      <c r="AD13" s="2"/>
      <c r="AE13" s="2"/>
      <c r="AF13" s="2"/>
      <c r="AG13" s="2"/>
      <c r="AH13" s="2"/>
      <c r="AI13" s="2"/>
      <c r="AJ13" s="2"/>
      <c r="AK13" s="2"/>
      <c r="AL13" s="2"/>
      <c r="AM13" s="2"/>
      <c r="AN13" s="2"/>
      <c r="AO13" s="2"/>
      <c r="AP13" s="2"/>
      <c r="AQ13" s="2"/>
      <c r="AR13" s="2"/>
      <c r="AS13" s="2"/>
      <c r="AT13" s="2"/>
      <c r="AU13" s="2"/>
      <c r="AV13" s="19"/>
      <c r="AW13" s="19">
        <f t="shared" si="2"/>
        <v>43.871000000000002</v>
      </c>
      <c r="AX13" s="19">
        <f t="shared" si="2"/>
        <v>51.709786999999999</v>
      </c>
      <c r="AY13" s="19">
        <f t="shared" si="2"/>
        <v>47.914517999999994</v>
      </c>
      <c r="AZ13" s="19">
        <f t="shared" si="2"/>
        <v>44.367562</v>
      </c>
      <c r="BA13" s="19">
        <f t="shared" si="2"/>
        <v>67.076352999999997</v>
      </c>
      <c r="BB13" s="19">
        <f t="shared" si="2"/>
        <v>116.38098699999999</v>
      </c>
      <c r="BC13" s="19">
        <f t="shared" si="2"/>
        <v>133.654</v>
      </c>
      <c r="BD13" s="19">
        <f t="shared" si="5"/>
        <v>143.752926</v>
      </c>
      <c r="BE13" s="19"/>
      <c r="BF13" s="2"/>
      <c r="BG13" s="6"/>
      <c r="BH13" s="6"/>
      <c r="BI13" s="6"/>
      <c r="BJ13" s="6"/>
      <c r="BK13" s="6"/>
    </row>
    <row r="14" spans="1:63" ht="11.25" customHeight="1">
      <c r="A14" s="2"/>
      <c r="B14" s="2" t="s">
        <v>245</v>
      </c>
      <c r="C14" s="2"/>
      <c r="D14" s="19">
        <f t="shared" ref="D14:W14" si="10">D109</f>
        <v>15.577838</v>
      </c>
      <c r="E14" s="19">
        <f t="shared" si="10"/>
        <v>14.213141</v>
      </c>
      <c r="F14" s="19">
        <f t="shared" si="10"/>
        <v>10.820057</v>
      </c>
      <c r="G14" s="19">
        <f t="shared" si="10"/>
        <v>13.944628999999999</v>
      </c>
      <c r="H14" s="19">
        <f t="shared" si="10"/>
        <v>15.414084999999998</v>
      </c>
      <c r="I14" s="19">
        <f t="shared" si="10"/>
        <v>13.540616</v>
      </c>
      <c r="J14" s="19">
        <f t="shared" si="10"/>
        <v>13.204540999999999</v>
      </c>
      <c r="K14" s="19">
        <f t="shared" si="10"/>
        <v>13.417980999999997</v>
      </c>
      <c r="L14" s="19">
        <f t="shared" si="10"/>
        <v>14.478835999999999</v>
      </c>
      <c r="M14" s="19">
        <f t="shared" si="10"/>
        <v>15.245696000000001</v>
      </c>
      <c r="N14" s="19">
        <f t="shared" si="10"/>
        <v>14.900562000000001</v>
      </c>
      <c r="O14" s="19">
        <f t="shared" si="10"/>
        <v>11.533677999999995</v>
      </c>
      <c r="P14" s="19">
        <f t="shared" si="10"/>
        <v>10.929154</v>
      </c>
      <c r="Q14" s="19">
        <f t="shared" si="10"/>
        <v>13.657808999999999</v>
      </c>
      <c r="R14" s="19">
        <f t="shared" si="10"/>
        <v>13.570337</v>
      </c>
      <c r="S14" s="19">
        <f t="shared" si="10"/>
        <v>8.8427000000000007</v>
      </c>
      <c r="T14" s="19">
        <f t="shared" si="10"/>
        <v>11.737785000000001</v>
      </c>
      <c r="U14" s="19">
        <f t="shared" si="10"/>
        <v>14.119376000000001</v>
      </c>
      <c r="V14" s="19">
        <f t="shared" ref="V14" si="11">V109</f>
        <v>7.5969199999999999</v>
      </c>
      <c r="W14" s="19">
        <f t="shared" si="10"/>
        <v>7.9767660000000005</v>
      </c>
      <c r="X14" s="19"/>
      <c r="Y14" s="19"/>
      <c r="Z14" s="19"/>
      <c r="AA14" s="19"/>
      <c r="AB14" s="2"/>
      <c r="AC14" s="2"/>
      <c r="AD14" s="2"/>
      <c r="AE14" s="2"/>
      <c r="AF14" s="2"/>
      <c r="AG14" s="2"/>
      <c r="AH14" s="2"/>
      <c r="AI14" s="2"/>
      <c r="AJ14" s="2"/>
      <c r="AK14" s="2"/>
      <c r="AL14" s="2"/>
      <c r="AM14" s="2"/>
      <c r="AN14" s="2"/>
      <c r="AO14" s="2"/>
      <c r="AP14" s="2"/>
      <c r="AQ14" s="2"/>
      <c r="AR14" s="2"/>
      <c r="AS14" s="2"/>
      <c r="AT14" s="2"/>
      <c r="AU14" s="2"/>
      <c r="AV14" s="19"/>
      <c r="AW14" s="19">
        <f t="shared" si="2"/>
        <v>63.097000000000001</v>
      </c>
      <c r="AX14" s="19">
        <f t="shared" si="2"/>
        <v>58.470178999999995</v>
      </c>
      <c r="AY14" s="19">
        <f t="shared" si="2"/>
        <v>53.733394999999994</v>
      </c>
      <c r="AZ14" s="19">
        <f t="shared" si="2"/>
        <v>54.555664999999998</v>
      </c>
      <c r="BA14" s="19">
        <f t="shared" si="2"/>
        <v>55.577222999999996</v>
      </c>
      <c r="BB14" s="19">
        <f t="shared" si="2"/>
        <v>56.158771999999999</v>
      </c>
      <c r="BC14" s="19">
        <f t="shared" si="2"/>
        <v>47</v>
      </c>
      <c r="BD14" s="19">
        <f t="shared" si="5"/>
        <v>41.430847</v>
      </c>
      <c r="BE14" s="19"/>
      <c r="BF14" s="2"/>
      <c r="BG14" s="6"/>
      <c r="BH14" s="6"/>
      <c r="BI14" s="6"/>
      <c r="BJ14" s="6"/>
      <c r="BK14" s="6"/>
    </row>
    <row r="15" spans="1:63" ht="11.25" customHeight="1">
      <c r="A15" s="2"/>
      <c r="B15" s="2" t="s">
        <v>188</v>
      </c>
      <c r="C15" s="2"/>
      <c r="D15" s="19">
        <f t="shared" ref="D15:W15" si="12">D110</f>
        <v>10.436918</v>
      </c>
      <c r="E15" s="19">
        <f t="shared" si="12"/>
        <v>9.867604</v>
      </c>
      <c r="F15" s="19">
        <f t="shared" si="12"/>
        <v>11.718427999999999</v>
      </c>
      <c r="G15" s="19">
        <f t="shared" si="12"/>
        <v>12.839849000000008</v>
      </c>
      <c r="H15" s="19">
        <f t="shared" si="12"/>
        <v>11.21669</v>
      </c>
      <c r="I15" s="19">
        <f t="shared" si="12"/>
        <v>11.680896000000001</v>
      </c>
      <c r="J15" s="19">
        <f t="shared" si="12"/>
        <v>11.717914</v>
      </c>
      <c r="K15" s="19">
        <f t="shared" si="12"/>
        <v>14.268647000000001</v>
      </c>
      <c r="L15" s="19">
        <f t="shared" si="12"/>
        <v>15.574987999999999</v>
      </c>
      <c r="M15" s="19">
        <f t="shared" si="12"/>
        <v>16.708735000000001</v>
      </c>
      <c r="N15" s="19">
        <f t="shared" si="12"/>
        <v>18.321069999999999</v>
      </c>
      <c r="O15" s="19">
        <f t="shared" si="12"/>
        <v>23.368773999999988</v>
      </c>
      <c r="P15" s="19">
        <f t="shared" si="12"/>
        <v>19.056429999999999</v>
      </c>
      <c r="Q15" s="19">
        <f t="shared" si="12"/>
        <v>18.012812999999998</v>
      </c>
      <c r="R15" s="19">
        <f t="shared" si="12"/>
        <v>17.596657999999998</v>
      </c>
      <c r="S15" s="19">
        <f t="shared" si="12"/>
        <v>14.816099000000001</v>
      </c>
      <c r="T15" s="19">
        <f t="shared" si="12"/>
        <v>13.64372</v>
      </c>
      <c r="U15" s="19">
        <f t="shared" si="12"/>
        <v>14.360771000000002</v>
      </c>
      <c r="V15" s="19">
        <f t="shared" ref="V15" si="13">V110</f>
        <v>15.19384</v>
      </c>
      <c r="W15" s="19">
        <f t="shared" si="12"/>
        <v>16.713224</v>
      </c>
      <c r="X15" s="19"/>
      <c r="Y15" s="19"/>
      <c r="Z15" s="19"/>
      <c r="AA15" s="19"/>
      <c r="AB15" s="2"/>
      <c r="AC15" s="2"/>
      <c r="AD15" s="2"/>
      <c r="AE15" s="2"/>
      <c r="AF15" s="2"/>
      <c r="AG15" s="2"/>
      <c r="AH15" s="2"/>
      <c r="AI15" s="2"/>
      <c r="AJ15" s="2"/>
      <c r="AK15" s="2"/>
      <c r="AL15" s="2"/>
      <c r="AM15" s="2"/>
      <c r="AN15" s="2"/>
      <c r="AO15" s="2"/>
      <c r="AP15" s="2"/>
      <c r="AQ15" s="2"/>
      <c r="AR15" s="2"/>
      <c r="AS15" s="2"/>
      <c r="AT15" s="2"/>
      <c r="AU15" s="2"/>
      <c r="AV15" s="19"/>
      <c r="AW15" s="19">
        <f t="shared" si="2"/>
        <v>49.134</v>
      </c>
      <c r="AX15" s="19">
        <f t="shared" si="2"/>
        <v>47.839802000000006</v>
      </c>
      <c r="AY15" s="19">
        <f t="shared" si="2"/>
        <v>42.559654000000002</v>
      </c>
      <c r="AZ15" s="19">
        <f t="shared" si="2"/>
        <v>44.862799000000003</v>
      </c>
      <c r="BA15" s="19">
        <f t="shared" si="2"/>
        <v>48.884146999999999</v>
      </c>
      <c r="BB15" s="19">
        <f t="shared" si="2"/>
        <v>73.973566999999989</v>
      </c>
      <c r="BC15" s="19">
        <f t="shared" si="2"/>
        <v>69.481999999999999</v>
      </c>
      <c r="BD15" s="19">
        <f t="shared" si="5"/>
        <v>59.911555000000007</v>
      </c>
      <c r="BE15" s="19"/>
      <c r="BF15" s="2"/>
      <c r="BG15" s="6"/>
      <c r="BH15" s="6"/>
      <c r="BI15" s="6"/>
      <c r="BJ15" s="6"/>
      <c r="BK15" s="6"/>
    </row>
    <row r="16" spans="1:63" ht="11.25" customHeight="1">
      <c r="A16" s="5"/>
      <c r="B16" s="204" t="s">
        <v>132</v>
      </c>
      <c r="C16" s="147"/>
      <c r="D16" s="220">
        <f>SUM(D10:D15)</f>
        <v>310.59718300000003</v>
      </c>
      <c r="E16" s="220">
        <f t="shared" ref="E16:W16" si="14">SUM(E10:E15)</f>
        <v>310.79836699999998</v>
      </c>
      <c r="F16" s="220">
        <f t="shared" si="14"/>
        <v>356.42620400000004</v>
      </c>
      <c r="G16" s="220">
        <f t="shared" si="14"/>
        <v>361.43305700000008</v>
      </c>
      <c r="H16" s="220">
        <f t="shared" si="14"/>
        <v>362.41023000000007</v>
      </c>
      <c r="I16" s="220">
        <f t="shared" si="14"/>
        <v>372.14512200000001</v>
      </c>
      <c r="J16" s="220">
        <f t="shared" si="14"/>
        <v>414.67037899999997</v>
      </c>
      <c r="K16" s="220">
        <f t="shared" si="14"/>
        <v>438.18930599999999</v>
      </c>
      <c r="L16" s="220">
        <f t="shared" si="14"/>
        <v>491.07587300000006</v>
      </c>
      <c r="M16" s="220">
        <f t="shared" si="14"/>
        <v>534.14080800000011</v>
      </c>
      <c r="N16" s="220">
        <f t="shared" si="14"/>
        <v>613.14274299999988</v>
      </c>
      <c r="O16" s="220">
        <f t="shared" si="14"/>
        <v>625.53186800000003</v>
      </c>
      <c r="P16" s="220">
        <f t="shared" si="14"/>
        <v>508.63297299999999</v>
      </c>
      <c r="Q16" s="220">
        <f t="shared" si="14"/>
        <v>480.84125399999999</v>
      </c>
      <c r="R16" s="220">
        <f t="shared" si="14"/>
        <v>546.73275799999999</v>
      </c>
      <c r="S16" s="220">
        <f t="shared" si="14"/>
        <v>625.52901499999996</v>
      </c>
      <c r="T16" s="220">
        <f t="shared" si="14"/>
        <v>592.64420100000007</v>
      </c>
      <c r="U16" s="220">
        <f t="shared" si="14"/>
        <v>673.51017699999989</v>
      </c>
      <c r="V16" s="220">
        <f t="shared" ref="V16" si="15">SUM(V10:V15)</f>
        <v>759.69200000000001</v>
      </c>
      <c r="W16" s="220">
        <f t="shared" ca="1" si="14"/>
        <v>861.14380817135782</v>
      </c>
      <c r="X16" s="220">
        <f>+X111</f>
        <v>800.06967135000014</v>
      </c>
      <c r="Y16" s="220">
        <f>+Y111</f>
        <v>808.21221239999988</v>
      </c>
      <c r="Z16" s="220">
        <f>+Z111</f>
        <v>911.63040000000001</v>
      </c>
      <c r="AA16" s="220">
        <f ca="1">+AA111</f>
        <v>1033.3725698056294</v>
      </c>
      <c r="AC16" s="220">
        <f>AC301</f>
        <v>43.927</v>
      </c>
      <c r="AD16" s="220">
        <f t="shared" ref="AD16:AU16" si="16">AD301</f>
        <v>50.421999999999997</v>
      </c>
      <c r="AE16" s="220">
        <f t="shared" si="16"/>
        <v>73.066999999999993</v>
      </c>
      <c r="AF16" s="220">
        <f t="shared" si="16"/>
        <v>166.19800000000001</v>
      </c>
      <c r="AG16" s="220">
        <f t="shared" si="16"/>
        <v>125.88500000000001</v>
      </c>
      <c r="AH16" s="220">
        <f t="shared" si="16"/>
        <v>162.30099999999999</v>
      </c>
      <c r="AI16" s="220">
        <f t="shared" si="16"/>
        <v>202.99700000000001</v>
      </c>
      <c r="AJ16" s="220">
        <f t="shared" si="16"/>
        <v>257.21300000000002</v>
      </c>
      <c r="AK16" s="220">
        <f t="shared" si="16"/>
        <v>266.565</v>
      </c>
      <c r="AL16" s="220">
        <f t="shared" si="16"/>
        <v>317.40699999999998</v>
      </c>
      <c r="AM16" s="220">
        <f t="shared" si="16"/>
        <v>322.63</v>
      </c>
      <c r="AN16" s="220">
        <f t="shared" si="16"/>
        <v>333.15800000000002</v>
      </c>
      <c r="AO16" s="220">
        <f t="shared" si="16"/>
        <v>295.74200000000002</v>
      </c>
      <c r="AP16" s="220">
        <f t="shared" si="16"/>
        <v>419.53800000000001</v>
      </c>
      <c r="AQ16" s="220">
        <f t="shared" si="16"/>
        <v>427.08100000000002</v>
      </c>
      <c r="AR16" s="220">
        <f t="shared" si="16"/>
        <v>506.745</v>
      </c>
      <c r="AS16" s="220">
        <f t="shared" si="16"/>
        <v>597.024</v>
      </c>
      <c r="AT16" s="220">
        <f>AT301</f>
        <v>762.80600000000004</v>
      </c>
      <c r="AU16" s="220">
        <f t="shared" si="16"/>
        <v>843.49699999999996</v>
      </c>
      <c r="AV16" s="220">
        <f>AV301</f>
        <v>947.93799999999999</v>
      </c>
      <c r="AW16" s="220">
        <f t="shared" ref="AW16" si="17">SUM(AW10:AW15)</f>
        <v>977.44699999999989</v>
      </c>
      <c r="AX16" s="220">
        <f t="shared" ref="AX16" si="18">SUM(AX10:AX15)</f>
        <v>1031.473557</v>
      </c>
      <c r="AY16" s="220">
        <f t="shared" ref="AY16" si="19">SUM(AY10:AY15)</f>
        <v>1069.9854480000001</v>
      </c>
      <c r="AZ16" s="220">
        <f t="shared" ref="AZ16" si="20">SUM(AZ10:AZ15)</f>
        <v>1339.254811</v>
      </c>
      <c r="BA16" s="220">
        <f t="shared" ref="BA16" si="21">SUM(BA10:BA15)</f>
        <v>1587.4150369999998</v>
      </c>
      <c r="BB16" s="220">
        <f t="shared" ref="BB16" si="22">SUM(BB10:BB15)</f>
        <v>2263.8912920000002</v>
      </c>
      <c r="BC16" s="220">
        <f t="shared" ref="BC16" si="23">SUM(BC10:BC15)</f>
        <v>2161.7359999999999</v>
      </c>
      <c r="BD16" s="220">
        <f t="shared" ref="BD16" ca="1" si="24">SUM(BD10:BD15)</f>
        <v>2886.9901861713583</v>
      </c>
      <c r="BE16" s="220">
        <f ca="1">+SUM(X16:AA16)</f>
        <v>3553.2848535556295</v>
      </c>
      <c r="BF16" s="5"/>
      <c r="BG16" s="84">
        <f>ROUND(AZ16-SUM(D16:G16),1)</f>
        <v>0</v>
      </c>
      <c r="BH16" s="84">
        <f>ROUND(BA16-SUM(H16:K16),1)</f>
        <v>0</v>
      </c>
      <c r="BI16" s="84">
        <f>ROUND(BB16-SUM(L16:O16),1)</f>
        <v>0</v>
      </c>
      <c r="BJ16" s="84">
        <f>ROUND(BC16-SUM(P16:S16),1)</f>
        <v>0</v>
      </c>
      <c r="BK16" s="84">
        <f ca="1">ROUND(BD16-SUM(T16:W16),1)</f>
        <v>0</v>
      </c>
    </row>
    <row r="17" spans="1:63" s="54" customFormat="1" ht="11.25" customHeight="1">
      <c r="A17" s="18"/>
      <c r="B17" s="36" t="s">
        <v>249</v>
      </c>
      <c r="C17" s="18"/>
      <c r="D17" s="120"/>
      <c r="E17" s="120"/>
      <c r="F17" s="120"/>
      <c r="G17" s="120"/>
      <c r="H17" s="120">
        <f>H16/D16-1</f>
        <v>0.16681750458760614</v>
      </c>
      <c r="I17" s="120">
        <f t="shared" ref="I17:W17" si="25">I16/E16-1</f>
        <v>0.19738441868969026</v>
      </c>
      <c r="J17" s="120">
        <f t="shared" si="25"/>
        <v>0.16341159641562131</v>
      </c>
      <c r="K17" s="120">
        <f t="shared" si="25"/>
        <v>0.21236643276931888</v>
      </c>
      <c r="L17" s="120">
        <f t="shared" si="25"/>
        <v>0.35502762435817536</v>
      </c>
      <c r="M17" s="120">
        <f t="shared" si="25"/>
        <v>0.43530245708823267</v>
      </c>
      <c r="N17" s="120">
        <f t="shared" si="25"/>
        <v>0.47862681795267537</v>
      </c>
      <c r="O17" s="120">
        <f t="shared" si="25"/>
        <v>0.42753796004323319</v>
      </c>
      <c r="P17" s="120">
        <f t="shared" si="25"/>
        <v>3.5752316424635167E-2</v>
      </c>
      <c r="Q17" s="120">
        <f t="shared" si="25"/>
        <v>-9.9785586874688081E-2</v>
      </c>
      <c r="R17" s="120">
        <f t="shared" si="25"/>
        <v>-0.10831080650986336</v>
      </c>
      <c r="S17" s="120">
        <f t="shared" si="25"/>
        <v>-4.5609187093731407E-6</v>
      </c>
      <c r="T17" s="120">
        <f t="shared" si="25"/>
        <v>0.16517062884163436</v>
      </c>
      <c r="U17" s="120">
        <f t="shared" si="25"/>
        <v>0.40069133294457271</v>
      </c>
      <c r="V17" s="120">
        <f t="shared" si="25"/>
        <v>0.38951249743846517</v>
      </c>
      <c r="W17" s="120">
        <f t="shared" ca="1" si="25"/>
        <v>0.3766648509044106</v>
      </c>
      <c r="X17" s="120">
        <f t="shared" ref="X17" si="26">X16/T16-1</f>
        <v>0.35000000000000009</v>
      </c>
      <c r="Y17" s="120">
        <f t="shared" ref="Y17" si="27">Y16/U16-1</f>
        <v>0.19999999999999996</v>
      </c>
      <c r="Z17" s="120">
        <f t="shared" ref="Z17" si="28">Z16/V16-1</f>
        <v>0.19999999999999996</v>
      </c>
      <c r="AA17" s="120">
        <f t="shared" ref="AA17" ca="1" si="29">AA16/W16-1</f>
        <v>0.19999999999999996</v>
      </c>
      <c r="AB17" s="18"/>
      <c r="AC17" s="120"/>
      <c r="AD17" s="120">
        <f t="shared" ref="AD17" si="30">IFERROR(AD16/AC16-1,"n/a")</f>
        <v>0.14785894779975872</v>
      </c>
      <c r="AE17" s="120">
        <f t="shared" ref="AE17" si="31">IFERROR(AE16/AD16-1,"n/a")</f>
        <v>0.44910951568759661</v>
      </c>
      <c r="AF17" s="120">
        <f t="shared" ref="AF17" si="32">IFERROR(AF16/AE16-1,"n/a")</f>
        <v>1.2745972874211344</v>
      </c>
      <c r="AG17" s="120">
        <f t="shared" ref="AG17" si="33">IFERROR(AG16/AF16-1,"n/a")</f>
        <v>-0.24256007894198484</v>
      </c>
      <c r="AH17" s="120">
        <f t="shared" ref="AH17" si="34">IFERROR(AH16/AG16-1,"n/a")</f>
        <v>0.28927989831989498</v>
      </c>
      <c r="AI17" s="120">
        <f t="shared" ref="AI17" si="35">IFERROR(AI16/AH16-1,"n/a")</f>
        <v>0.25074398802225506</v>
      </c>
      <c r="AJ17" s="120">
        <f t="shared" ref="AJ17" si="36">IFERROR(AJ16/AI16-1,"n/a")</f>
        <v>0.26707783858874756</v>
      </c>
      <c r="AK17" s="120">
        <f t="shared" ref="AK17" si="37">IFERROR(AK16/AJ16-1,"n/a")</f>
        <v>3.6358970969585513E-2</v>
      </c>
      <c r="AL17" s="120">
        <f t="shared" ref="AL17" si="38">IFERROR(AL16/AK16-1,"n/a")</f>
        <v>0.19073021589480987</v>
      </c>
      <c r="AM17" s="120">
        <f t="shared" ref="AM17" si="39">IFERROR(AM16/AL16-1,"n/a")</f>
        <v>1.6455213653133072E-2</v>
      </c>
      <c r="AN17" s="120">
        <f t="shared" ref="AN17" si="40">IFERROR(AN16/AM16-1,"n/a")</f>
        <v>3.2631807333478147E-2</v>
      </c>
      <c r="AO17" s="120">
        <f t="shared" ref="AO17" si="41">IFERROR(AO16/AN16-1,"n/a")</f>
        <v>-0.11230707352067182</v>
      </c>
      <c r="AP17" s="120">
        <f t="shared" ref="AP17" si="42">IFERROR(AP16/AO16-1,"n/a")</f>
        <v>0.41859458582142528</v>
      </c>
      <c r="AQ17" s="120">
        <f t="shared" ref="AQ17" si="43">IFERROR(AQ16/AP16-1,"n/a")</f>
        <v>1.7979301040668583E-2</v>
      </c>
      <c r="AR17" s="120">
        <f t="shared" ref="AR17" si="44">IFERROR(AR16/AQ16-1,"n/a")</f>
        <v>0.18653136056157971</v>
      </c>
      <c r="AS17" s="120">
        <f t="shared" ref="AS17" si="45">IFERROR(AS16/AR16-1,"n/a")</f>
        <v>0.178154693188882</v>
      </c>
      <c r="AT17" s="120">
        <f t="shared" ref="AT17" si="46">IFERROR(AT16/AS16-1,"n/a")</f>
        <v>0.27768062925443537</v>
      </c>
      <c r="AU17" s="120">
        <f t="shared" ref="AU17" si="47">IFERROR(AU16/AT16-1,"n/a")</f>
        <v>0.10578181084050198</v>
      </c>
      <c r="AV17" s="120">
        <f t="shared" ref="AV17" si="48">IFERROR(AV16/AU16-1,"n/a")</f>
        <v>0.12381905329835208</v>
      </c>
      <c r="AW17" s="120">
        <f t="shared" ref="AW17" si="49">IFERROR(AW16/AV16-1,"n/a")</f>
        <v>3.1129673037687988E-2</v>
      </c>
      <c r="AX17" s="120">
        <f t="shared" ref="AX17" si="50">IFERROR(AX16/AW16-1,"n/a")</f>
        <v>5.5273131944750142E-2</v>
      </c>
      <c r="AY17" s="120">
        <f t="shared" ref="AY17" si="51">IFERROR(AY16/AX16-1,"n/a")</f>
        <v>3.7336770039951839E-2</v>
      </c>
      <c r="AZ17" s="120">
        <f t="shared" ref="AZ17" si="52">IFERROR(AZ16/AY16-1,"n/a")</f>
        <v>0.25165703281601992</v>
      </c>
      <c r="BA17" s="120">
        <f t="shared" ref="BA17" si="53">IFERROR(BA16/AZ16-1,"n/a")</f>
        <v>0.18529724437928463</v>
      </c>
      <c r="BB17" s="120">
        <f t="shared" ref="BB17" si="54">IFERROR(BB16/BA16-1,"n/a")</f>
        <v>0.42614958232879618</v>
      </c>
      <c r="BC17" s="120">
        <f t="shared" ref="BC17" si="55">IFERROR(BC16/BB16-1,"n/a")</f>
        <v>-4.5123762064455342E-2</v>
      </c>
      <c r="BD17" s="120">
        <f t="shared" ref="BD17:BE17" ca="1" si="56">IFERROR(BD16/BC16-1,"n/a")</f>
        <v>0.33549618740279041</v>
      </c>
      <c r="BE17" s="120">
        <f t="shared" ca="1" si="56"/>
        <v>0.23079214836815631</v>
      </c>
      <c r="BF17" s="18"/>
      <c r="BG17" s="52"/>
      <c r="BH17" s="52"/>
      <c r="BI17" s="52"/>
      <c r="BJ17" s="52"/>
      <c r="BK17" s="52"/>
    </row>
    <row r="18" spans="1:63" s="54" customFormat="1" ht="11.25" customHeight="1">
      <c r="A18" s="18"/>
      <c r="B18" s="36" t="s">
        <v>290</v>
      </c>
      <c r="C18" s="18"/>
      <c r="D18" s="120"/>
      <c r="E18" s="120">
        <f>+IFERROR(E16/D16-1,"n/a")</f>
        <v>6.477328546794503E-4</v>
      </c>
      <c r="F18" s="120">
        <f t="shared" ref="F18:W18" si="57">+IFERROR(F16/E16-1,"n/a")</f>
        <v>0.14680848371381594</v>
      </c>
      <c r="G18" s="120">
        <f t="shared" si="57"/>
        <v>1.404737626978747E-2</v>
      </c>
      <c r="H18" s="120">
        <f t="shared" si="57"/>
        <v>2.7036071578809828E-3</v>
      </c>
      <c r="I18" s="120">
        <f t="shared" si="57"/>
        <v>2.6861526508233258E-2</v>
      </c>
      <c r="J18" s="120">
        <f t="shared" si="57"/>
        <v>0.11427062854259296</v>
      </c>
      <c r="K18" s="120">
        <f t="shared" si="57"/>
        <v>5.6717161849653142E-2</v>
      </c>
      <c r="L18" s="120">
        <f t="shared" si="57"/>
        <v>0.12069342239949621</v>
      </c>
      <c r="M18" s="120">
        <f t="shared" si="57"/>
        <v>8.7695073954488612E-2</v>
      </c>
      <c r="N18" s="120">
        <f t="shared" si="57"/>
        <v>0.14790469819336427</v>
      </c>
      <c r="O18" s="120">
        <f t="shared" si="57"/>
        <v>2.0205939222867286E-2</v>
      </c>
      <c r="P18" s="120">
        <f t="shared" si="57"/>
        <v>-0.18687919989393731</v>
      </c>
      <c r="Q18" s="120">
        <f t="shared" si="57"/>
        <v>-5.4640026257204544E-2</v>
      </c>
      <c r="R18" s="120">
        <f t="shared" si="57"/>
        <v>0.13703379951671124</v>
      </c>
      <c r="S18" s="120">
        <f t="shared" si="57"/>
        <v>0.14412207032965085</v>
      </c>
      <c r="T18" s="120">
        <f t="shared" si="57"/>
        <v>-5.2571204870488497E-2</v>
      </c>
      <c r="U18" s="120">
        <f t="shared" si="57"/>
        <v>0.13644945122815733</v>
      </c>
      <c r="V18" s="120">
        <f t="shared" si="57"/>
        <v>0.12795919934555067</v>
      </c>
      <c r="W18" s="120">
        <f t="shared" ca="1" si="57"/>
        <v>0.13354334147438407</v>
      </c>
      <c r="X18" s="120">
        <f t="shared" ref="X18" ca="1" si="58">+IFERROR(X16/W16-1,"n/a")</f>
        <v>-7.0922111082757255E-2</v>
      </c>
      <c r="Y18" s="120">
        <f t="shared" ref="Y18" si="59">+IFERROR(Y16/X16-1,"n/a")</f>
        <v>1.0177289980584314E-2</v>
      </c>
      <c r="Z18" s="120">
        <f t="shared" ref="Z18" si="60">+IFERROR(Z16/Y16-1,"n/a")</f>
        <v>0.12795919934555067</v>
      </c>
      <c r="AA18" s="120">
        <f t="shared" ref="AA18" ca="1" si="61">+IFERROR(AA16/Z16-1,"n/a")</f>
        <v>0.13354334147438407</v>
      </c>
      <c r="AB18" s="18"/>
      <c r="AC18" s="120"/>
      <c r="AD18" s="120"/>
      <c r="AE18" s="120"/>
      <c r="AF18" s="120"/>
      <c r="AG18" s="120"/>
      <c r="AH18" s="120"/>
      <c r="AI18" s="120"/>
      <c r="AJ18" s="120"/>
      <c r="AK18" s="120"/>
      <c r="AL18" s="120"/>
      <c r="AM18" s="120"/>
      <c r="AN18" s="120"/>
      <c r="AO18" s="120"/>
      <c r="AP18" s="120"/>
      <c r="AQ18" s="120"/>
      <c r="AR18" s="120"/>
      <c r="AS18" s="120"/>
      <c r="AT18" s="120"/>
      <c r="AU18" s="120"/>
      <c r="AV18" s="120"/>
      <c r="AW18" s="120"/>
      <c r="AX18" s="120"/>
      <c r="AY18" s="120"/>
      <c r="AZ18" s="120"/>
      <c r="BA18" s="120"/>
      <c r="BB18" s="120"/>
      <c r="BC18" s="120"/>
      <c r="BD18" s="120"/>
      <c r="BE18" s="120"/>
      <c r="BF18" s="18"/>
      <c r="BG18" s="52"/>
      <c r="BH18" s="52"/>
      <c r="BI18" s="52"/>
      <c r="BJ18" s="52"/>
      <c r="BK18" s="52"/>
    </row>
    <row r="19" spans="1:63" s="54" customFormat="1" ht="11.25" customHeight="1">
      <c r="A19" s="18"/>
      <c r="B19" s="36" t="s">
        <v>324</v>
      </c>
      <c r="C19" s="18"/>
      <c r="D19" s="120"/>
      <c r="E19" s="120"/>
      <c r="F19" s="120"/>
      <c r="G19" s="120"/>
      <c r="H19" s="120">
        <f t="shared" ref="H19:W19" si="62">H284</f>
        <v>0.2531522793404461</v>
      </c>
      <c r="I19" s="120">
        <f t="shared" si="62"/>
        <v>0.28034682080924839</v>
      </c>
      <c r="J19" s="120">
        <f t="shared" si="62"/>
        <v>0.2257001647446458</v>
      </c>
      <c r="K19" s="120">
        <f t="shared" si="62"/>
        <v>0.24132492113564674</v>
      </c>
      <c r="L19" s="120">
        <f t="shared" si="62"/>
        <v>0.3599071207430341</v>
      </c>
      <c r="M19" s="120">
        <f t="shared" si="62"/>
        <v>0.36644093303235525</v>
      </c>
      <c r="N19" s="120">
        <f t="shared" si="62"/>
        <v>0.35954301075268813</v>
      </c>
      <c r="O19" s="120">
        <f t="shared" si="62"/>
        <v>0.26620076238881824</v>
      </c>
      <c r="P19" s="120">
        <f t="shared" si="62"/>
        <v>-4.8377916903813399E-2</v>
      </c>
      <c r="Q19" s="120">
        <f t="shared" si="62"/>
        <v>-0.13656387665198241</v>
      </c>
      <c r="R19" s="120">
        <f t="shared" si="62"/>
        <v>-0.14582303509639147</v>
      </c>
      <c r="S19" s="120">
        <f t="shared" si="62"/>
        <v>-1.5554440541896574E-2</v>
      </c>
      <c r="T19" s="120">
        <f t="shared" si="62"/>
        <v>0.12858851674641161</v>
      </c>
      <c r="U19" s="120">
        <f t="shared" si="62"/>
        <v>0.32780612244897961</v>
      </c>
      <c r="V19" s="120">
        <f t="shared" ref="V19" si="63">V284</f>
        <v>0.35995370370370361</v>
      </c>
      <c r="W19" s="120">
        <f t="shared" ca="1" si="62"/>
        <v>0.35437703348777466</v>
      </c>
      <c r="X19" s="120">
        <f t="shared" ref="X19:AA19" si="64">X284</f>
        <v>0.29847268821836531</v>
      </c>
      <c r="Y19" s="120">
        <f t="shared" si="64"/>
        <v>0.18883503428903212</v>
      </c>
      <c r="Z19" s="120">
        <f t="shared" si="64"/>
        <v>0.18803120628191611</v>
      </c>
      <c r="AA19" s="120">
        <f t="shared" ca="1" si="64"/>
        <v>0.19095473989339823</v>
      </c>
      <c r="AB19" s="18"/>
      <c r="AC19" s="120"/>
      <c r="AD19" s="120">
        <f t="shared" ref="AD19:AV19" si="65">AD284</f>
        <v>-1.4461850970036456E-2</v>
      </c>
      <c r="AE19" s="120">
        <f t="shared" si="65"/>
        <v>0.50328096744571282</v>
      </c>
      <c r="AF19" s="120">
        <f t="shared" si="65"/>
        <v>1.3511422953485408</v>
      </c>
      <c r="AG19" s="120">
        <f t="shared" si="65"/>
        <v>-0.30003356605502202</v>
      </c>
      <c r="AH19" s="120">
        <f t="shared" si="65"/>
        <v>0.2629956270819811</v>
      </c>
      <c r="AI19" s="120">
        <f t="shared" si="65"/>
        <v>0.25567140462994781</v>
      </c>
      <c r="AJ19" s="120">
        <f t="shared" si="65"/>
        <v>0.30582866472718306</v>
      </c>
      <c r="AK19" s="120">
        <f t="shared" si="65"/>
        <v>7.6582235508883933E-2</v>
      </c>
      <c r="AL19" s="120">
        <f t="shared" si="65"/>
        <v>0.17702264645391824</v>
      </c>
      <c r="AM19" s="120">
        <f t="shared" si="65"/>
        <v>3.9300763620186393E-3</v>
      </c>
      <c r="AN19" s="120">
        <f t="shared" si="65"/>
        <v>7.7416002665274722E-2</v>
      </c>
      <c r="AO19" s="120">
        <f t="shared" si="65"/>
        <v>-0.1525706177329548</v>
      </c>
      <c r="AP19" s="120">
        <f t="shared" si="65"/>
        <v>0.48624766401454955</v>
      </c>
      <c r="AQ19" s="120">
        <f t="shared" si="65"/>
        <v>9.1389110207480612E-2</v>
      </c>
      <c r="AR19" s="120">
        <f t="shared" si="65"/>
        <v>0.18018360868448849</v>
      </c>
      <c r="AS19" s="120">
        <f t="shared" si="65"/>
        <v>0.17316696777808005</v>
      </c>
      <c r="AT19" s="120">
        <f t="shared" si="65"/>
        <v>0.25129767215938148</v>
      </c>
      <c r="AU19" s="120">
        <f t="shared" si="65"/>
        <v>5.5056929904315613E-2</v>
      </c>
      <c r="AV19" s="120">
        <f t="shared" si="65"/>
        <v>0.10698852778266627</v>
      </c>
      <c r="AW19" s="120">
        <f t="shared" ref="AW19:BE19" si="66">AW284</f>
        <v>9.1063540604824994E-2</v>
      </c>
      <c r="AX19" s="120">
        <f t="shared" si="66"/>
        <v>6.5088757396449815E-2</v>
      </c>
      <c r="AY19" s="120">
        <f t="shared" si="66"/>
        <v>1.2573099415204668E-2</v>
      </c>
      <c r="AZ19" s="120">
        <f t="shared" si="66"/>
        <v>0.31417845798440641</v>
      </c>
      <c r="BA19" s="120">
        <f t="shared" si="66"/>
        <v>0.2485168094924193</v>
      </c>
      <c r="BB19" s="120">
        <f t="shared" si="66"/>
        <v>0.33544526575149586</v>
      </c>
      <c r="BC19" s="120">
        <f t="shared" si="66"/>
        <v>-8.6715867158671564E-2</v>
      </c>
      <c r="BD19" s="120">
        <f t="shared" ca="1" si="66"/>
        <v>0.29527961611876108</v>
      </c>
      <c r="BE19" s="120">
        <f t="shared" ca="1" si="66"/>
        <v>0.21230018279697865</v>
      </c>
      <c r="BF19" s="18"/>
      <c r="BG19" s="52"/>
      <c r="BH19" s="52"/>
      <c r="BI19" s="52"/>
      <c r="BJ19" s="52"/>
      <c r="BK19" s="52"/>
    </row>
    <row r="20" spans="1:63" s="54" customFormat="1" ht="11.25" customHeight="1">
      <c r="A20" s="18"/>
      <c r="B20" s="36" t="s">
        <v>969</v>
      </c>
      <c r="C20" s="18"/>
      <c r="D20" s="120"/>
      <c r="E20" s="120">
        <f t="shared" ref="E20:AA20" si="67">+(1+E18)/(1+E296)-1</f>
        <v>8.2203508694542737E-3</v>
      </c>
      <c r="F20" s="120">
        <f t="shared" si="67"/>
        <v>0.16813822774267817</v>
      </c>
      <c r="G20" s="120">
        <f t="shared" si="67"/>
        <v>4.5053982569855933E-2</v>
      </c>
      <c r="H20" s="120">
        <f t="shared" si="67"/>
        <v>1.6681322733603343E-2</v>
      </c>
      <c r="I20" s="120">
        <f t="shared" si="67"/>
        <v>3.0685119883711254E-2</v>
      </c>
      <c r="J20" s="120">
        <f t="shared" si="67"/>
        <v>0.1189239277935934</v>
      </c>
      <c r="K20" s="120">
        <f t="shared" si="67"/>
        <v>5.7731836624939747E-2</v>
      </c>
      <c r="L20" s="120">
        <f t="shared" si="67"/>
        <v>0.11423983809138138</v>
      </c>
      <c r="M20" s="120">
        <f t="shared" si="67"/>
        <v>3.4588954547157602E-2</v>
      </c>
      <c r="N20" s="120">
        <f t="shared" si="67"/>
        <v>0.11197290182684583</v>
      </c>
      <c r="O20" s="120">
        <f t="shared" si="67"/>
        <v>-1.0610440839833757E-2</v>
      </c>
      <c r="P20" s="120">
        <f t="shared" si="67"/>
        <v>-0.16219057276142257</v>
      </c>
      <c r="Q20" s="120">
        <f t="shared" si="67"/>
        <v>-6.3998286190827258E-2</v>
      </c>
      <c r="R20" s="120">
        <f t="shared" si="67"/>
        <v>0.10218388294099623</v>
      </c>
      <c r="S20" s="120">
        <f t="shared" si="67"/>
        <v>0.13970594518168933</v>
      </c>
      <c r="T20" s="120">
        <f t="shared" si="67"/>
        <v>-4.1800594146269909E-2</v>
      </c>
      <c r="U20" s="120">
        <f t="shared" si="67"/>
        <v>0.10445550863046127</v>
      </c>
      <c r="V20" s="120">
        <f t="shared" ref="V20" si="68">+(1+V18)/(1+V296)-1</f>
        <v>0.13044825016599826</v>
      </c>
      <c r="W20" s="120">
        <f t="shared" ca="1" si="67"/>
        <v>0.12985381285643749</v>
      </c>
      <c r="X20" s="120">
        <f t="shared" ca="1" si="67"/>
        <v>-7.7925237053214746E-2</v>
      </c>
      <c r="Y20" s="120">
        <f t="shared" si="67"/>
        <v>1.0177289980584314E-2</v>
      </c>
      <c r="Z20" s="120">
        <f t="shared" si="67"/>
        <v>0.12795919934555067</v>
      </c>
      <c r="AA20" s="120">
        <f t="shared" ca="1" si="67"/>
        <v>0.13354334147438407</v>
      </c>
      <c r="AB20" s="18"/>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8"/>
      <c r="BG20" s="52"/>
      <c r="BH20" s="52"/>
      <c r="BI20" s="52"/>
      <c r="BJ20" s="52"/>
      <c r="BK20" s="52"/>
    </row>
    <row r="21" spans="1:63" s="54" customFormat="1" ht="11.25" customHeight="1">
      <c r="A21" s="18"/>
      <c r="B21" s="36"/>
      <c r="C21" s="18"/>
      <c r="D21" s="120"/>
      <c r="E21" s="120"/>
      <c r="F21" s="120"/>
      <c r="G21" s="120"/>
      <c r="H21" s="120"/>
      <c r="I21" s="120"/>
      <c r="J21" s="120"/>
      <c r="K21" s="120"/>
      <c r="L21" s="120"/>
      <c r="M21" s="120"/>
      <c r="N21" s="120"/>
      <c r="O21" s="120"/>
      <c r="P21" s="120"/>
      <c r="Q21" s="120"/>
      <c r="R21" s="120"/>
      <c r="S21" s="120"/>
      <c r="T21" s="120"/>
      <c r="U21" s="120"/>
      <c r="V21" s="120"/>
      <c r="W21" s="120"/>
      <c r="X21" s="120"/>
      <c r="Y21" s="120"/>
      <c r="Z21" s="120"/>
      <c r="AA21" s="120"/>
      <c r="AB21" s="18"/>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8"/>
      <c r="BG21" s="52"/>
      <c r="BH21" s="52"/>
      <c r="BI21" s="52"/>
      <c r="BJ21" s="52"/>
      <c r="BK21" s="52"/>
    </row>
    <row r="22" spans="1:63" s="54" customFormat="1" ht="11.25" customHeight="1">
      <c r="A22" s="18"/>
      <c r="B22" s="36" t="s">
        <v>431</v>
      </c>
      <c r="C22" s="18"/>
      <c r="D22" s="120"/>
      <c r="E22" s="120"/>
      <c r="F22" s="120"/>
      <c r="G22" s="120"/>
      <c r="H22" s="120"/>
      <c r="I22" s="120"/>
      <c r="J22" s="120"/>
      <c r="K22" s="120"/>
      <c r="L22" s="120">
        <f t="shared" ref="L22:W22" si="69">(L16/D16)^(1/2)-1</f>
        <v>0.25740604074454732</v>
      </c>
      <c r="M22" s="120">
        <f t="shared" si="69"/>
        <v>0.31095720686240469</v>
      </c>
      <c r="N22" s="120">
        <f t="shared" si="69"/>
        <v>0.31158361791281641</v>
      </c>
      <c r="O22" s="120">
        <f t="shared" si="69"/>
        <v>0.31556037651656443</v>
      </c>
      <c r="P22" s="120">
        <f t="shared" si="69"/>
        <v>0.18468265824580654</v>
      </c>
      <c r="Q22" s="120">
        <f t="shared" si="69"/>
        <v>0.13669695128693005</v>
      </c>
      <c r="R22" s="120">
        <f t="shared" si="69"/>
        <v>0.14824890802173551</v>
      </c>
      <c r="S22" s="120">
        <f t="shared" si="69"/>
        <v>0.19479347552564197</v>
      </c>
      <c r="T22" s="120">
        <f t="shared" si="69"/>
        <v>9.8557316598761657E-2</v>
      </c>
      <c r="U22" s="120">
        <f t="shared" si="69"/>
        <v>0.12290806669843168</v>
      </c>
      <c r="V22" s="120">
        <f t="shared" si="69"/>
        <v>0.11310973321832485</v>
      </c>
      <c r="W22" s="120">
        <f t="shared" ca="1" si="69"/>
        <v>0.17331094431439431</v>
      </c>
      <c r="X22" s="120">
        <f t="shared" ref="X22" si="70">(X16/P16)^(1/2)-1</f>
        <v>0.25418513343772609</v>
      </c>
      <c r="Y22" s="120">
        <f t="shared" ref="Y22" si="71">(Y16/Q16)^(1/2)-1</f>
        <v>0.29646812515136189</v>
      </c>
      <c r="Z22" s="120">
        <f t="shared" ref="Z22" si="72">(Z16/R16)^(1/2)-1</f>
        <v>0.29128424327340041</v>
      </c>
      <c r="AA22" s="120">
        <f t="shared" ref="AA22" ca="1" si="73">(AA16/S16)^(1/2)-1</f>
        <v>0.28530067341664944</v>
      </c>
      <c r="AB22" s="18"/>
      <c r="AC22" s="120"/>
      <c r="AD22" s="120"/>
      <c r="AE22" s="120">
        <f t="shared" ref="AE22:BE22" si="74">(AE16/AC16)^(1/2)-1</f>
        <v>0.28971831185099584</v>
      </c>
      <c r="AF22" s="120">
        <f t="shared" si="74"/>
        <v>0.81552762952238234</v>
      </c>
      <c r="AG22" s="120">
        <f t="shared" si="74"/>
        <v>0.31258172691190511</v>
      </c>
      <c r="AH22" s="120">
        <f t="shared" si="74"/>
        <v>-1.1793511251263378E-2</v>
      </c>
      <c r="AI22" s="120">
        <f t="shared" si="74"/>
        <v>0.26986577310421</v>
      </c>
      <c r="AJ22" s="120">
        <f t="shared" si="74"/>
        <v>0.25888442240386378</v>
      </c>
      <c r="AK22" s="120">
        <f t="shared" si="74"/>
        <v>0.1459264744904889</v>
      </c>
      <c r="AL22" s="120">
        <f t="shared" si="74"/>
        <v>0.11086630214762461</v>
      </c>
      <c r="AM22" s="120">
        <f t="shared" si="74"/>
        <v>0.10014723378309687</v>
      </c>
      <c r="AN22" s="120">
        <f t="shared" si="74"/>
        <v>2.4511583315762975E-2</v>
      </c>
      <c r="AO22" s="120">
        <f t="shared" si="74"/>
        <v>-4.2576399378262186E-2</v>
      </c>
      <c r="AP22" s="120">
        <f t="shared" si="74"/>
        <v>0.12217484349612451</v>
      </c>
      <c r="AQ22" s="120">
        <f t="shared" si="74"/>
        <v>0.20170708782738367</v>
      </c>
      <c r="AR22" s="120">
        <f t="shared" si="74"/>
        <v>9.9028828142060155E-2</v>
      </c>
      <c r="AS22" s="120">
        <f t="shared" si="74"/>
        <v>0.18233560847223673</v>
      </c>
      <c r="AT22" s="120">
        <f t="shared" si="74"/>
        <v>0.22690889219723109</v>
      </c>
      <c r="AU22" s="120">
        <f t="shared" si="74"/>
        <v>0.18862778021246052</v>
      </c>
      <c r="AV22" s="120">
        <f t="shared" si="74"/>
        <v>0.11476395161186947</v>
      </c>
      <c r="AW22" s="120">
        <f t="shared" si="74"/>
        <v>7.6477205044795049E-2</v>
      </c>
      <c r="AX22" s="120">
        <f t="shared" si="74"/>
        <v>4.313155426707671E-2</v>
      </c>
      <c r="AY22" s="120">
        <f t="shared" si="74"/>
        <v>4.6266515856027368E-2</v>
      </c>
      <c r="AZ22" s="120">
        <f t="shared" si="74"/>
        <v>0.13946911481582513</v>
      </c>
      <c r="BA22" s="120">
        <f t="shared" si="74"/>
        <v>0.21802530019075572</v>
      </c>
      <c r="BB22" s="120">
        <f t="shared" si="74"/>
        <v>0.3001581326927083</v>
      </c>
      <c r="BC22" s="120">
        <f t="shared" si="74"/>
        <v>0.16696030262707273</v>
      </c>
      <c r="BD22" s="120">
        <f t="shared" ca="1" si="74"/>
        <v>0.12926240316608428</v>
      </c>
      <c r="BE22" s="120">
        <f t="shared" ca="1" si="74"/>
        <v>0.28207574722828377</v>
      </c>
      <c r="BF22" s="18"/>
      <c r="BG22" s="52"/>
      <c r="BH22" s="52"/>
      <c r="BI22" s="52"/>
      <c r="BJ22" s="52"/>
      <c r="BK22" s="52"/>
    </row>
    <row r="23" spans="1:63" s="54" customFormat="1" ht="11.25" customHeight="1">
      <c r="A23" s="18"/>
      <c r="B23" s="36" t="s">
        <v>432</v>
      </c>
      <c r="C23" s="18"/>
      <c r="D23" s="120"/>
      <c r="E23" s="120"/>
      <c r="F23" s="120"/>
      <c r="G23" s="120"/>
      <c r="H23" s="120"/>
      <c r="I23" s="120"/>
      <c r="J23" s="120"/>
      <c r="K23" s="120"/>
      <c r="L23" s="120"/>
      <c r="M23" s="120"/>
      <c r="N23" s="120"/>
      <c r="O23" s="120"/>
      <c r="P23" s="120">
        <f t="shared" ref="P23:W23" si="75">(P16/D16)^(1/3)-1</f>
        <v>0.17869741940150718</v>
      </c>
      <c r="Q23" s="120">
        <f t="shared" si="75"/>
        <v>0.15657641248070764</v>
      </c>
      <c r="R23" s="120">
        <f t="shared" si="75"/>
        <v>0.15328105214770171</v>
      </c>
      <c r="S23" s="120">
        <f t="shared" si="75"/>
        <v>0.20062264231034344</v>
      </c>
      <c r="T23" s="120">
        <f t="shared" si="75"/>
        <v>0.1781426105097117</v>
      </c>
      <c r="U23" s="120">
        <f t="shared" si="75"/>
        <v>0.21864518601942606</v>
      </c>
      <c r="V23" s="120">
        <f t="shared" si="75"/>
        <v>0.22361515272145849</v>
      </c>
      <c r="W23" s="120">
        <f t="shared" ca="1" si="75"/>
        <v>0.25257758670238806</v>
      </c>
      <c r="X23" s="120">
        <f t="shared" ref="X23" si="76">(X16/L16)^(1/3)-1</f>
        <v>0.17668369820873342</v>
      </c>
      <c r="Y23" s="120">
        <f t="shared" ref="Y23" si="77">(Y16/M16)^(1/3)-1</f>
        <v>0.14803875708052638</v>
      </c>
      <c r="Z23" s="120">
        <f t="shared" ref="Z23" si="78">(Z16/N16)^(1/3)-1</f>
        <v>0.14135059324141519</v>
      </c>
      <c r="AA23" s="120">
        <f t="shared" ref="AA23" ca="1" si="79">(AA16/O16)^(1/3)-1</f>
        <v>0.18214068144628959</v>
      </c>
      <c r="AB23" s="18"/>
      <c r="AC23" s="120"/>
      <c r="AD23" s="120"/>
      <c r="AE23" s="120"/>
      <c r="AF23" s="120">
        <f t="shared" ref="AF23:BE23" si="80">(AF16/AC16)^(1/3)-1</f>
        <v>0.55822947971769499</v>
      </c>
      <c r="AG23" s="120">
        <f t="shared" si="80"/>
        <v>0.35659841522736047</v>
      </c>
      <c r="AH23" s="120">
        <f t="shared" si="80"/>
        <v>0.30476802866760822</v>
      </c>
      <c r="AI23" s="120">
        <f t="shared" si="80"/>
        <v>6.8943150603680614E-2</v>
      </c>
      <c r="AJ23" s="120">
        <f t="shared" si="80"/>
        <v>0.26893578068081125</v>
      </c>
      <c r="AK23" s="120">
        <f t="shared" si="80"/>
        <v>0.17985139423539165</v>
      </c>
      <c r="AL23" s="120">
        <f t="shared" si="80"/>
        <v>0.16067053687676802</v>
      </c>
      <c r="AM23" s="120">
        <f t="shared" si="80"/>
        <v>7.8459758262141355E-2</v>
      </c>
      <c r="AN23" s="120">
        <f t="shared" si="80"/>
        <v>7.7165346945792912E-2</v>
      </c>
      <c r="AO23" s="120">
        <f t="shared" si="80"/>
        <v>-2.3290298011056754E-2</v>
      </c>
      <c r="AP23" s="120">
        <f t="shared" si="80"/>
        <v>9.1496092081190916E-2</v>
      </c>
      <c r="AQ23" s="120">
        <f t="shared" si="80"/>
        <v>8.6308893027313038E-2</v>
      </c>
      <c r="AR23" s="120">
        <f t="shared" si="80"/>
        <v>0.19662706737594848</v>
      </c>
      <c r="AS23" s="120">
        <f t="shared" si="80"/>
        <v>0.12479530641938874</v>
      </c>
      <c r="AT23" s="120">
        <f t="shared" si="80"/>
        <v>0.21329930778704509</v>
      </c>
      <c r="AU23" s="120">
        <f t="shared" si="80"/>
        <v>0.18512644747983598</v>
      </c>
      <c r="AV23" s="120">
        <f t="shared" si="80"/>
        <v>0.16661990223768064</v>
      </c>
      <c r="AW23" s="120">
        <f t="shared" si="80"/>
        <v>8.6158084760549647E-2</v>
      </c>
      <c r="AX23" s="120">
        <f t="shared" si="80"/>
        <v>6.936225823649278E-2</v>
      </c>
      <c r="AY23" s="120">
        <f t="shared" si="80"/>
        <v>4.1196371659022235E-2</v>
      </c>
      <c r="AZ23" s="120">
        <f t="shared" si="80"/>
        <v>0.11068267878715421</v>
      </c>
      <c r="BA23" s="120">
        <f t="shared" si="80"/>
        <v>0.15454481979026591</v>
      </c>
      <c r="BB23" s="120">
        <f t="shared" si="80"/>
        <v>0.28378579492535794</v>
      </c>
      <c r="BC23" s="120">
        <f t="shared" si="80"/>
        <v>0.17304087800560919</v>
      </c>
      <c r="BD23" s="120">
        <f t="shared" ca="1" si="80"/>
        <v>0.22063252845533809</v>
      </c>
      <c r="BE23" s="120">
        <f t="shared" ca="1" si="80"/>
        <v>0.16213920351778355</v>
      </c>
      <c r="BF23" s="18"/>
      <c r="BG23" s="52"/>
      <c r="BH23" s="52"/>
      <c r="BI23" s="52"/>
      <c r="BJ23" s="52"/>
      <c r="BK23" s="52"/>
    </row>
    <row r="24" spans="1:63" s="54" customFormat="1" ht="11.25" customHeight="1">
      <c r="A24" s="18"/>
      <c r="B24" s="36" t="s">
        <v>430</v>
      </c>
      <c r="C24" s="18"/>
      <c r="D24" s="120"/>
      <c r="E24" s="120"/>
      <c r="F24" s="120"/>
      <c r="G24" s="120"/>
      <c r="H24" s="120"/>
      <c r="I24" s="120"/>
      <c r="J24" s="120"/>
      <c r="K24" s="120"/>
      <c r="L24" s="120"/>
      <c r="M24" s="120"/>
      <c r="N24" s="120"/>
      <c r="O24" s="120"/>
      <c r="P24" s="120"/>
      <c r="Q24" s="120"/>
      <c r="R24" s="120"/>
      <c r="S24" s="120"/>
      <c r="T24" s="120"/>
      <c r="U24" s="120"/>
      <c r="V24" s="120"/>
      <c r="W24" s="120"/>
      <c r="X24" s="120"/>
      <c r="Y24" s="120"/>
      <c r="Z24" s="120"/>
      <c r="AA24" s="120"/>
      <c r="AB24" s="18"/>
      <c r="AC24" s="120"/>
      <c r="AD24" s="120"/>
      <c r="AE24" s="120"/>
      <c r="AF24" s="120"/>
      <c r="AG24" s="120"/>
      <c r="AH24" s="120">
        <f t="shared" ref="AH24:BE24" si="81">(AH16/AC16)^(1/5)-1</f>
        <v>0.29872718209306726</v>
      </c>
      <c r="AI24" s="120">
        <f t="shared" si="81"/>
        <v>0.32121626147274962</v>
      </c>
      <c r="AJ24" s="120">
        <f t="shared" si="81"/>
        <v>0.2862172437815822</v>
      </c>
      <c r="AK24" s="120">
        <f t="shared" si="81"/>
        <v>9.9095593098663226E-2</v>
      </c>
      <c r="AL24" s="120">
        <f t="shared" si="81"/>
        <v>0.2031741794116424</v>
      </c>
      <c r="AM24" s="120">
        <f t="shared" si="81"/>
        <v>0.14729925213088313</v>
      </c>
      <c r="AN24" s="120">
        <f t="shared" si="81"/>
        <v>0.10416029301523144</v>
      </c>
      <c r="AO24" s="120">
        <f t="shared" si="81"/>
        <v>2.8309902770984552E-2</v>
      </c>
      <c r="AP24" s="120">
        <f t="shared" si="81"/>
        <v>9.4948355145558549E-2</v>
      </c>
      <c r="AQ24" s="120">
        <f t="shared" si="81"/>
        <v>6.1154817685433072E-2</v>
      </c>
      <c r="AR24" s="120">
        <f t="shared" si="81"/>
        <v>9.4502971088546328E-2</v>
      </c>
      <c r="AS24" s="120">
        <f t="shared" si="81"/>
        <v>0.12374638774371061</v>
      </c>
      <c r="AT24" s="120">
        <f t="shared" si="81"/>
        <v>0.20864906099625458</v>
      </c>
      <c r="AU24" s="120">
        <f t="shared" si="81"/>
        <v>0.14990628518073779</v>
      </c>
      <c r="AV24" s="120">
        <f t="shared" si="81"/>
        <v>0.17288096064635039</v>
      </c>
      <c r="AW24" s="120">
        <f t="shared" si="81"/>
        <v>0.14040929696041271</v>
      </c>
      <c r="AX24" s="120">
        <f t="shared" si="81"/>
        <v>0.11556084296095115</v>
      </c>
      <c r="AY24" s="120">
        <f t="shared" si="81"/>
        <v>7.0022116174405236E-2</v>
      </c>
      <c r="AZ24" s="120">
        <f t="shared" si="81"/>
        <v>9.6871960197876916E-2</v>
      </c>
      <c r="BA24" s="120">
        <f t="shared" si="81"/>
        <v>0.10861847387415779</v>
      </c>
      <c r="BB24" s="120">
        <f t="shared" si="81"/>
        <v>0.18291208905863376</v>
      </c>
      <c r="BC24" s="120">
        <f t="shared" si="81"/>
        <v>0.15949508287642788</v>
      </c>
      <c r="BD24" s="120">
        <f t="shared" ca="1" si="81"/>
        <v>0.21958896811338735</v>
      </c>
      <c r="BE24" s="120">
        <f t="shared" ca="1" si="81"/>
        <v>0.21549551835281222</v>
      </c>
      <c r="BF24" s="18"/>
      <c r="BG24" s="52"/>
      <c r="BH24" s="52"/>
      <c r="BI24" s="52"/>
      <c r="BJ24" s="52"/>
      <c r="BK24" s="52"/>
    </row>
    <row r="25" spans="1:63" s="54" customFormat="1" ht="11.25" customHeight="1">
      <c r="A25" s="18"/>
      <c r="B25" s="36" t="s">
        <v>429</v>
      </c>
      <c r="C25" s="18"/>
      <c r="D25" s="120"/>
      <c r="E25" s="120"/>
      <c r="F25" s="120"/>
      <c r="G25" s="120"/>
      <c r="H25" s="120"/>
      <c r="I25" s="120"/>
      <c r="J25" s="120"/>
      <c r="K25" s="120"/>
      <c r="L25" s="120"/>
      <c r="M25" s="120"/>
      <c r="N25" s="120"/>
      <c r="O25" s="120"/>
      <c r="P25" s="120"/>
      <c r="Q25" s="120"/>
      <c r="R25" s="120"/>
      <c r="S25" s="120"/>
      <c r="T25" s="120"/>
      <c r="U25" s="120"/>
      <c r="V25" s="120"/>
      <c r="W25" s="120"/>
      <c r="X25" s="120"/>
      <c r="Y25" s="120"/>
      <c r="Z25" s="120"/>
      <c r="AA25" s="120"/>
      <c r="AB25" s="18"/>
      <c r="AC25" s="120"/>
      <c r="AD25" s="120"/>
      <c r="AE25" s="120"/>
      <c r="AF25" s="120"/>
      <c r="AG25" s="120"/>
      <c r="AH25" s="120"/>
      <c r="AI25" s="120"/>
      <c r="AJ25" s="120"/>
      <c r="AK25" s="120"/>
      <c r="AL25" s="120"/>
      <c r="AM25" s="120">
        <f t="shared" ref="AM25:BE25" si="82">(AM16/AC16)^(1/10)-1</f>
        <v>0.2206673276275668</v>
      </c>
      <c r="AN25" s="120">
        <f t="shared" si="82"/>
        <v>0.20782222798069072</v>
      </c>
      <c r="AO25" s="120">
        <f t="shared" si="82"/>
        <v>0.15005648943667227</v>
      </c>
      <c r="AP25" s="120">
        <f t="shared" si="82"/>
        <v>9.7020014316563596E-2</v>
      </c>
      <c r="AQ25" s="120">
        <f t="shared" si="82"/>
        <v>0.12993543045493605</v>
      </c>
      <c r="AR25" s="120">
        <f t="shared" si="82"/>
        <v>0.12059021956508209</v>
      </c>
      <c r="AS25" s="120">
        <f t="shared" si="82"/>
        <v>0.11391029296164756</v>
      </c>
      <c r="AT25" s="120">
        <f t="shared" si="82"/>
        <v>0.11483891141155467</v>
      </c>
      <c r="AU25" s="120">
        <f t="shared" si="82"/>
        <v>0.12209090341655848</v>
      </c>
      <c r="AV25" s="120">
        <f t="shared" si="82"/>
        <v>0.11562013336143839</v>
      </c>
      <c r="AW25" s="120">
        <f t="shared" si="82"/>
        <v>0.11722037386550199</v>
      </c>
      <c r="AX25" s="120">
        <f t="shared" si="82"/>
        <v>0.11964613498448595</v>
      </c>
      <c r="AY25" s="120">
        <f t="shared" si="82"/>
        <v>0.13722523097204453</v>
      </c>
      <c r="AZ25" s="120">
        <f t="shared" si="82"/>
        <v>0.12307611543922303</v>
      </c>
      <c r="BA25" s="120">
        <f t="shared" si="82"/>
        <v>0.14029711068116502</v>
      </c>
      <c r="BB25" s="120">
        <f t="shared" si="82"/>
        <v>0.16146629044898675</v>
      </c>
      <c r="BC25" s="120">
        <f t="shared" si="82"/>
        <v>0.13731583654792456</v>
      </c>
      <c r="BD25" s="120">
        <f t="shared" ca="1" si="82"/>
        <v>0.14236034968115296</v>
      </c>
      <c r="BE25" s="120">
        <f t="shared" ca="1" si="82"/>
        <v>0.15466140137591156</v>
      </c>
      <c r="BF25" s="18"/>
      <c r="BG25" s="52"/>
      <c r="BH25" s="52"/>
      <c r="BI25" s="52"/>
      <c r="BJ25" s="52"/>
      <c r="BK25" s="52"/>
    </row>
    <row r="26" spans="1:63" s="54" customFormat="1" ht="11.25" customHeight="1">
      <c r="A26" s="18"/>
      <c r="B26" s="36" t="s">
        <v>428</v>
      </c>
      <c r="C26" s="18"/>
      <c r="D26" s="120"/>
      <c r="E26" s="120"/>
      <c r="F26" s="120"/>
      <c r="G26" s="120"/>
      <c r="H26" s="120"/>
      <c r="I26" s="120"/>
      <c r="J26" s="120"/>
      <c r="K26" s="120"/>
      <c r="L26" s="120"/>
      <c r="M26" s="120"/>
      <c r="N26" s="120"/>
      <c r="O26" s="120"/>
      <c r="P26" s="120"/>
      <c r="Q26" s="120"/>
      <c r="R26" s="120"/>
      <c r="S26" s="120"/>
      <c r="T26" s="120"/>
      <c r="U26" s="120"/>
      <c r="V26" s="120"/>
      <c r="W26" s="120"/>
      <c r="X26" s="120"/>
      <c r="Y26" s="120"/>
      <c r="Z26" s="120"/>
      <c r="AA26" s="120"/>
      <c r="AB26" s="18"/>
      <c r="AC26" s="120"/>
      <c r="AD26" s="120"/>
      <c r="AE26" s="120"/>
      <c r="AF26" s="120"/>
      <c r="AG26" s="120"/>
      <c r="AH26" s="120"/>
      <c r="AI26" s="120"/>
      <c r="AJ26" s="120"/>
      <c r="AK26" s="120"/>
      <c r="AL26" s="120"/>
      <c r="AM26" s="120"/>
      <c r="AN26" s="120"/>
      <c r="AO26" s="120"/>
      <c r="AP26" s="120"/>
      <c r="AQ26" s="120"/>
      <c r="AR26" s="120"/>
      <c r="AS26" s="120"/>
      <c r="AT26" s="120"/>
      <c r="AU26" s="120"/>
      <c r="AV26" s="120"/>
      <c r="AW26" s="120">
        <f t="shared" ref="AW26:BE26" si="83">(AW16/AC16)^(1/20)-1</f>
        <v>0.16779895878420503</v>
      </c>
      <c r="AX26" s="120">
        <f t="shared" si="83"/>
        <v>0.16289874421934569</v>
      </c>
      <c r="AY26" s="120">
        <f t="shared" si="83"/>
        <v>0.1436228647725255</v>
      </c>
      <c r="AZ26" s="120">
        <f t="shared" si="83"/>
        <v>0.10997161055484983</v>
      </c>
      <c r="BA26" s="120">
        <f t="shared" si="83"/>
        <v>0.13510444744263173</v>
      </c>
      <c r="BB26" s="120">
        <f t="shared" si="83"/>
        <v>0.14084519783872129</v>
      </c>
      <c r="BC26" s="120">
        <f t="shared" si="83"/>
        <v>0.12555222743283667</v>
      </c>
      <c r="BD26" s="120">
        <f t="shared" ca="1" si="83"/>
        <v>0.12851573700957286</v>
      </c>
      <c r="BE26" s="120">
        <f t="shared" ca="1" si="83"/>
        <v>0.13825966062675077</v>
      </c>
      <c r="BF26" s="18"/>
      <c r="BG26" s="52"/>
      <c r="BH26" s="52"/>
      <c r="BI26" s="52"/>
      <c r="BJ26" s="52"/>
      <c r="BK26" s="52"/>
    </row>
    <row r="27" spans="1:63" ht="11.25" customHeight="1">
      <c r="A27" s="2"/>
      <c r="B27" s="9"/>
      <c r="C27" s="2"/>
      <c r="D27" s="43"/>
      <c r="E27" s="43"/>
      <c r="F27" s="43"/>
      <c r="G27" s="43"/>
      <c r="H27" s="43"/>
      <c r="I27" s="43"/>
      <c r="J27" s="43"/>
      <c r="K27" s="43"/>
      <c r="L27" s="43"/>
      <c r="M27" s="43"/>
      <c r="N27" s="43"/>
      <c r="O27" s="43"/>
      <c r="P27" s="43"/>
      <c r="Q27" s="43"/>
      <c r="R27" s="43"/>
      <c r="S27" s="46"/>
      <c r="T27" s="46"/>
      <c r="U27" s="46"/>
      <c r="V27" s="46"/>
      <c r="W27" s="46"/>
      <c r="X27" s="46"/>
      <c r="Y27" s="46"/>
      <c r="Z27" s="46"/>
      <c r="AA27" s="46"/>
      <c r="AB27" s="2"/>
      <c r="AC27" s="2"/>
      <c r="AD27" s="2"/>
      <c r="AE27" s="2"/>
      <c r="AF27" s="2"/>
      <c r="AG27" s="2"/>
      <c r="AH27" s="2"/>
      <c r="AI27" s="2"/>
      <c r="AJ27" s="2"/>
      <c r="AK27" s="2"/>
      <c r="AL27" s="2"/>
      <c r="AM27" s="2"/>
      <c r="AN27" s="2"/>
      <c r="AO27" s="2"/>
      <c r="AP27" s="2"/>
      <c r="AQ27" s="2"/>
      <c r="AR27" s="2"/>
      <c r="AS27" s="2"/>
      <c r="AT27" s="2"/>
      <c r="AU27" s="2"/>
      <c r="AV27" s="43"/>
      <c r="AW27" s="43"/>
      <c r="AX27" s="43"/>
      <c r="AY27" s="43"/>
      <c r="AZ27" s="43"/>
      <c r="BA27" s="43"/>
      <c r="BB27" s="43"/>
      <c r="BC27" s="43"/>
      <c r="BD27" s="43"/>
      <c r="BE27" s="43"/>
      <c r="BF27" s="2"/>
      <c r="BG27" s="2"/>
      <c r="BH27" s="2"/>
      <c r="BI27" s="2"/>
      <c r="BJ27" s="2"/>
      <c r="BK27" s="2"/>
    </row>
    <row r="28" spans="1:63" ht="11.25" customHeight="1">
      <c r="A28" s="2"/>
      <c r="B28" s="13" t="s">
        <v>122</v>
      </c>
      <c r="C28" s="2"/>
      <c r="D28" s="254">
        <f>-D302</f>
        <v>149.82</v>
      </c>
      <c r="E28" s="254">
        <f t="shared" ref="E28:T28" si="84">-E302</f>
        <v>146.07599999999999</v>
      </c>
      <c r="F28" s="254">
        <f t="shared" si="84"/>
        <v>165.93199999999999</v>
      </c>
      <c r="G28" s="254">
        <f t="shared" si="84"/>
        <v>166.297</v>
      </c>
      <c r="H28" s="254">
        <f t="shared" si="84"/>
        <v>172.571</v>
      </c>
      <c r="I28" s="254">
        <f t="shared" si="84"/>
        <v>185.94800000000001</v>
      </c>
      <c r="J28" s="254">
        <f t="shared" si="84"/>
        <v>201.92500000000001</v>
      </c>
      <c r="K28" s="254">
        <f t="shared" si="84"/>
        <v>207.434</v>
      </c>
      <c r="L28" s="254">
        <f t="shared" si="84"/>
        <v>217.87299999999999</v>
      </c>
      <c r="M28" s="254">
        <f t="shared" si="84"/>
        <v>218.673</v>
      </c>
      <c r="N28" s="254">
        <f t="shared" si="84"/>
        <v>242.643</v>
      </c>
      <c r="O28" s="254">
        <f t="shared" si="84"/>
        <v>236.34700000000001</v>
      </c>
      <c r="P28" s="254">
        <f t="shared" si="84"/>
        <v>222.13300000000001</v>
      </c>
      <c r="Q28" s="254">
        <f t="shared" si="84"/>
        <v>220.64099999999999</v>
      </c>
      <c r="R28" s="254">
        <f t="shared" si="84"/>
        <v>250.09</v>
      </c>
      <c r="S28" s="254">
        <f t="shared" si="84"/>
        <v>293.76100000000002</v>
      </c>
      <c r="T28" s="254">
        <f t="shared" si="84"/>
        <v>278.13900000000001</v>
      </c>
      <c r="U28" s="254">
        <f t="shared" ref="U28" si="85">-U302</f>
        <v>315.38499999999999</v>
      </c>
      <c r="V28" s="254">
        <f t="shared" ref="V28" si="86">-V302</f>
        <v>320.34699999999998</v>
      </c>
      <c r="W28" s="254">
        <f ca="1">W16-W29</f>
        <v>361.68039943197033</v>
      </c>
      <c r="X28" s="254">
        <f t="shared" ref="X28:AA28" si="87">X16-X29</f>
        <v>352.66172136321921</v>
      </c>
      <c r="Y28" s="254">
        <f t="shared" si="87"/>
        <v>356.25086196658475</v>
      </c>
      <c r="Z28" s="254">
        <f t="shared" si="87"/>
        <v>401.8364370299912</v>
      </c>
      <c r="AA28" s="254">
        <f t="shared" ca="1" si="87"/>
        <v>455.49901755713722</v>
      </c>
      <c r="AB28" s="2"/>
      <c r="AC28" s="254">
        <f>-AC302</f>
        <v>22.841999999999999</v>
      </c>
      <c r="AD28" s="254">
        <f t="shared" ref="AD28:AV28" si="88">-AD302</f>
        <v>31.077000000000002</v>
      </c>
      <c r="AE28" s="254">
        <f t="shared" si="88"/>
        <v>41.56</v>
      </c>
      <c r="AF28" s="254">
        <f t="shared" si="88"/>
        <v>89.682000000000002</v>
      </c>
      <c r="AG28" s="254">
        <f t="shared" si="88"/>
        <v>92.227999999999994</v>
      </c>
      <c r="AH28" s="254">
        <f t="shared" si="88"/>
        <v>109.988</v>
      </c>
      <c r="AI28" s="254">
        <f t="shared" si="88"/>
        <v>128.113</v>
      </c>
      <c r="AJ28" s="254">
        <f t="shared" si="88"/>
        <v>141.39400000000001</v>
      </c>
      <c r="AK28" s="254">
        <f t="shared" si="88"/>
        <v>148.36199999999999</v>
      </c>
      <c r="AL28" s="254">
        <f t="shared" si="88"/>
        <v>161.59700000000001</v>
      </c>
      <c r="AM28" s="254">
        <f t="shared" si="88"/>
        <v>180.28</v>
      </c>
      <c r="AN28" s="254">
        <f t="shared" si="88"/>
        <v>191.40799999999999</v>
      </c>
      <c r="AO28" s="254">
        <f t="shared" si="88"/>
        <v>166.41300000000001</v>
      </c>
      <c r="AP28" s="254">
        <f t="shared" si="88"/>
        <v>212.48400000000001</v>
      </c>
      <c r="AQ28" s="254">
        <f t="shared" si="88"/>
        <v>233.012</v>
      </c>
      <c r="AR28" s="254">
        <f t="shared" si="88"/>
        <v>262.608</v>
      </c>
      <c r="AS28" s="254">
        <f t="shared" si="88"/>
        <v>316.07900000000001</v>
      </c>
      <c r="AT28" s="254">
        <f t="shared" si="88"/>
        <v>385.084</v>
      </c>
      <c r="AU28" s="254">
        <f t="shared" si="88"/>
        <v>433.10199999999998</v>
      </c>
      <c r="AV28" s="254">
        <f t="shared" si="88"/>
        <v>473.10599999999999</v>
      </c>
      <c r="AW28" s="254">
        <f t="shared" ref="AW28:BC28" si="89">-AW302</f>
        <v>482.62099999999998</v>
      </c>
      <c r="AX28" s="254">
        <f t="shared" si="89"/>
        <v>533.6</v>
      </c>
      <c r="AY28" s="254">
        <f t="shared" si="89"/>
        <v>577.28300000000002</v>
      </c>
      <c r="AZ28" s="254">
        <f t="shared" si="89"/>
        <v>628.125</v>
      </c>
      <c r="BA28" s="254">
        <f t="shared" si="89"/>
        <v>767.87800000000004</v>
      </c>
      <c r="BB28" s="254">
        <f t="shared" si="89"/>
        <v>915.53599999999994</v>
      </c>
      <c r="BC28" s="254">
        <f t="shared" si="89"/>
        <v>986.625</v>
      </c>
      <c r="BD28" s="254">
        <f ca="1">SUM(T28:W28)</f>
        <v>1275.5513994319704</v>
      </c>
      <c r="BE28" s="254">
        <f ca="1">+SUM(X28:AA28)</f>
        <v>1566.2480379169324</v>
      </c>
      <c r="BF28" s="2"/>
      <c r="BG28" s="2"/>
      <c r="BH28" s="2"/>
      <c r="BI28" s="2"/>
      <c r="BJ28" s="2"/>
      <c r="BK28" s="2"/>
    </row>
    <row r="29" spans="1:63" s="54" customFormat="1" ht="11.25" customHeight="1">
      <c r="A29" s="55"/>
      <c r="B29" s="204" t="s">
        <v>137</v>
      </c>
      <c r="C29" s="205"/>
      <c r="D29" s="220">
        <f t="shared" ref="D29:U29" si="90">D16-D28</f>
        <v>160.77718300000004</v>
      </c>
      <c r="E29" s="220">
        <f t="shared" si="90"/>
        <v>164.72236699999999</v>
      </c>
      <c r="F29" s="220">
        <f t="shared" si="90"/>
        <v>190.49420400000005</v>
      </c>
      <c r="G29" s="220">
        <f t="shared" si="90"/>
        <v>195.13605700000008</v>
      </c>
      <c r="H29" s="220">
        <f t="shared" si="90"/>
        <v>189.83923000000007</v>
      </c>
      <c r="I29" s="220">
        <f t="shared" si="90"/>
        <v>186.19712200000001</v>
      </c>
      <c r="J29" s="220">
        <f t="shared" si="90"/>
        <v>212.74537899999996</v>
      </c>
      <c r="K29" s="220">
        <f t="shared" si="90"/>
        <v>230.75530599999999</v>
      </c>
      <c r="L29" s="220">
        <f t="shared" si="90"/>
        <v>273.20287300000007</v>
      </c>
      <c r="M29" s="220">
        <f t="shared" si="90"/>
        <v>315.4678080000001</v>
      </c>
      <c r="N29" s="220">
        <f t="shared" si="90"/>
        <v>370.49974299999985</v>
      </c>
      <c r="O29" s="220">
        <f t="shared" si="90"/>
        <v>389.18486800000005</v>
      </c>
      <c r="P29" s="220">
        <f t="shared" si="90"/>
        <v>286.49997299999995</v>
      </c>
      <c r="Q29" s="220">
        <f t="shared" si="90"/>
        <v>260.20025399999997</v>
      </c>
      <c r="R29" s="220">
        <f t="shared" si="90"/>
        <v>296.64275799999996</v>
      </c>
      <c r="S29" s="220">
        <f t="shared" si="90"/>
        <v>331.76801499999993</v>
      </c>
      <c r="T29" s="220">
        <f t="shared" si="90"/>
        <v>314.50520100000006</v>
      </c>
      <c r="U29" s="220">
        <f t="shared" si="90"/>
        <v>358.12517699999989</v>
      </c>
      <c r="V29" s="220">
        <f t="shared" ref="V29" si="91">V16-V28</f>
        <v>439.34500000000003</v>
      </c>
      <c r="W29" s="220">
        <f ca="1">W16*W31</f>
        <v>499.46340873938749</v>
      </c>
      <c r="X29" s="220">
        <f t="shared" ref="X29:AA29" si="92">X16*X31</f>
        <v>447.40794998678092</v>
      </c>
      <c r="Y29" s="220">
        <f t="shared" si="92"/>
        <v>451.96135043341513</v>
      </c>
      <c r="Z29" s="220">
        <f t="shared" si="92"/>
        <v>509.79396297000881</v>
      </c>
      <c r="AA29" s="220">
        <f t="shared" ca="1" si="92"/>
        <v>577.87355224849216</v>
      </c>
      <c r="AB29"/>
      <c r="AC29" s="220">
        <f t="shared" ref="AC29:BD29" si="93">AC16-AC28</f>
        <v>21.085000000000001</v>
      </c>
      <c r="AD29" s="220">
        <f t="shared" si="93"/>
        <v>19.344999999999995</v>
      </c>
      <c r="AE29" s="220">
        <f t="shared" si="93"/>
        <v>31.506999999999991</v>
      </c>
      <c r="AF29" s="220">
        <f t="shared" si="93"/>
        <v>76.516000000000005</v>
      </c>
      <c r="AG29" s="220">
        <f t="shared" si="93"/>
        <v>33.657000000000011</v>
      </c>
      <c r="AH29" s="220">
        <f t="shared" si="93"/>
        <v>52.312999999999988</v>
      </c>
      <c r="AI29" s="220">
        <f t="shared" si="93"/>
        <v>74.884000000000015</v>
      </c>
      <c r="AJ29" s="220">
        <f t="shared" si="93"/>
        <v>115.81900000000002</v>
      </c>
      <c r="AK29" s="220">
        <f t="shared" si="93"/>
        <v>118.203</v>
      </c>
      <c r="AL29" s="220">
        <f t="shared" si="93"/>
        <v>155.80999999999997</v>
      </c>
      <c r="AM29" s="220">
        <f t="shared" si="93"/>
        <v>142.35</v>
      </c>
      <c r="AN29" s="220">
        <f t="shared" si="93"/>
        <v>141.75000000000003</v>
      </c>
      <c r="AO29" s="220">
        <f t="shared" si="93"/>
        <v>129.32900000000001</v>
      </c>
      <c r="AP29" s="220">
        <f t="shared" si="93"/>
        <v>207.054</v>
      </c>
      <c r="AQ29" s="220">
        <f t="shared" si="93"/>
        <v>194.06900000000002</v>
      </c>
      <c r="AR29" s="220">
        <f t="shared" si="93"/>
        <v>244.137</v>
      </c>
      <c r="AS29" s="220">
        <f t="shared" si="93"/>
        <v>280.94499999999999</v>
      </c>
      <c r="AT29" s="220">
        <f t="shared" si="93"/>
        <v>377.72200000000004</v>
      </c>
      <c r="AU29" s="220">
        <f t="shared" si="93"/>
        <v>410.39499999999998</v>
      </c>
      <c r="AV29" s="220">
        <f t="shared" si="93"/>
        <v>474.83199999999999</v>
      </c>
      <c r="AW29" s="220">
        <f t="shared" si="93"/>
        <v>494.82599999999991</v>
      </c>
      <c r="AX29" s="220">
        <f t="shared" si="93"/>
        <v>497.87355700000001</v>
      </c>
      <c r="AY29" s="220">
        <f t="shared" si="93"/>
        <v>492.70244800000012</v>
      </c>
      <c r="AZ29" s="220">
        <f t="shared" si="93"/>
        <v>711.12981100000002</v>
      </c>
      <c r="BA29" s="220">
        <f t="shared" si="93"/>
        <v>819.53703699999971</v>
      </c>
      <c r="BB29" s="220">
        <f t="shared" si="93"/>
        <v>1348.3552920000002</v>
      </c>
      <c r="BC29" s="220">
        <f t="shared" si="93"/>
        <v>1175.1109999999999</v>
      </c>
      <c r="BD29" s="220">
        <f t="shared" ca="1" si="93"/>
        <v>1611.438786739388</v>
      </c>
      <c r="BE29" s="220">
        <f ca="1">+SUM(X29:AA29)</f>
        <v>1987.0368156386971</v>
      </c>
      <c r="BF29" s="55"/>
      <c r="BG29" s="84">
        <f>ROUND(AZ29-SUM(D29:G29),1)</f>
        <v>0</v>
      </c>
      <c r="BH29" s="84">
        <f>ROUND(BA29-SUM(H29:K29),1)</f>
        <v>0</v>
      </c>
      <c r="BI29" s="84">
        <f>ROUND(BB29-SUM(L29:O29),1)</f>
        <v>0</v>
      </c>
      <c r="BJ29" s="84">
        <f>ROUND(BC29-SUM(P29:S29),1)</f>
        <v>0</v>
      </c>
      <c r="BK29" s="84">
        <f ca="1">ROUND(BD29-SUM(T29:W29),1)</f>
        <v>0</v>
      </c>
    </row>
    <row r="30" spans="1:63" s="54" customFormat="1" ht="11.25" customHeight="1">
      <c r="A30" s="18"/>
      <c r="B30" s="36" t="s">
        <v>249</v>
      </c>
      <c r="C30" s="18"/>
      <c r="D30" s="120"/>
      <c r="E30" s="120"/>
      <c r="F30" s="120"/>
      <c r="G30" s="120"/>
      <c r="H30" s="120">
        <f>IF(AND(H29&gt;0,D29&gt;0),H29/D29-1,"n/m")</f>
        <v>0.18075977236148</v>
      </c>
      <c r="I30" s="120">
        <f t="shared" ref="I30:W30" si="94">IF(AND(I29&gt;0,E29&gt;0),I29/E29-1,"n/m")</f>
        <v>0.13036939300416939</v>
      </c>
      <c r="J30" s="120">
        <f t="shared" si="94"/>
        <v>0.11680762213636631</v>
      </c>
      <c r="K30" s="120">
        <f t="shared" si="94"/>
        <v>0.18253545524905168</v>
      </c>
      <c r="L30" s="120">
        <f t="shared" si="94"/>
        <v>0.43912758706406452</v>
      </c>
      <c r="M30" s="120">
        <f t="shared" si="94"/>
        <v>0.69426790603132993</v>
      </c>
      <c r="N30" s="120">
        <f t="shared" si="94"/>
        <v>0.74151722938245324</v>
      </c>
      <c r="O30" s="120">
        <f t="shared" si="94"/>
        <v>0.68656953006315735</v>
      </c>
      <c r="P30" s="120">
        <f t="shared" si="94"/>
        <v>4.8671157275860244E-2</v>
      </c>
      <c r="Q30" s="120">
        <f t="shared" si="94"/>
        <v>-0.17519237335303672</v>
      </c>
      <c r="R30" s="120">
        <f t="shared" si="94"/>
        <v>-0.19934422734538826</v>
      </c>
      <c r="S30" s="120">
        <f t="shared" si="94"/>
        <v>-0.14753105200380023</v>
      </c>
      <c r="T30" s="120">
        <f t="shared" si="94"/>
        <v>9.7749496122989443E-2</v>
      </c>
      <c r="U30" s="120">
        <f t="shared" si="94"/>
        <v>0.37634445583592679</v>
      </c>
      <c r="V30" s="120">
        <f t="shared" si="94"/>
        <v>0.48105756217382556</v>
      </c>
      <c r="W30" s="120">
        <f t="shared" ca="1" si="94"/>
        <v>0.50545979768238847</v>
      </c>
      <c r="X30" s="120">
        <f t="shared" ref="X30" si="95">IF(AND(X29&gt;0,T29&gt;0),X29/T29-1,"n/m")</f>
        <v>0.42257726919683236</v>
      </c>
      <c r="Y30" s="120">
        <f t="shared" ref="Y30" si="96">IF(AND(Y29&gt;0,U29&gt;0),Y29/U29-1,"n/m")</f>
        <v>0.26202059910860509</v>
      </c>
      <c r="Z30" s="120">
        <f t="shared" ref="Z30" si="97">IF(AND(Z29&gt;0,V29&gt;0),Z29/V29-1,"n/m")</f>
        <v>0.16034998229184083</v>
      </c>
      <c r="AA30" s="120">
        <f t="shared" ref="AA30" ca="1" si="98">IF(AND(AA29&gt;0,W29&gt;0),AA29/W29-1,"n/m")</f>
        <v>0.1569887646164243</v>
      </c>
      <c r="AB30" s="18"/>
      <c r="AC30" s="120"/>
      <c r="AD30" s="120">
        <f>IF(AND(AD29&gt;0,AC29&gt;0),AD29/AC29-1,"n/m")</f>
        <v>-8.2523120701921027E-2</v>
      </c>
      <c r="AE30" s="120">
        <f t="shared" ref="AE30:BE30" si="99">IF(AND(AE29&gt;0,AD29&gt;0),AE29/AD29-1,"n/m")</f>
        <v>0.62868958387180141</v>
      </c>
      <c r="AF30" s="120">
        <f t="shared" si="99"/>
        <v>1.4285396895927898</v>
      </c>
      <c r="AG30" s="120">
        <f t="shared" si="99"/>
        <v>-0.56013121438653335</v>
      </c>
      <c r="AH30" s="120">
        <f t="shared" si="99"/>
        <v>0.5542977686662498</v>
      </c>
      <c r="AI30" s="120">
        <f t="shared" si="99"/>
        <v>0.43146063120065814</v>
      </c>
      <c r="AJ30" s="120">
        <f t="shared" si="99"/>
        <v>0.54664547833983224</v>
      </c>
      <c r="AK30" s="120">
        <f t="shared" si="99"/>
        <v>2.0583842029373356E-2</v>
      </c>
      <c r="AL30" s="120">
        <f t="shared" si="99"/>
        <v>0.31815605356886012</v>
      </c>
      <c r="AM30" s="120">
        <f t="shared" si="99"/>
        <v>-8.6387266542583774E-2</v>
      </c>
      <c r="AN30" s="120">
        <f t="shared" si="99"/>
        <v>-4.2149631190724346E-3</v>
      </c>
      <c r="AO30" s="120">
        <f t="shared" si="99"/>
        <v>-8.7626102292769126E-2</v>
      </c>
      <c r="AP30" s="120">
        <f t="shared" si="99"/>
        <v>0.60098663099536842</v>
      </c>
      <c r="AQ30" s="120">
        <f t="shared" si="99"/>
        <v>-6.2713108657644789E-2</v>
      </c>
      <c r="AR30" s="120">
        <f t="shared" si="99"/>
        <v>0.25799071464273005</v>
      </c>
      <c r="AS30" s="120">
        <f t="shared" si="99"/>
        <v>0.15076780660039235</v>
      </c>
      <c r="AT30" s="120">
        <f t="shared" si="99"/>
        <v>0.34446955809856039</v>
      </c>
      <c r="AU30" s="120">
        <f t="shared" si="99"/>
        <v>8.6500124430136216E-2</v>
      </c>
      <c r="AV30" s="120">
        <f t="shared" si="99"/>
        <v>0.15701214683414766</v>
      </c>
      <c r="AW30" s="120">
        <f t="shared" si="99"/>
        <v>4.2107524345452507E-2</v>
      </c>
      <c r="AX30" s="120">
        <f t="shared" si="99"/>
        <v>6.1588457356729354E-3</v>
      </c>
      <c r="AY30" s="120">
        <f t="shared" si="99"/>
        <v>-1.0386390133187762E-2</v>
      </c>
      <c r="AZ30" s="120">
        <f t="shared" si="99"/>
        <v>0.44332510196904851</v>
      </c>
      <c r="BA30" s="120">
        <f t="shared" si="99"/>
        <v>0.1524436527946369</v>
      </c>
      <c r="BB30" s="120">
        <f t="shared" si="99"/>
        <v>0.64526462029805809</v>
      </c>
      <c r="BC30" s="120">
        <f t="shared" si="99"/>
        <v>-0.12848563952534275</v>
      </c>
      <c r="BD30" s="120">
        <f t="shared" ca="1" si="99"/>
        <v>0.37130772049567073</v>
      </c>
      <c r="BE30" s="120">
        <f t="shared" ca="1" si="99"/>
        <v>0.23308240560555227</v>
      </c>
      <c r="BF30" s="18"/>
      <c r="BG30" s="52"/>
      <c r="BH30" s="52"/>
      <c r="BI30" s="52"/>
      <c r="BJ30" s="52"/>
      <c r="BK30" s="52"/>
    </row>
    <row r="31" spans="1:63" s="54" customFormat="1" ht="11.25" customHeight="1">
      <c r="A31" s="18"/>
      <c r="B31" s="36" t="s">
        <v>17</v>
      </c>
      <c r="C31" s="18"/>
      <c r="D31" s="120">
        <f t="shared" ref="D31:U31" si="100">IFERROR(D29/D16,"n/a")</f>
        <v>0.51763889629353144</v>
      </c>
      <c r="E31" s="120">
        <f t="shared" si="100"/>
        <v>0.52999753052113041</v>
      </c>
      <c r="F31" s="120">
        <f t="shared" si="100"/>
        <v>0.53445622645634672</v>
      </c>
      <c r="G31" s="120">
        <f t="shared" si="100"/>
        <v>0.53989543352698932</v>
      </c>
      <c r="H31" s="120">
        <f t="shared" si="100"/>
        <v>0.52382414812076372</v>
      </c>
      <c r="I31" s="120">
        <f t="shared" si="100"/>
        <v>0.50033471082283865</v>
      </c>
      <c r="J31" s="163">
        <f t="shared" si="100"/>
        <v>0.51304696398389227</v>
      </c>
      <c r="K31" s="163">
        <f t="shared" si="100"/>
        <v>0.52661099401636235</v>
      </c>
      <c r="L31" s="163">
        <f t="shared" si="100"/>
        <v>0.55633536082926238</v>
      </c>
      <c r="M31" s="163">
        <f t="shared" si="100"/>
        <v>0.59060795070351568</v>
      </c>
      <c r="N31" s="163">
        <f t="shared" si="100"/>
        <v>0.60426343984307729</v>
      </c>
      <c r="O31" s="163">
        <f t="shared" si="100"/>
        <v>0.62216633221954409</v>
      </c>
      <c r="P31" s="163">
        <f t="shared" si="100"/>
        <v>0.56327447925795393</v>
      </c>
      <c r="Q31" s="163">
        <f t="shared" si="100"/>
        <v>0.54113546172558646</v>
      </c>
      <c r="R31" s="163">
        <f t="shared" si="100"/>
        <v>0.54257359497745694</v>
      </c>
      <c r="S31" s="163">
        <f t="shared" si="100"/>
        <v>0.53037989772544758</v>
      </c>
      <c r="T31" s="163">
        <f t="shared" si="100"/>
        <v>0.53068131008338348</v>
      </c>
      <c r="U31" s="163">
        <f t="shared" si="100"/>
        <v>0.53172942181094907</v>
      </c>
      <c r="V31" s="163">
        <f t="shared" ref="V31" si="101">IFERROR(V29/V16,"n/a")</f>
        <v>0.57831989806395223</v>
      </c>
      <c r="W31" s="164">
        <v>0.57999999999999996</v>
      </c>
      <c r="X31" s="164">
        <v>0.55921123623127178</v>
      </c>
      <c r="Y31" s="164">
        <v>0.55921123623127178</v>
      </c>
      <c r="Z31" s="164">
        <v>0.55921123623127178</v>
      </c>
      <c r="AA31" s="164">
        <v>0.55921123623127178</v>
      </c>
      <c r="AB31" s="603"/>
      <c r="AC31" s="163">
        <f t="shared" ref="AC31:BD31" si="102">IFERROR(AC29/AC16,"n/a")</f>
        <v>0.4800009106016801</v>
      </c>
      <c r="AD31" s="163">
        <f t="shared" si="102"/>
        <v>0.38366189361786512</v>
      </c>
      <c r="AE31" s="163">
        <f t="shared" si="102"/>
        <v>0.43120697442073702</v>
      </c>
      <c r="AF31" s="163">
        <f t="shared" si="102"/>
        <v>0.4603906184189942</v>
      </c>
      <c r="AG31" s="163">
        <f t="shared" si="102"/>
        <v>0.26736306946816546</v>
      </c>
      <c r="AH31" s="163">
        <f t="shared" si="102"/>
        <v>0.32232087294594608</v>
      </c>
      <c r="AI31" s="163">
        <f t="shared" si="102"/>
        <v>0.36889215111553375</v>
      </c>
      <c r="AJ31" s="163">
        <f t="shared" si="102"/>
        <v>0.45028439464568276</v>
      </c>
      <c r="AK31" s="163">
        <f t="shared" si="102"/>
        <v>0.4434303078048506</v>
      </c>
      <c r="AL31" s="163">
        <f t="shared" si="102"/>
        <v>0.49088394395838775</v>
      </c>
      <c r="AM31" s="163">
        <f t="shared" si="102"/>
        <v>0.44121749372346031</v>
      </c>
      <c r="AN31" s="163">
        <f t="shared" si="102"/>
        <v>0.42547379921838896</v>
      </c>
      <c r="AO31" s="163">
        <f t="shared" si="102"/>
        <v>0.43730346044863427</v>
      </c>
      <c r="AP31" s="163">
        <f t="shared" si="102"/>
        <v>0.49352859574102942</v>
      </c>
      <c r="AQ31" s="163">
        <f t="shared" si="102"/>
        <v>0.45440794603365642</v>
      </c>
      <c r="AR31" s="163">
        <f t="shared" si="102"/>
        <v>0.4817748571766865</v>
      </c>
      <c r="AS31" s="163">
        <f t="shared" si="102"/>
        <v>0.47057572224902178</v>
      </c>
      <c r="AT31" s="163">
        <f t="shared" si="102"/>
        <v>0.49517439558682025</v>
      </c>
      <c r="AU31" s="163">
        <f t="shared" si="102"/>
        <v>0.48653996398327437</v>
      </c>
      <c r="AV31" s="163">
        <f t="shared" si="102"/>
        <v>0.50091039709348084</v>
      </c>
      <c r="AW31" s="163">
        <f t="shared" si="102"/>
        <v>0.50624330526361017</v>
      </c>
      <c r="AX31" s="163">
        <f t="shared" si="102"/>
        <v>0.48268184251668605</v>
      </c>
      <c r="AY31" s="163">
        <f t="shared" si="102"/>
        <v>0.46047584004151809</v>
      </c>
      <c r="AZ31" s="163">
        <f t="shared" si="102"/>
        <v>0.5309891778316711</v>
      </c>
      <c r="BA31" s="163">
        <f t="shared" si="102"/>
        <v>0.51627143368177619</v>
      </c>
      <c r="BB31" s="163">
        <f t="shared" si="102"/>
        <v>0.59559188940066832</v>
      </c>
      <c r="BC31" s="163">
        <f t="shared" si="102"/>
        <v>0.54359598026771072</v>
      </c>
      <c r="BD31" s="163">
        <f t="shared" ca="1" si="102"/>
        <v>0.55817258903689959</v>
      </c>
      <c r="BE31" s="163">
        <f t="shared" ref="BE31" ca="1" si="103">IFERROR(BE29/BE16,"n/a")</f>
        <v>0.55921123623127178</v>
      </c>
      <c r="BF31" s="18"/>
      <c r="BG31" s="18"/>
      <c r="BH31" s="18"/>
      <c r="BI31" s="18"/>
      <c r="BJ31" s="18"/>
      <c r="BK31" s="18"/>
    </row>
    <row r="32" spans="1:63" s="54" customFormat="1" ht="11.25" customHeight="1">
      <c r="A32" s="18"/>
      <c r="B32" s="36"/>
      <c r="C32" s="18"/>
      <c r="D32" s="203"/>
      <c r="E32" s="203"/>
      <c r="F32" s="203"/>
      <c r="G32" s="203"/>
      <c r="H32" s="203"/>
      <c r="I32" s="203"/>
      <c r="J32" s="203"/>
      <c r="K32" s="203"/>
      <c r="L32" s="203"/>
      <c r="M32" s="203"/>
      <c r="N32" s="203"/>
      <c r="O32" s="203"/>
      <c r="P32" s="203"/>
      <c r="Q32" s="203"/>
      <c r="R32" s="203"/>
      <c r="S32" s="203"/>
      <c r="T32" s="203"/>
      <c r="U32" s="203"/>
      <c r="V32" s="66"/>
      <c r="W32" s="66"/>
      <c r="X32" s="66"/>
      <c r="Y32" s="66"/>
      <c r="Z32" s="66"/>
      <c r="AA32" s="66"/>
      <c r="AB32" s="18"/>
      <c r="AC32" s="203"/>
      <c r="AD32" s="203"/>
      <c r="AE32" s="203"/>
      <c r="AF32" s="203"/>
      <c r="AG32" s="203"/>
      <c r="AH32" s="203"/>
      <c r="AI32" s="203"/>
      <c r="AJ32" s="203"/>
      <c r="AK32" s="203"/>
      <c r="AL32" s="203"/>
      <c r="AM32" s="203"/>
      <c r="AN32" s="203"/>
      <c r="AO32" s="203"/>
      <c r="AP32" s="203"/>
      <c r="AQ32" s="203"/>
      <c r="AR32" s="203"/>
      <c r="AS32" s="203"/>
      <c r="AT32" s="203"/>
      <c r="AU32" s="203"/>
      <c r="AV32" s="203"/>
      <c r="AW32" s="203"/>
      <c r="AX32" s="203"/>
      <c r="AY32" s="203"/>
      <c r="AZ32" s="203"/>
      <c r="BA32" s="203"/>
      <c r="BB32" s="203"/>
      <c r="BC32" s="203"/>
      <c r="BD32" s="203"/>
      <c r="BE32" s="203"/>
      <c r="BF32" s="18"/>
      <c r="BG32" s="18"/>
      <c r="BH32" s="18"/>
      <c r="BI32" s="18"/>
      <c r="BJ32" s="18"/>
      <c r="BK32" s="18"/>
    </row>
    <row r="33" spans="1:63" ht="11.25" customHeight="1">
      <c r="A33" s="2"/>
      <c r="B33" s="13" t="s">
        <v>251</v>
      </c>
      <c r="C33" s="2"/>
      <c r="D33" s="20">
        <f>-D305</f>
        <v>24.969000000000001</v>
      </c>
      <c r="E33" s="20">
        <f t="shared" ref="E33:U33" si="104">-E305</f>
        <v>24.893000000000001</v>
      </c>
      <c r="F33" s="20">
        <f t="shared" si="104"/>
        <v>29.684000000000001</v>
      </c>
      <c r="G33" s="20">
        <f t="shared" si="104"/>
        <v>29.94</v>
      </c>
      <c r="H33" s="20">
        <f t="shared" si="104"/>
        <v>30.756</v>
      </c>
      <c r="I33" s="20">
        <f t="shared" si="104"/>
        <v>30.873999999999999</v>
      </c>
      <c r="J33" s="20">
        <f t="shared" si="104"/>
        <v>30.866</v>
      </c>
      <c r="K33" s="20">
        <f t="shared" si="104"/>
        <v>32.238999999999997</v>
      </c>
      <c r="L33" s="20">
        <f t="shared" si="104"/>
        <v>36.048000000000002</v>
      </c>
      <c r="M33" s="20">
        <f t="shared" si="104"/>
        <v>39.65</v>
      </c>
      <c r="N33" s="20">
        <f t="shared" si="104"/>
        <v>42.976999999999997</v>
      </c>
      <c r="O33" s="20">
        <f t="shared" si="104"/>
        <v>44.587000000000003</v>
      </c>
      <c r="P33" s="20">
        <f t="shared" si="104"/>
        <v>39.156999999999996</v>
      </c>
      <c r="Q33" s="20">
        <f t="shared" si="104"/>
        <v>41.664999999999999</v>
      </c>
      <c r="R33" s="20">
        <f t="shared" si="104"/>
        <v>51.137999999999998</v>
      </c>
      <c r="S33" s="20">
        <f t="shared" si="104"/>
        <v>50.41</v>
      </c>
      <c r="T33" s="20">
        <f t="shared" si="104"/>
        <v>46.109000000000002</v>
      </c>
      <c r="U33" s="20">
        <f t="shared" si="104"/>
        <v>48.058</v>
      </c>
      <c r="V33" s="20">
        <f t="shared" ref="V33" si="105">-V305</f>
        <v>52.783000000000001</v>
      </c>
      <c r="W33" s="20">
        <f ca="1">W$16*W45</f>
        <v>62.432926092423436</v>
      </c>
      <c r="X33" s="20">
        <f t="shared" ref="X33:AA33" si="106">X$16*X45</f>
        <v>58.005051172875007</v>
      </c>
      <c r="Y33" s="20">
        <f t="shared" si="106"/>
        <v>58.595385398999987</v>
      </c>
      <c r="Z33" s="20">
        <f t="shared" si="106"/>
        <v>66.093204</v>
      </c>
      <c r="AA33" s="20">
        <f t="shared" ca="1" si="106"/>
        <v>74.919511310908121</v>
      </c>
      <c r="AB33" s="2"/>
      <c r="AC33" s="20">
        <f t="shared" ref="AC33:BC33" si="107">-AC305</f>
        <v>2.5059999999999998</v>
      </c>
      <c r="AD33" s="20">
        <f t="shared" si="107"/>
        <v>3.246</v>
      </c>
      <c r="AE33" s="20">
        <f t="shared" si="107"/>
        <v>2.391</v>
      </c>
      <c r="AF33" s="20">
        <f t="shared" si="107"/>
        <v>5.1310000000000002</v>
      </c>
      <c r="AG33" s="20">
        <f t="shared" si="107"/>
        <v>10.648999999999999</v>
      </c>
      <c r="AH33" s="20">
        <f t="shared" si="107"/>
        <v>11.725</v>
      </c>
      <c r="AI33" s="20">
        <f t="shared" si="107"/>
        <v>12.712999999999999</v>
      </c>
      <c r="AJ33" s="20">
        <f t="shared" si="107"/>
        <v>12.516</v>
      </c>
      <c r="AK33" s="20">
        <f t="shared" si="107"/>
        <v>14.016999999999999</v>
      </c>
      <c r="AL33" s="20">
        <f t="shared" si="107"/>
        <v>16.076000000000001</v>
      </c>
      <c r="AM33" s="20">
        <f t="shared" si="107"/>
        <v>17.946000000000002</v>
      </c>
      <c r="AN33" s="20">
        <f t="shared" si="107"/>
        <v>21.481000000000002</v>
      </c>
      <c r="AO33" s="20">
        <f t="shared" si="107"/>
        <v>21.593</v>
      </c>
      <c r="AP33" s="20">
        <f t="shared" si="107"/>
        <v>29.707000000000001</v>
      </c>
      <c r="AQ33" s="20">
        <f t="shared" si="107"/>
        <v>33.83</v>
      </c>
      <c r="AR33" s="20">
        <f t="shared" si="107"/>
        <v>40.383000000000003</v>
      </c>
      <c r="AS33" s="20">
        <f t="shared" si="107"/>
        <v>48.118000000000002</v>
      </c>
      <c r="AT33" s="20">
        <f t="shared" si="107"/>
        <v>56.829000000000001</v>
      </c>
      <c r="AU33" s="20">
        <f t="shared" si="107"/>
        <v>65.545000000000002</v>
      </c>
      <c r="AV33" s="20">
        <f t="shared" si="107"/>
        <v>71.207999999999998</v>
      </c>
      <c r="AW33" s="20">
        <f t="shared" si="107"/>
        <v>80.733000000000004</v>
      </c>
      <c r="AX33" s="20">
        <f t="shared" si="107"/>
        <v>85.894999999999996</v>
      </c>
      <c r="AY33" s="20">
        <f t="shared" si="107"/>
        <v>91.418999999999997</v>
      </c>
      <c r="AZ33" s="20">
        <f t="shared" si="107"/>
        <v>109.486</v>
      </c>
      <c r="BA33" s="20">
        <f t="shared" si="107"/>
        <v>124.735</v>
      </c>
      <c r="BB33" s="20">
        <f t="shared" si="107"/>
        <v>163.262</v>
      </c>
      <c r="BC33" s="20">
        <f t="shared" si="107"/>
        <v>182.37</v>
      </c>
      <c r="BD33" s="20">
        <f ca="1">SUM(T33:W33)</f>
        <v>209.38292609242342</v>
      </c>
      <c r="BE33" s="20">
        <f ca="1">+SUM(X33:AA33)</f>
        <v>257.61315188278309</v>
      </c>
      <c r="BF33" s="2"/>
      <c r="BG33" s="2"/>
      <c r="BH33" s="2"/>
      <c r="BI33" s="2"/>
      <c r="BJ33" s="2"/>
      <c r="BK33" s="2"/>
    </row>
    <row r="34" spans="1:63" ht="11.25" customHeight="1">
      <c r="A34" s="2"/>
      <c r="B34" s="13" t="s">
        <v>252</v>
      </c>
      <c r="C34" s="2"/>
      <c r="D34" s="20">
        <f>-D306</f>
        <v>7.3540000000000001</v>
      </c>
      <c r="E34" s="20">
        <f t="shared" ref="E34:U34" si="108">-E306</f>
        <v>8.6280000000000001</v>
      </c>
      <c r="F34" s="20">
        <f t="shared" si="108"/>
        <v>11.207000000000001</v>
      </c>
      <c r="G34" s="20">
        <f t="shared" si="108"/>
        <v>8.3810000000000002</v>
      </c>
      <c r="H34" s="20">
        <f t="shared" si="108"/>
        <v>8.3559999999999999</v>
      </c>
      <c r="I34" s="20">
        <f t="shared" si="108"/>
        <v>9.7089999999999996</v>
      </c>
      <c r="J34" s="20">
        <f t="shared" si="108"/>
        <v>10.784000000000001</v>
      </c>
      <c r="K34" s="20">
        <f t="shared" si="108"/>
        <v>15.638999999999999</v>
      </c>
      <c r="L34" s="20">
        <f t="shared" si="108"/>
        <v>12.563000000000001</v>
      </c>
      <c r="M34" s="20">
        <f t="shared" si="108"/>
        <v>13.725</v>
      </c>
      <c r="N34" s="20">
        <f t="shared" si="108"/>
        <v>17.209</v>
      </c>
      <c r="O34" s="20">
        <f t="shared" si="108"/>
        <v>19.949000000000002</v>
      </c>
      <c r="P34" s="20">
        <f t="shared" si="108"/>
        <v>16.152000000000001</v>
      </c>
      <c r="Q34" s="20">
        <f t="shared" si="108"/>
        <v>16.53</v>
      </c>
      <c r="R34" s="20">
        <f t="shared" si="108"/>
        <v>17.571000000000002</v>
      </c>
      <c r="S34" s="20">
        <f t="shared" si="108"/>
        <v>21.210999999999999</v>
      </c>
      <c r="T34" s="20">
        <f t="shared" si="108"/>
        <v>19.248000000000001</v>
      </c>
      <c r="U34" s="20">
        <f t="shared" si="108"/>
        <v>22.238</v>
      </c>
      <c r="V34" s="20">
        <f t="shared" ref="V34" si="109">-V306</f>
        <v>26.295000000000002</v>
      </c>
      <c r="W34" s="20">
        <f ca="1">W$16*W46</f>
        <v>27.987173765569128</v>
      </c>
      <c r="X34" s="20">
        <f t="shared" ref="X34:AA34" si="110">X$16*X46</f>
        <v>26.002264318875007</v>
      </c>
      <c r="Y34" s="20">
        <f t="shared" si="110"/>
        <v>26.266896902999996</v>
      </c>
      <c r="Z34" s="20">
        <f t="shared" si="110"/>
        <v>29.627988000000002</v>
      </c>
      <c r="AA34" s="20">
        <f t="shared" ca="1" si="110"/>
        <v>33.584608518682955</v>
      </c>
      <c r="AB34" s="2"/>
      <c r="AC34" s="20">
        <f t="shared" ref="AC34:BC34" si="111">-AC306</f>
        <v>3.6509999999999998</v>
      </c>
      <c r="AD34" s="20">
        <f t="shared" si="111"/>
        <v>2.2909999999999999</v>
      </c>
      <c r="AE34" s="20">
        <f t="shared" si="111"/>
        <v>4.2859999999999996</v>
      </c>
      <c r="AF34" s="20">
        <f t="shared" si="111"/>
        <v>10.09</v>
      </c>
      <c r="AG34" s="20">
        <f t="shared" si="111"/>
        <v>10.23</v>
      </c>
      <c r="AH34" s="20">
        <f t="shared" si="111"/>
        <v>8.9990000000000006</v>
      </c>
      <c r="AI34" s="20">
        <f t="shared" si="111"/>
        <v>10.87</v>
      </c>
      <c r="AJ34" s="20">
        <f t="shared" si="111"/>
        <v>14.821</v>
      </c>
      <c r="AK34" s="20">
        <f t="shared" si="111"/>
        <v>13.218</v>
      </c>
      <c r="AL34" s="20">
        <f t="shared" si="111"/>
        <v>12.468999999999999</v>
      </c>
      <c r="AM34" s="20">
        <f t="shared" si="111"/>
        <v>12.682</v>
      </c>
      <c r="AN34" s="20">
        <f t="shared" si="111"/>
        <v>15.834</v>
      </c>
      <c r="AO34" s="20">
        <f t="shared" si="111"/>
        <v>15.773999999999999</v>
      </c>
      <c r="AP34" s="20">
        <f t="shared" si="111"/>
        <v>18.172000000000001</v>
      </c>
      <c r="AQ34" s="20">
        <f t="shared" si="111"/>
        <v>18.681999999999999</v>
      </c>
      <c r="AR34" s="20">
        <f t="shared" si="111"/>
        <v>22.128</v>
      </c>
      <c r="AS34" s="20">
        <f t="shared" si="111"/>
        <v>23.445</v>
      </c>
      <c r="AT34" s="20">
        <f t="shared" si="111"/>
        <v>24.021000000000001</v>
      </c>
      <c r="AU34" s="20">
        <f t="shared" si="111"/>
        <v>22.922000000000001</v>
      </c>
      <c r="AV34" s="20">
        <f t="shared" si="111"/>
        <v>25.696000000000002</v>
      </c>
      <c r="AW34" s="20">
        <f t="shared" si="111"/>
        <v>27.169</v>
      </c>
      <c r="AX34" s="20">
        <f t="shared" si="111"/>
        <v>26.254000000000001</v>
      </c>
      <c r="AY34" s="20">
        <f t="shared" si="111"/>
        <v>28.085999999999999</v>
      </c>
      <c r="AZ34" s="20">
        <f t="shared" si="111"/>
        <v>35.57</v>
      </c>
      <c r="BA34" s="20">
        <f t="shared" si="111"/>
        <v>44.488</v>
      </c>
      <c r="BB34" s="20">
        <f t="shared" si="111"/>
        <v>63.445999999999998</v>
      </c>
      <c r="BC34" s="20">
        <f t="shared" si="111"/>
        <v>71.463999999999999</v>
      </c>
      <c r="BD34" s="20">
        <f ca="1">SUM(T34:W34)</f>
        <v>95.768173765569131</v>
      </c>
      <c r="BE34" s="20">
        <f t="shared" ref="BE34:BE35" ca="1" si="112">+SUM(X34:AA34)</f>
        <v>115.48175774055795</v>
      </c>
      <c r="BF34" s="2"/>
      <c r="BG34" s="2"/>
      <c r="BH34" s="2"/>
      <c r="BI34" s="2"/>
      <c r="BJ34" s="2"/>
      <c r="BK34" s="2"/>
    </row>
    <row r="35" spans="1:63" ht="11.25" customHeight="1">
      <c r="A35" s="2"/>
      <c r="B35" s="13" t="s">
        <v>19</v>
      </c>
      <c r="C35" s="2"/>
      <c r="D35" s="21">
        <f>-D308</f>
        <v>-6.8000000000000005E-2</v>
      </c>
      <c r="E35" s="21">
        <f t="shared" ref="E35:U35" si="113">-E308</f>
        <v>8.0000000000000002E-3</v>
      </c>
      <c r="F35" s="21">
        <f t="shared" si="113"/>
        <v>-0.44500000000000001</v>
      </c>
      <c r="G35" s="21">
        <f t="shared" si="113"/>
        <v>-0.20499999999999999</v>
      </c>
      <c r="H35" s="21">
        <f t="shared" si="113"/>
        <v>0.189</v>
      </c>
      <c r="I35" s="21">
        <f t="shared" si="113"/>
        <v>-5.2999999999999999E-2</v>
      </c>
      <c r="J35" s="21">
        <f t="shared" si="113"/>
        <v>9.1999999999999998E-2</v>
      </c>
      <c r="K35" s="21">
        <f t="shared" si="113"/>
        <v>0.105</v>
      </c>
      <c r="L35" s="21">
        <f t="shared" si="113"/>
        <v>0.80200000000000005</v>
      </c>
      <c r="M35" s="21">
        <f t="shared" si="113"/>
        <v>-3.1E-2</v>
      </c>
      <c r="N35" s="21">
        <f t="shared" si="113"/>
        <v>-1.0999999999999999E-2</v>
      </c>
      <c r="O35" s="21">
        <f t="shared" si="113"/>
        <v>-0.39200000000000002</v>
      </c>
      <c r="P35" s="21">
        <f t="shared" si="113"/>
        <v>-4.7E-2</v>
      </c>
      <c r="Q35" s="21">
        <f t="shared" si="113"/>
        <v>4.7E-2</v>
      </c>
      <c r="R35" s="21">
        <f t="shared" si="113"/>
        <v>-0.13100000000000001</v>
      </c>
      <c r="S35" s="21">
        <f t="shared" si="113"/>
        <v>-5.8000000000000003E-2</v>
      </c>
      <c r="T35" s="21">
        <f t="shared" si="113"/>
        <v>0.13</v>
      </c>
      <c r="U35" s="21">
        <f t="shared" si="113"/>
        <v>1.2729999999999999</v>
      </c>
      <c r="V35" s="21">
        <f t="shared" ref="V35" si="114">-V308</f>
        <v>-0.499</v>
      </c>
      <c r="W35" s="166">
        <v>0</v>
      </c>
      <c r="X35" s="166">
        <v>0</v>
      </c>
      <c r="Y35" s="166">
        <v>0</v>
      </c>
      <c r="Z35" s="166">
        <v>0</v>
      </c>
      <c r="AA35" s="166">
        <v>0</v>
      </c>
      <c r="AB35" s="2"/>
      <c r="AC35" s="21">
        <f t="shared" ref="AC35:BC35" si="115">-AC308</f>
        <v>0</v>
      </c>
      <c r="AD35" s="21">
        <f t="shared" si="115"/>
        <v>0</v>
      </c>
      <c r="AE35" s="21">
        <f t="shared" si="115"/>
        <v>0</v>
      </c>
      <c r="AF35" s="21">
        <f t="shared" si="115"/>
        <v>0</v>
      </c>
      <c r="AG35" s="21">
        <f t="shared" si="115"/>
        <v>0</v>
      </c>
      <c r="AH35" s="21">
        <f t="shared" si="115"/>
        <v>0</v>
      </c>
      <c r="AI35" s="21">
        <f t="shared" si="115"/>
        <v>0</v>
      </c>
      <c r="AJ35" s="21">
        <f t="shared" si="115"/>
        <v>0</v>
      </c>
      <c r="AK35" s="21">
        <f t="shared" si="115"/>
        <v>0</v>
      </c>
      <c r="AL35" s="21">
        <f t="shared" si="115"/>
        <v>0</v>
      </c>
      <c r="AM35" s="21">
        <f t="shared" si="115"/>
        <v>0</v>
      </c>
      <c r="AN35" s="21">
        <f t="shared" si="115"/>
        <v>0</v>
      </c>
      <c r="AO35" s="21">
        <f t="shared" si="115"/>
        <v>0</v>
      </c>
      <c r="AP35" s="21">
        <f t="shared" si="115"/>
        <v>0</v>
      </c>
      <c r="AQ35" s="21">
        <f t="shared" si="115"/>
        <v>0</v>
      </c>
      <c r="AR35" s="21">
        <f t="shared" si="115"/>
        <v>0.44900000000000001</v>
      </c>
      <c r="AS35" s="21">
        <f t="shared" si="115"/>
        <v>-4.7E-2</v>
      </c>
      <c r="AT35" s="21">
        <f t="shared" si="115"/>
        <v>1.002</v>
      </c>
      <c r="AU35" s="21">
        <f t="shared" si="115"/>
        <v>1.88</v>
      </c>
      <c r="AV35" s="21">
        <f t="shared" si="115"/>
        <v>-0.03</v>
      </c>
      <c r="AW35" s="21">
        <f t="shared" si="115"/>
        <v>1.365</v>
      </c>
      <c r="AX35" s="21">
        <f t="shared" si="115"/>
        <v>2.101</v>
      </c>
      <c r="AY35" s="21">
        <f t="shared" si="115"/>
        <v>0.496</v>
      </c>
      <c r="AZ35" s="21">
        <f t="shared" si="115"/>
        <v>-0.71</v>
      </c>
      <c r="BA35" s="21">
        <f t="shared" si="115"/>
        <v>0.33300000000000002</v>
      </c>
      <c r="BB35" s="21">
        <f t="shared" si="115"/>
        <v>0.36799999999999999</v>
      </c>
      <c r="BC35" s="21">
        <f t="shared" si="115"/>
        <v>-0.189</v>
      </c>
      <c r="BD35" s="21">
        <f>SUM(T35:W35)</f>
        <v>0.90400000000000003</v>
      </c>
      <c r="BE35" s="21">
        <f t="shared" si="112"/>
        <v>0</v>
      </c>
      <c r="BF35" s="2"/>
      <c r="BG35" s="2"/>
      <c r="BH35" s="2"/>
      <c r="BI35" s="2"/>
      <c r="BJ35" s="2"/>
      <c r="BK35" s="2"/>
    </row>
    <row r="36" spans="1:63" ht="11.25" customHeight="1">
      <c r="A36" s="2"/>
      <c r="B36" s="627" t="s">
        <v>968</v>
      </c>
      <c r="C36" s="2"/>
      <c r="D36" s="20">
        <f>SUM(D33:D35)</f>
        <v>32.255000000000003</v>
      </c>
      <c r="E36" s="20">
        <f t="shared" ref="E36:W36" si="116">SUM(E33:E35)</f>
        <v>33.529000000000003</v>
      </c>
      <c r="F36" s="20">
        <f t="shared" si="116"/>
        <v>40.446000000000005</v>
      </c>
      <c r="G36" s="20">
        <f t="shared" si="116"/>
        <v>38.116</v>
      </c>
      <c r="H36" s="20">
        <f t="shared" si="116"/>
        <v>39.301000000000002</v>
      </c>
      <c r="I36" s="20">
        <f t="shared" si="116"/>
        <v>40.53</v>
      </c>
      <c r="J36" s="20">
        <f t="shared" si="116"/>
        <v>41.741999999999997</v>
      </c>
      <c r="K36" s="20">
        <f t="shared" si="116"/>
        <v>47.982999999999997</v>
      </c>
      <c r="L36" s="20">
        <f t="shared" si="116"/>
        <v>49.413000000000004</v>
      </c>
      <c r="M36" s="20">
        <f t="shared" si="116"/>
        <v>53.344000000000001</v>
      </c>
      <c r="N36" s="20">
        <f t="shared" si="116"/>
        <v>60.17499999999999</v>
      </c>
      <c r="O36" s="20">
        <f t="shared" si="116"/>
        <v>64.144000000000005</v>
      </c>
      <c r="P36" s="20">
        <f t="shared" si="116"/>
        <v>55.262</v>
      </c>
      <c r="Q36" s="20">
        <f t="shared" si="116"/>
        <v>58.241999999999997</v>
      </c>
      <c r="R36" s="20">
        <f t="shared" si="116"/>
        <v>68.578000000000003</v>
      </c>
      <c r="S36" s="20">
        <f t="shared" si="116"/>
        <v>71.562999999999988</v>
      </c>
      <c r="T36" s="20">
        <f t="shared" si="116"/>
        <v>65.486999999999995</v>
      </c>
      <c r="U36" s="20">
        <f t="shared" si="116"/>
        <v>71.568999999999988</v>
      </c>
      <c r="V36" s="20">
        <f t="shared" ref="V36" si="117">SUM(V33:V35)</f>
        <v>78.579000000000008</v>
      </c>
      <c r="W36" s="20">
        <f t="shared" ca="1" si="116"/>
        <v>90.420099857992568</v>
      </c>
      <c r="X36" s="20">
        <f t="shared" ref="X36:AA36" si="118">SUM(X33:X35)</f>
        <v>84.007315491750006</v>
      </c>
      <c r="Y36" s="20">
        <f t="shared" si="118"/>
        <v>84.862282301999983</v>
      </c>
      <c r="Z36" s="20">
        <f t="shared" si="118"/>
        <v>95.721192000000002</v>
      </c>
      <c r="AA36" s="20">
        <f t="shared" ca="1" si="118"/>
        <v>108.50411982959108</v>
      </c>
      <c r="AB36" s="2"/>
      <c r="AC36" s="20">
        <f>SUM(AC33:AC35)</f>
        <v>6.157</v>
      </c>
      <c r="AD36" s="20">
        <f t="shared" ref="AD36:BD36" si="119">SUM(AD33:AD35)</f>
        <v>5.5369999999999999</v>
      </c>
      <c r="AE36" s="20">
        <f t="shared" si="119"/>
        <v>6.6769999999999996</v>
      </c>
      <c r="AF36" s="20">
        <f t="shared" si="119"/>
        <v>15.221</v>
      </c>
      <c r="AG36" s="20">
        <f t="shared" si="119"/>
        <v>20.878999999999998</v>
      </c>
      <c r="AH36" s="20">
        <f t="shared" si="119"/>
        <v>20.724</v>
      </c>
      <c r="AI36" s="20">
        <f t="shared" si="119"/>
        <v>23.582999999999998</v>
      </c>
      <c r="AJ36" s="20">
        <f t="shared" si="119"/>
        <v>27.337</v>
      </c>
      <c r="AK36" s="20">
        <f t="shared" si="119"/>
        <v>27.234999999999999</v>
      </c>
      <c r="AL36" s="20">
        <f t="shared" si="119"/>
        <v>28.545000000000002</v>
      </c>
      <c r="AM36" s="20">
        <f t="shared" si="119"/>
        <v>30.628</v>
      </c>
      <c r="AN36" s="20">
        <f t="shared" si="119"/>
        <v>37.314999999999998</v>
      </c>
      <c r="AO36" s="20">
        <f t="shared" si="119"/>
        <v>37.366999999999997</v>
      </c>
      <c r="AP36" s="20">
        <f t="shared" si="119"/>
        <v>47.879000000000005</v>
      </c>
      <c r="AQ36" s="20">
        <f t="shared" si="119"/>
        <v>52.512</v>
      </c>
      <c r="AR36" s="20">
        <f t="shared" si="119"/>
        <v>62.96</v>
      </c>
      <c r="AS36" s="20">
        <f t="shared" si="119"/>
        <v>71.516000000000005</v>
      </c>
      <c r="AT36" s="20">
        <f t="shared" si="119"/>
        <v>81.85199999999999</v>
      </c>
      <c r="AU36" s="20">
        <f t="shared" si="119"/>
        <v>90.346999999999994</v>
      </c>
      <c r="AV36" s="20">
        <f t="shared" si="119"/>
        <v>96.873999999999995</v>
      </c>
      <c r="AW36" s="20">
        <f t="shared" si="119"/>
        <v>109.267</v>
      </c>
      <c r="AX36" s="20">
        <f t="shared" si="119"/>
        <v>114.25</v>
      </c>
      <c r="AY36" s="20">
        <f t="shared" si="119"/>
        <v>120.00099999999999</v>
      </c>
      <c r="AZ36" s="20">
        <f t="shared" si="119"/>
        <v>144.346</v>
      </c>
      <c r="BA36" s="20">
        <f t="shared" si="119"/>
        <v>169.55600000000001</v>
      </c>
      <c r="BB36" s="20">
        <f t="shared" si="119"/>
        <v>227.07599999999999</v>
      </c>
      <c r="BC36" s="20">
        <f t="shared" si="119"/>
        <v>253.64500000000001</v>
      </c>
      <c r="BD36" s="20">
        <f t="shared" ca="1" si="119"/>
        <v>306.05509985799256</v>
      </c>
      <c r="BE36" s="20">
        <f ca="1">+SUM(X36:AA36)</f>
        <v>373.0949096233411</v>
      </c>
      <c r="BF36" s="2"/>
      <c r="BG36" s="2"/>
      <c r="BH36" s="2"/>
      <c r="BI36" s="2"/>
      <c r="BJ36" s="2"/>
      <c r="BK36" s="2"/>
    </row>
    <row r="37" spans="1:63" ht="11.25" customHeight="1">
      <c r="A37" s="2"/>
      <c r="B37" s="13"/>
      <c r="C37" s="2"/>
      <c r="D37" s="20"/>
      <c r="E37" s="20"/>
      <c r="F37" s="20"/>
      <c r="G37" s="20"/>
      <c r="H37" s="20"/>
      <c r="I37" s="20"/>
      <c r="J37" s="20"/>
      <c r="K37" s="20"/>
      <c r="L37" s="20"/>
      <c r="M37" s="20"/>
      <c r="N37" s="20"/>
      <c r="O37" s="20"/>
      <c r="P37" s="20"/>
      <c r="Q37" s="20"/>
      <c r="R37" s="20"/>
      <c r="S37" s="20"/>
      <c r="T37" s="20"/>
      <c r="U37" s="20"/>
      <c r="V37" s="217"/>
      <c r="W37" s="217"/>
      <c r="X37" s="217"/>
      <c r="Y37" s="217"/>
      <c r="Z37" s="217"/>
      <c r="AA37" s="217"/>
      <c r="AB37" s="2"/>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
      <c r="BG37" s="2"/>
      <c r="BH37" s="2"/>
      <c r="BI37" s="2"/>
      <c r="BJ37" s="2"/>
      <c r="BK37" s="2"/>
    </row>
    <row r="38" spans="1:63" ht="11.25" customHeight="1">
      <c r="A38" s="2"/>
      <c r="B38" s="94" t="s">
        <v>249</v>
      </c>
      <c r="C38" s="2"/>
      <c r="D38" s="20"/>
      <c r="E38" s="20"/>
      <c r="F38" s="20"/>
      <c r="G38" s="20"/>
      <c r="H38" s="20"/>
      <c r="I38" s="20"/>
      <c r="J38" s="20"/>
      <c r="K38" s="20"/>
      <c r="L38" s="20"/>
      <c r="M38" s="20"/>
      <c r="N38" s="20"/>
      <c r="O38" s="20"/>
      <c r="P38" s="20"/>
      <c r="Q38" s="20"/>
      <c r="R38" s="20"/>
      <c r="S38" s="20"/>
      <c r="T38" s="20"/>
      <c r="U38" s="20"/>
      <c r="V38" s="217"/>
      <c r="W38" s="217"/>
      <c r="X38" s="217"/>
      <c r="Y38" s="217"/>
      <c r="Z38" s="217"/>
      <c r="AA38" s="217"/>
      <c r="AB38" s="2"/>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
      <c r="BG38" s="2"/>
      <c r="BH38" s="2"/>
      <c r="BI38" s="2"/>
      <c r="BJ38" s="2"/>
      <c r="BK38" s="2"/>
    </row>
    <row r="39" spans="1:63" ht="11.25" customHeight="1">
      <c r="A39" s="2"/>
      <c r="B39" s="9" t="s">
        <v>251</v>
      </c>
      <c r="C39" s="2"/>
      <c r="D39" s="20"/>
      <c r="E39" s="20"/>
      <c r="F39" s="20"/>
      <c r="G39" s="20"/>
      <c r="H39" s="120">
        <f>IFERROR(H33/D33-1,"n/a")</f>
        <v>0.23176739156554116</v>
      </c>
      <c r="I39" s="120">
        <f t="shared" ref="I39:W42" si="120">IFERROR(I33/E33-1,"n/a")</f>
        <v>0.24026834853171564</v>
      </c>
      <c r="J39" s="120">
        <f t="shared" si="120"/>
        <v>3.9819431343484757E-2</v>
      </c>
      <c r="K39" s="120">
        <f t="shared" si="120"/>
        <v>7.6786907147628369E-2</v>
      </c>
      <c r="L39" s="120">
        <f t="shared" si="120"/>
        <v>0.17206398751463126</v>
      </c>
      <c r="M39" s="120">
        <f t="shared" si="120"/>
        <v>0.28425212152620327</v>
      </c>
      <c r="N39" s="120">
        <f t="shared" si="120"/>
        <v>0.39237348538845329</v>
      </c>
      <c r="O39" s="120">
        <f t="shared" si="120"/>
        <v>0.38301436148763934</v>
      </c>
      <c r="P39" s="120">
        <f t="shared" si="120"/>
        <v>8.6246116289391717E-2</v>
      </c>
      <c r="Q39" s="120">
        <f t="shared" si="120"/>
        <v>5.0819672131147575E-2</v>
      </c>
      <c r="R39" s="120">
        <f t="shared" si="120"/>
        <v>0.18989226795727943</v>
      </c>
      <c r="S39" s="120">
        <f t="shared" si="120"/>
        <v>0.13059860497454401</v>
      </c>
      <c r="T39" s="120">
        <f t="shared" si="120"/>
        <v>0.17754169114079232</v>
      </c>
      <c r="U39" s="120">
        <f t="shared" si="120"/>
        <v>0.15343813752550095</v>
      </c>
      <c r="V39" s="120">
        <f t="shared" si="120"/>
        <v>3.2167859517384434E-2</v>
      </c>
      <c r="W39" s="120">
        <f t="shared" ca="1" si="120"/>
        <v>0.23850279889750925</v>
      </c>
      <c r="X39" s="120">
        <f t="shared" ref="X39:X42" si="121">IFERROR(X33/T33-1,"n/a")</f>
        <v>0.25799846391973369</v>
      </c>
      <c r="Y39" s="120">
        <f t="shared" ref="Y39:Y42" si="122">IFERROR(Y33/U33-1,"n/a")</f>
        <v>0.21926391857755179</v>
      </c>
      <c r="Z39" s="120">
        <f t="shared" ref="Z39:Z42" si="123">IFERROR(Z33/V33-1,"n/a")</f>
        <v>0.25216838754902149</v>
      </c>
      <c r="AA39" s="120">
        <f t="shared" ref="AA39:AA42" ca="1" si="124">IFERROR(AA33/W33-1,"n/a")</f>
        <v>0.19999999999999996</v>
      </c>
      <c r="AB39" s="2"/>
      <c r="AC39" s="20"/>
      <c r="AD39" s="120">
        <f>IFERROR(AD33/AC33-1,"n/a")</f>
        <v>0.29529130087789324</v>
      </c>
      <c r="AE39" s="120">
        <f t="shared" ref="AE39:BE42" si="125">IFERROR(AE33/AD33-1,"n/a")</f>
        <v>-0.2634011090573013</v>
      </c>
      <c r="AF39" s="120">
        <f t="shared" si="125"/>
        <v>1.1459640317858639</v>
      </c>
      <c r="AG39" s="120">
        <f t="shared" si="125"/>
        <v>1.0754238939777818</v>
      </c>
      <c r="AH39" s="120">
        <f t="shared" si="125"/>
        <v>0.10104235139449713</v>
      </c>
      <c r="AI39" s="120">
        <f t="shared" si="125"/>
        <v>8.4264392324093773E-2</v>
      </c>
      <c r="AJ39" s="120">
        <f t="shared" si="125"/>
        <v>-1.5495949028553335E-2</v>
      </c>
      <c r="AK39" s="120">
        <f t="shared" si="125"/>
        <v>0.11992649408756795</v>
      </c>
      <c r="AL39" s="120">
        <f t="shared" si="125"/>
        <v>0.14689305842905043</v>
      </c>
      <c r="AM39" s="120">
        <f t="shared" si="125"/>
        <v>0.11632246827569048</v>
      </c>
      <c r="AN39" s="120">
        <f t="shared" si="125"/>
        <v>0.19697982837401096</v>
      </c>
      <c r="AO39" s="120">
        <f t="shared" si="125"/>
        <v>5.2139099669474831E-3</v>
      </c>
      <c r="AP39" s="120">
        <f t="shared" si="125"/>
        <v>0.37576992543879961</v>
      </c>
      <c r="AQ39" s="120">
        <f t="shared" si="125"/>
        <v>0.13878883764769245</v>
      </c>
      <c r="AR39" s="120">
        <f t="shared" si="125"/>
        <v>0.19370381318356511</v>
      </c>
      <c r="AS39" s="120">
        <f t="shared" si="125"/>
        <v>0.19154099497313215</v>
      </c>
      <c r="AT39" s="120">
        <f t="shared" si="125"/>
        <v>0.18103412444407496</v>
      </c>
      <c r="AU39" s="120">
        <f t="shared" si="125"/>
        <v>0.15337239789544066</v>
      </c>
      <c r="AV39" s="120">
        <f t="shared" si="125"/>
        <v>8.6398657410938995E-2</v>
      </c>
      <c r="AW39" s="120">
        <f t="shared" si="125"/>
        <v>0.13376306033029994</v>
      </c>
      <c r="AX39" s="120">
        <f t="shared" si="125"/>
        <v>6.3939157469683927E-2</v>
      </c>
      <c r="AY39" s="120">
        <f t="shared" si="125"/>
        <v>6.4311077478316658E-2</v>
      </c>
      <c r="AZ39" s="120">
        <f t="shared" si="125"/>
        <v>0.19762850173377533</v>
      </c>
      <c r="BA39" s="120">
        <f t="shared" si="125"/>
        <v>0.13927808121586316</v>
      </c>
      <c r="BB39" s="120">
        <f t="shared" si="125"/>
        <v>0.3088708061089509</v>
      </c>
      <c r="BC39" s="120">
        <f t="shared" si="125"/>
        <v>0.11703887003711833</v>
      </c>
      <c r="BD39" s="120">
        <f t="shared" ca="1" si="125"/>
        <v>0.14812154462040583</v>
      </c>
      <c r="BE39" s="120">
        <f t="shared" ca="1" si="125"/>
        <v>0.23034459729094836</v>
      </c>
      <c r="BF39" s="2"/>
      <c r="BG39" s="2"/>
      <c r="BH39" s="2"/>
      <c r="BI39" s="2"/>
      <c r="BJ39" s="2"/>
      <c r="BK39" s="2"/>
    </row>
    <row r="40" spans="1:63" ht="11.25" customHeight="1">
      <c r="A40" s="2"/>
      <c r="B40" s="9" t="s">
        <v>252</v>
      </c>
      <c r="C40" s="2"/>
      <c r="D40" s="20"/>
      <c r="E40" s="20"/>
      <c r="F40" s="20"/>
      <c r="G40" s="20"/>
      <c r="H40" s="120">
        <f t="shared" ref="H40:H42" si="126">IFERROR(H34/D34-1,"n/a")</f>
        <v>0.13625237965732939</v>
      </c>
      <c r="I40" s="120">
        <f t="shared" si="120"/>
        <v>0.12528975428836331</v>
      </c>
      <c r="J40" s="120">
        <f t="shared" si="120"/>
        <v>-3.7744266975997198E-2</v>
      </c>
      <c r="K40" s="120">
        <f t="shared" si="120"/>
        <v>0.86600644314520925</v>
      </c>
      <c r="L40" s="120">
        <f t="shared" si="120"/>
        <v>0.50347056007659186</v>
      </c>
      <c r="M40" s="120">
        <f t="shared" si="120"/>
        <v>0.41363683180554123</v>
      </c>
      <c r="N40" s="120">
        <f t="shared" si="120"/>
        <v>0.59579005934718077</v>
      </c>
      <c r="O40" s="120">
        <f t="shared" si="120"/>
        <v>0.27559306861052502</v>
      </c>
      <c r="P40" s="120">
        <f t="shared" si="120"/>
        <v>0.28568017193345541</v>
      </c>
      <c r="Q40" s="120">
        <f t="shared" si="120"/>
        <v>0.2043715846994536</v>
      </c>
      <c r="R40" s="120">
        <f t="shared" si="120"/>
        <v>2.1035504677785033E-2</v>
      </c>
      <c r="S40" s="120">
        <f t="shared" si="120"/>
        <v>6.3261316356709507E-2</v>
      </c>
      <c r="T40" s="120">
        <f t="shared" si="120"/>
        <v>0.19167904903417532</v>
      </c>
      <c r="U40" s="120">
        <f t="shared" si="120"/>
        <v>0.34531155474894115</v>
      </c>
      <c r="V40" s="120">
        <f t="shared" si="120"/>
        <v>0.49649991463206411</v>
      </c>
      <c r="W40" s="120">
        <f t="shared" ca="1" si="120"/>
        <v>0.31946507781665789</v>
      </c>
      <c r="X40" s="120">
        <f t="shared" si="121"/>
        <v>0.35090733161237564</v>
      </c>
      <c r="Y40" s="120">
        <f t="shared" si="122"/>
        <v>0.18117172870761733</v>
      </c>
      <c r="Z40" s="120">
        <f t="shared" si="123"/>
        <v>0.12675367940673121</v>
      </c>
      <c r="AA40" s="120">
        <f t="shared" ca="1" si="124"/>
        <v>0.19999999999999996</v>
      </c>
      <c r="AB40" s="2"/>
      <c r="AC40" s="20"/>
      <c r="AD40" s="120">
        <f t="shared" ref="AD40:AS42" si="127">IFERROR(AD34/AC34-1,"n/a")</f>
        <v>-0.37250068474390574</v>
      </c>
      <c r="AE40" s="120">
        <f t="shared" si="127"/>
        <v>0.87079877782627668</v>
      </c>
      <c r="AF40" s="120">
        <f t="shared" si="127"/>
        <v>1.3541763882407842</v>
      </c>
      <c r="AG40" s="120">
        <f t="shared" si="127"/>
        <v>1.3875123885034757E-2</v>
      </c>
      <c r="AH40" s="120">
        <f t="shared" si="127"/>
        <v>-0.12033235581622681</v>
      </c>
      <c r="AI40" s="120">
        <f t="shared" si="127"/>
        <v>0.20791199022113549</v>
      </c>
      <c r="AJ40" s="120">
        <f t="shared" si="127"/>
        <v>0.36347746090156408</v>
      </c>
      <c r="AK40" s="120">
        <f t="shared" si="127"/>
        <v>-0.10815734430875112</v>
      </c>
      <c r="AL40" s="120">
        <f t="shared" si="127"/>
        <v>-5.6665153578453697E-2</v>
      </c>
      <c r="AM40" s="120">
        <f t="shared" si="127"/>
        <v>1.7082364263373284E-2</v>
      </c>
      <c r="AN40" s="120">
        <f t="shared" si="127"/>
        <v>0.24854123955212115</v>
      </c>
      <c r="AO40" s="120">
        <f t="shared" si="127"/>
        <v>-3.7893141341417413E-3</v>
      </c>
      <c r="AP40" s="120">
        <f t="shared" si="127"/>
        <v>0.15202231520223153</v>
      </c>
      <c r="AQ40" s="120">
        <f t="shared" si="127"/>
        <v>2.8065155183799151E-2</v>
      </c>
      <c r="AR40" s="120">
        <f t="shared" si="127"/>
        <v>0.1844556257360026</v>
      </c>
      <c r="AS40" s="120">
        <f t="shared" si="127"/>
        <v>5.9517353579175758E-2</v>
      </c>
      <c r="AT40" s="120">
        <f t="shared" si="125"/>
        <v>2.4568138195777411E-2</v>
      </c>
      <c r="AU40" s="120">
        <f t="shared" si="125"/>
        <v>-4.5751633986928164E-2</v>
      </c>
      <c r="AV40" s="120">
        <f t="shared" si="125"/>
        <v>0.12101910828025475</v>
      </c>
      <c r="AW40" s="120">
        <f t="shared" si="125"/>
        <v>5.7324097135740937E-2</v>
      </c>
      <c r="AX40" s="120">
        <f t="shared" si="125"/>
        <v>-3.3678088998490896E-2</v>
      </c>
      <c r="AY40" s="120">
        <f t="shared" si="125"/>
        <v>6.9779843071531955E-2</v>
      </c>
      <c r="AZ40" s="120">
        <f t="shared" si="125"/>
        <v>0.26646727907142354</v>
      </c>
      <c r="BA40" s="120">
        <f t="shared" si="125"/>
        <v>0.25071689626089388</v>
      </c>
      <c r="BB40" s="120">
        <f t="shared" si="125"/>
        <v>0.42613738536234491</v>
      </c>
      <c r="BC40" s="120">
        <f t="shared" si="125"/>
        <v>0.12637518519686042</v>
      </c>
      <c r="BD40" s="120">
        <f t="shared" ca="1" si="125"/>
        <v>0.34008974820285931</v>
      </c>
      <c r="BE40" s="120">
        <f t="shared" ca="1" si="125"/>
        <v>0.20584692387729664</v>
      </c>
      <c r="BF40" s="2"/>
      <c r="BG40" s="2"/>
      <c r="BH40" s="2"/>
      <c r="BI40" s="2"/>
      <c r="BJ40" s="2"/>
      <c r="BK40" s="2"/>
    </row>
    <row r="41" spans="1:63" ht="11.25" customHeight="1">
      <c r="A41" s="2"/>
      <c r="B41" s="9" t="s">
        <v>19</v>
      </c>
      <c r="C41" s="2"/>
      <c r="D41" s="20"/>
      <c r="E41" s="20"/>
      <c r="F41" s="20"/>
      <c r="G41" s="20"/>
      <c r="H41" s="229">
        <f t="shared" si="126"/>
        <v>-3.7794117647058822</v>
      </c>
      <c r="I41" s="229">
        <f t="shared" si="120"/>
        <v>-7.625</v>
      </c>
      <c r="J41" s="229">
        <f t="shared" si="120"/>
        <v>-1.2067415730337079</v>
      </c>
      <c r="K41" s="229">
        <f t="shared" si="120"/>
        <v>-1.5121951219512195</v>
      </c>
      <c r="L41" s="229">
        <f t="shared" si="120"/>
        <v>3.2433862433862437</v>
      </c>
      <c r="M41" s="229">
        <f t="shared" si="120"/>
        <v>-0.41509433962264153</v>
      </c>
      <c r="N41" s="229">
        <f t="shared" si="120"/>
        <v>-1.1195652173913044</v>
      </c>
      <c r="O41" s="229">
        <f t="shared" si="120"/>
        <v>-4.7333333333333343</v>
      </c>
      <c r="P41" s="229">
        <f t="shared" si="120"/>
        <v>-1.0586034912718205</v>
      </c>
      <c r="Q41" s="229">
        <f t="shared" si="120"/>
        <v>-2.5161290322580645</v>
      </c>
      <c r="R41" s="229">
        <f t="shared" si="120"/>
        <v>10.90909090909091</v>
      </c>
      <c r="S41" s="229">
        <f t="shared" si="120"/>
        <v>-0.85204081632653061</v>
      </c>
      <c r="T41" s="229">
        <f t="shared" si="120"/>
        <v>-3.7659574468085109</v>
      </c>
      <c r="U41" s="229">
        <f t="shared" si="120"/>
        <v>26.085106382978722</v>
      </c>
      <c r="V41" s="229">
        <f t="shared" si="120"/>
        <v>2.8091603053435112</v>
      </c>
      <c r="W41" s="229">
        <f t="shared" si="120"/>
        <v>-1</v>
      </c>
      <c r="X41" s="229">
        <f t="shared" si="121"/>
        <v>-1</v>
      </c>
      <c r="Y41" s="229">
        <f t="shared" si="122"/>
        <v>-1</v>
      </c>
      <c r="Z41" s="229">
        <f t="shared" si="123"/>
        <v>-1</v>
      </c>
      <c r="AA41" s="229" t="str">
        <f t="shared" si="124"/>
        <v>n/a</v>
      </c>
      <c r="AB41" s="2"/>
      <c r="AC41" s="20"/>
      <c r="AD41" s="350" t="str">
        <f t="shared" si="127"/>
        <v>n/a</v>
      </c>
      <c r="AE41" s="350" t="str">
        <f t="shared" si="125"/>
        <v>n/a</v>
      </c>
      <c r="AF41" s="350" t="str">
        <f t="shared" si="125"/>
        <v>n/a</v>
      </c>
      <c r="AG41" s="350" t="str">
        <f t="shared" si="125"/>
        <v>n/a</v>
      </c>
      <c r="AH41" s="350" t="str">
        <f t="shared" si="125"/>
        <v>n/a</v>
      </c>
      <c r="AI41" s="350" t="str">
        <f t="shared" si="125"/>
        <v>n/a</v>
      </c>
      <c r="AJ41" s="350" t="str">
        <f t="shared" si="125"/>
        <v>n/a</v>
      </c>
      <c r="AK41" s="350" t="str">
        <f t="shared" si="125"/>
        <v>n/a</v>
      </c>
      <c r="AL41" s="350" t="str">
        <f t="shared" si="125"/>
        <v>n/a</v>
      </c>
      <c r="AM41" s="350" t="str">
        <f t="shared" si="125"/>
        <v>n/a</v>
      </c>
      <c r="AN41" s="350" t="str">
        <f t="shared" si="125"/>
        <v>n/a</v>
      </c>
      <c r="AO41" s="350" t="str">
        <f t="shared" si="125"/>
        <v>n/a</v>
      </c>
      <c r="AP41" s="350" t="str">
        <f t="shared" si="125"/>
        <v>n/a</v>
      </c>
      <c r="AQ41" s="350" t="str">
        <f t="shared" si="125"/>
        <v>n/a</v>
      </c>
      <c r="AR41" s="350" t="str">
        <f t="shared" si="125"/>
        <v>n/a</v>
      </c>
      <c r="AS41" s="350">
        <f t="shared" si="125"/>
        <v>-1.1046770601336302</v>
      </c>
      <c r="AT41" s="350">
        <f t="shared" si="125"/>
        <v>-22.319148936170212</v>
      </c>
      <c r="AU41" s="350">
        <f t="shared" si="125"/>
        <v>0.8762475049900198</v>
      </c>
      <c r="AV41" s="350">
        <f t="shared" si="125"/>
        <v>-1.0159574468085106</v>
      </c>
      <c r="AW41" s="350">
        <f t="shared" si="125"/>
        <v>-46.5</v>
      </c>
      <c r="AX41" s="350">
        <f t="shared" si="125"/>
        <v>0.53919413919413928</v>
      </c>
      <c r="AY41" s="350">
        <f t="shared" si="125"/>
        <v>-0.76392194193241314</v>
      </c>
      <c r="AZ41" s="350">
        <f t="shared" si="125"/>
        <v>-2.431451612903226</v>
      </c>
      <c r="BA41" s="350">
        <f t="shared" si="125"/>
        <v>-1.4690140845070423</v>
      </c>
      <c r="BB41" s="350">
        <f t="shared" si="125"/>
        <v>0.10510510510510507</v>
      </c>
      <c r="BC41" s="350">
        <f t="shared" si="125"/>
        <v>-1.5135869565217392</v>
      </c>
      <c r="BD41" s="350">
        <f t="shared" si="125"/>
        <v>-5.7830687830687832</v>
      </c>
      <c r="BE41" s="350">
        <f t="shared" si="125"/>
        <v>-1</v>
      </c>
      <c r="BF41" s="2"/>
      <c r="BG41" s="2"/>
      <c r="BH41" s="2"/>
      <c r="BI41" s="2"/>
      <c r="BJ41" s="2"/>
      <c r="BK41" s="2"/>
    </row>
    <row r="42" spans="1:63" ht="11.25" customHeight="1">
      <c r="A42" s="2"/>
      <c r="B42" s="41" t="s">
        <v>968</v>
      </c>
      <c r="C42" s="2"/>
      <c r="D42" s="20"/>
      <c r="E42" s="20"/>
      <c r="F42" s="20"/>
      <c r="G42" s="20"/>
      <c r="H42" s="120">
        <f t="shared" si="126"/>
        <v>0.21844675244148193</v>
      </c>
      <c r="I42" s="120">
        <f t="shared" si="120"/>
        <v>0.2088043186495272</v>
      </c>
      <c r="J42" s="120">
        <f t="shared" si="120"/>
        <v>3.2042723631508396E-2</v>
      </c>
      <c r="K42" s="120">
        <f t="shared" si="120"/>
        <v>0.25886766712141873</v>
      </c>
      <c r="L42" s="120">
        <f t="shared" si="120"/>
        <v>0.25729625200376582</v>
      </c>
      <c r="M42" s="120">
        <f t="shared" si="120"/>
        <v>0.3161608684924746</v>
      </c>
      <c r="N42" s="120">
        <f t="shared" si="120"/>
        <v>0.44159359877341742</v>
      </c>
      <c r="O42" s="120">
        <f t="shared" si="120"/>
        <v>0.33680678573661527</v>
      </c>
      <c r="P42" s="120">
        <f t="shared" si="120"/>
        <v>0.11836965980612391</v>
      </c>
      <c r="Q42" s="120">
        <f t="shared" si="120"/>
        <v>9.1819136172765381E-2</v>
      </c>
      <c r="R42" s="120">
        <f t="shared" si="120"/>
        <v>0.13964270876609919</v>
      </c>
      <c r="S42" s="120">
        <f t="shared" si="120"/>
        <v>0.11566163631828363</v>
      </c>
      <c r="T42" s="120">
        <f t="shared" si="120"/>
        <v>0.18502768629437938</v>
      </c>
      <c r="U42" s="120">
        <f t="shared" si="120"/>
        <v>0.2288211256481576</v>
      </c>
      <c r="V42" s="120">
        <f t="shared" si="120"/>
        <v>0.14583394091399571</v>
      </c>
      <c r="W42" s="120">
        <f t="shared" ca="1" si="120"/>
        <v>0.2635034844541535</v>
      </c>
      <c r="X42" s="120">
        <f t="shared" si="121"/>
        <v>0.28280903830913018</v>
      </c>
      <c r="Y42" s="120">
        <f t="shared" si="122"/>
        <v>0.18574078584303244</v>
      </c>
      <c r="Z42" s="120">
        <f t="shared" si="123"/>
        <v>0.21815233077539786</v>
      </c>
      <c r="AA42" s="120">
        <f t="shared" ca="1" si="124"/>
        <v>0.19999999999999996</v>
      </c>
      <c r="AB42" s="2"/>
      <c r="AC42" s="20"/>
      <c r="AD42" s="120">
        <f t="shared" si="127"/>
        <v>-0.10069839207406206</v>
      </c>
      <c r="AE42" s="120">
        <f t="shared" si="125"/>
        <v>0.2058876648004333</v>
      </c>
      <c r="AF42" s="120">
        <f t="shared" si="125"/>
        <v>1.2796165942788678</v>
      </c>
      <c r="AG42" s="120">
        <f t="shared" si="125"/>
        <v>0.37172327705144204</v>
      </c>
      <c r="AH42" s="120">
        <f t="shared" si="125"/>
        <v>-7.4237271899993962E-3</v>
      </c>
      <c r="AI42" s="120">
        <f t="shared" si="125"/>
        <v>0.13795599305153439</v>
      </c>
      <c r="AJ42" s="120">
        <f t="shared" si="125"/>
        <v>0.15918246194292496</v>
      </c>
      <c r="AK42" s="120">
        <f t="shared" si="125"/>
        <v>-3.7312067893331413E-3</v>
      </c>
      <c r="AL42" s="120">
        <f t="shared" si="125"/>
        <v>4.8099871488892942E-2</v>
      </c>
      <c r="AM42" s="120">
        <f t="shared" si="125"/>
        <v>7.2972499562094839E-2</v>
      </c>
      <c r="AN42" s="120">
        <f t="shared" si="125"/>
        <v>0.21832963301554131</v>
      </c>
      <c r="AO42" s="120">
        <f t="shared" si="125"/>
        <v>1.3935414712582528E-3</v>
      </c>
      <c r="AP42" s="120">
        <f t="shared" si="125"/>
        <v>0.28131774025209433</v>
      </c>
      <c r="AQ42" s="120">
        <f t="shared" si="125"/>
        <v>9.6764761168779634E-2</v>
      </c>
      <c r="AR42" s="120">
        <f t="shared" si="125"/>
        <v>0.19896404631322362</v>
      </c>
      <c r="AS42" s="120">
        <f t="shared" si="125"/>
        <v>0.13589580686149949</v>
      </c>
      <c r="AT42" s="120">
        <f t="shared" si="125"/>
        <v>0.14452709883103054</v>
      </c>
      <c r="AU42" s="120">
        <f t="shared" si="125"/>
        <v>0.10378488002736663</v>
      </c>
      <c r="AV42" s="120">
        <f t="shared" si="125"/>
        <v>7.2243682690072752E-2</v>
      </c>
      <c r="AW42" s="120">
        <f t="shared" si="125"/>
        <v>0.1279290624935483</v>
      </c>
      <c r="AX42" s="120">
        <f t="shared" si="125"/>
        <v>4.5603887724564585E-2</v>
      </c>
      <c r="AY42" s="120">
        <f t="shared" si="125"/>
        <v>5.0336980306345591E-2</v>
      </c>
      <c r="AZ42" s="120">
        <f t="shared" si="125"/>
        <v>0.20287330938908865</v>
      </c>
      <c r="BA42" s="120">
        <f t="shared" si="125"/>
        <v>0.17464979978662387</v>
      </c>
      <c r="BB42" s="120">
        <f t="shared" si="125"/>
        <v>0.33923895350208766</v>
      </c>
      <c r="BC42" s="120">
        <f t="shared" si="125"/>
        <v>0.11700487942362914</v>
      </c>
      <c r="BD42" s="120">
        <f t="shared" ca="1" si="125"/>
        <v>0.20662776659501492</v>
      </c>
      <c r="BE42" s="120">
        <f t="shared" ca="1" si="125"/>
        <v>0.21904490334078575</v>
      </c>
      <c r="BF42" s="2"/>
      <c r="BG42" s="2"/>
      <c r="BH42" s="2"/>
      <c r="BI42" s="2"/>
      <c r="BJ42" s="2"/>
      <c r="BK42" s="2"/>
    </row>
    <row r="43" spans="1:63" ht="11.25" customHeight="1">
      <c r="A43" s="2"/>
      <c r="B43" s="13"/>
      <c r="C43" s="2"/>
      <c r="D43" s="20"/>
      <c r="E43" s="20"/>
      <c r="F43" s="20"/>
      <c r="G43" s="20"/>
      <c r="H43" s="20"/>
      <c r="I43" s="20"/>
      <c r="J43" s="20"/>
      <c r="K43" s="20"/>
      <c r="L43" s="20"/>
      <c r="M43" s="20"/>
      <c r="N43" s="20"/>
      <c r="O43" s="20"/>
      <c r="P43" s="20"/>
      <c r="Q43" s="20"/>
      <c r="R43" s="20"/>
      <c r="S43" s="20"/>
      <c r="T43" s="20"/>
      <c r="U43" s="20"/>
      <c r="V43" s="217"/>
      <c r="W43" s="217"/>
      <c r="X43" s="217"/>
      <c r="Y43" s="217"/>
      <c r="Z43" s="217"/>
      <c r="AA43" s="217"/>
      <c r="AB43" s="2"/>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
      <c r="BG43" s="2"/>
      <c r="BH43" s="2"/>
      <c r="BI43" s="2"/>
      <c r="BJ43" s="2"/>
      <c r="BK43" s="2"/>
    </row>
    <row r="44" spans="1:63" ht="11.25" customHeight="1">
      <c r="A44" s="2"/>
      <c r="B44" s="94" t="s">
        <v>602</v>
      </c>
      <c r="C44" s="2"/>
      <c r="D44" s="20"/>
      <c r="E44" s="20"/>
      <c r="F44" s="20"/>
      <c r="G44" s="20"/>
      <c r="H44" s="20"/>
      <c r="I44" s="20"/>
      <c r="J44" s="20"/>
      <c r="K44" s="20"/>
      <c r="L44" s="20"/>
      <c r="M44" s="20"/>
      <c r="N44" s="20"/>
      <c r="O44" s="20"/>
      <c r="P44" s="20"/>
      <c r="Q44" s="20"/>
      <c r="R44" s="20"/>
      <c r="S44" s="20"/>
      <c r="T44" s="20"/>
      <c r="U44" s="20"/>
      <c r="V44" s="217"/>
      <c r="W44" s="217"/>
      <c r="X44" s="217"/>
      <c r="Y44" s="217"/>
      <c r="Z44" s="217"/>
      <c r="AA44" s="217"/>
      <c r="AB44" s="2"/>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
      <c r="BG44" s="2"/>
      <c r="BH44" s="2"/>
      <c r="BI44" s="2"/>
      <c r="BJ44" s="2"/>
      <c r="BK44" s="2"/>
    </row>
    <row r="45" spans="1:63" ht="11.25" customHeight="1">
      <c r="A45" s="2"/>
      <c r="B45" s="9" t="s">
        <v>251</v>
      </c>
      <c r="C45" s="2"/>
      <c r="D45" s="120">
        <f>+IFERROR(D33/D$16,"n/a")</f>
        <v>8.0390297680194997E-2</v>
      </c>
      <c r="E45" s="120">
        <f t="shared" ref="E45:W48" si="128">+IFERROR(E33/E$16,"n/a")</f>
        <v>8.0093728420394181E-2</v>
      </c>
      <c r="F45" s="120">
        <f t="shared" si="128"/>
        <v>8.3282316695211328E-2</v>
      </c>
      <c r="G45" s="120">
        <f t="shared" si="128"/>
        <v>8.2836916602235397E-2</v>
      </c>
      <c r="H45" s="120">
        <f t="shared" si="128"/>
        <v>8.4865154054839992E-2</v>
      </c>
      <c r="I45" s="120">
        <f t="shared" si="128"/>
        <v>8.2962259008194109E-2</v>
      </c>
      <c r="J45" s="120">
        <f t="shared" si="128"/>
        <v>7.4435024933382096E-2</v>
      </c>
      <c r="K45" s="120">
        <f t="shared" si="128"/>
        <v>7.3573224080461699E-2</v>
      </c>
      <c r="L45" s="120">
        <f t="shared" si="128"/>
        <v>7.3406172003078626E-2</v>
      </c>
      <c r="M45" s="120">
        <f t="shared" si="128"/>
        <v>7.4231362603547776E-2</v>
      </c>
      <c r="N45" s="120">
        <f t="shared" si="128"/>
        <v>7.0092976701837936E-2</v>
      </c>
      <c r="O45" s="120">
        <f t="shared" si="128"/>
        <v>7.1278542758432248E-2</v>
      </c>
      <c r="P45" s="120">
        <f t="shared" si="128"/>
        <v>7.6984784861755307E-2</v>
      </c>
      <c r="Q45" s="120">
        <f t="shared" si="128"/>
        <v>8.665021907625256E-2</v>
      </c>
      <c r="R45" s="120">
        <f t="shared" si="128"/>
        <v>9.3533813827193432E-2</v>
      </c>
      <c r="S45" s="120">
        <f t="shared" si="128"/>
        <v>8.0587788561654494E-2</v>
      </c>
      <c r="T45" s="120">
        <f t="shared" si="128"/>
        <v>7.7802161772945438E-2</v>
      </c>
      <c r="U45" s="120">
        <f t="shared" si="128"/>
        <v>7.1354526837387355E-2</v>
      </c>
      <c r="V45" s="120">
        <f t="shared" ref="V45" si="129">+IFERROR(V33/V$16,"n/a")</f>
        <v>6.9479473260215988E-2</v>
      </c>
      <c r="W45" s="142">
        <v>7.2499999999999995E-2</v>
      </c>
      <c r="X45" s="142">
        <f t="shared" ref="X45:AA45" si="130">W45</f>
        <v>7.2499999999999995E-2</v>
      </c>
      <c r="Y45" s="142">
        <f t="shared" si="130"/>
        <v>7.2499999999999995E-2</v>
      </c>
      <c r="Z45" s="142">
        <f t="shared" si="130"/>
        <v>7.2499999999999995E-2</v>
      </c>
      <c r="AA45" s="142">
        <f t="shared" si="130"/>
        <v>7.2499999999999995E-2</v>
      </c>
      <c r="AB45" s="2"/>
      <c r="AC45" s="120">
        <f t="shared" ref="AC45:BD45" si="131">+IFERROR(AC33/AC$16,"n/a")</f>
        <v>5.7049195255765239E-2</v>
      </c>
      <c r="AD45" s="120">
        <f t="shared" si="131"/>
        <v>6.4376660981317682E-2</v>
      </c>
      <c r="AE45" s="120">
        <f t="shared" si="131"/>
        <v>3.2723390860443159E-2</v>
      </c>
      <c r="AF45" s="120">
        <f t="shared" si="131"/>
        <v>3.0872814353963343E-2</v>
      </c>
      <c r="AG45" s="120">
        <f t="shared" si="131"/>
        <v>8.4593080986614763E-2</v>
      </c>
      <c r="AH45" s="120">
        <f t="shared" si="131"/>
        <v>7.2242315204465779E-2</v>
      </c>
      <c r="AI45" s="120">
        <f t="shared" si="131"/>
        <v>6.2626541278935147E-2</v>
      </c>
      <c r="AJ45" s="120">
        <f t="shared" si="131"/>
        <v>4.8660059950313549E-2</v>
      </c>
      <c r="AK45" s="120">
        <f t="shared" si="131"/>
        <v>5.2583797572824637E-2</v>
      </c>
      <c r="AL45" s="120">
        <f t="shared" si="131"/>
        <v>5.0647906315865757E-2</v>
      </c>
      <c r="AM45" s="120">
        <f t="shared" si="131"/>
        <v>5.5624089514304316E-2</v>
      </c>
      <c r="AN45" s="120">
        <f t="shared" si="131"/>
        <v>6.4476914857214893E-2</v>
      </c>
      <c r="AO45" s="120">
        <f t="shared" si="131"/>
        <v>7.3012964002407504E-2</v>
      </c>
      <c r="AP45" s="120">
        <f t="shared" si="131"/>
        <v>7.0808842107270384E-2</v>
      </c>
      <c r="AQ45" s="120">
        <f t="shared" si="131"/>
        <v>7.9212140085838517E-2</v>
      </c>
      <c r="AR45" s="120">
        <f t="shared" si="131"/>
        <v>7.9690968830476869E-2</v>
      </c>
      <c r="AS45" s="120">
        <f t="shared" si="131"/>
        <v>8.0596424934341007E-2</v>
      </c>
      <c r="AT45" s="120">
        <f t="shared" si="131"/>
        <v>7.4499938385382394E-2</v>
      </c>
      <c r="AU45" s="120">
        <f t="shared" si="131"/>
        <v>7.7706263329922934E-2</v>
      </c>
      <c r="AV45" s="120">
        <f t="shared" si="131"/>
        <v>7.5118836885956677E-2</v>
      </c>
      <c r="AW45" s="120">
        <f t="shared" si="131"/>
        <v>8.259578268693854E-2</v>
      </c>
      <c r="AX45" s="120">
        <f t="shared" si="131"/>
        <v>8.3274068847506086E-2</v>
      </c>
      <c r="AY45" s="120">
        <f t="shared" si="131"/>
        <v>8.5439479733933718E-2</v>
      </c>
      <c r="AZ45" s="120">
        <f t="shared" si="131"/>
        <v>8.1751433036293203E-2</v>
      </c>
      <c r="BA45" s="120">
        <f t="shared" si="131"/>
        <v>7.8577433810714248E-2</v>
      </c>
      <c r="BB45" s="120">
        <f t="shared" si="131"/>
        <v>7.2115653510804692E-2</v>
      </c>
      <c r="BC45" s="120">
        <f t="shared" si="131"/>
        <v>8.4362752898596322E-2</v>
      </c>
      <c r="BD45" s="120">
        <f t="shared" ca="1" si="131"/>
        <v>7.25263726545953E-2</v>
      </c>
      <c r="BE45" s="120">
        <f t="shared" ref="BE45" ca="1" si="132">+IFERROR(BE33/BE$16,"n/a")</f>
        <v>7.2499999999999981E-2</v>
      </c>
      <c r="BF45" s="2"/>
      <c r="BG45" s="2"/>
      <c r="BH45" s="2"/>
      <c r="BI45" s="2"/>
      <c r="BJ45" s="2"/>
      <c r="BK45" s="2"/>
    </row>
    <row r="46" spans="1:63" ht="11.25" customHeight="1">
      <c r="A46" s="2"/>
      <c r="B46" s="9" t="s">
        <v>252</v>
      </c>
      <c r="C46" s="2"/>
      <c r="D46" s="120">
        <f t="shared" ref="D46:S48" si="133">+IFERROR(D34/D$16,"n/a")</f>
        <v>2.367696940767167E-2</v>
      </c>
      <c r="E46" s="120">
        <f t="shared" si="133"/>
        <v>2.7760763620743222E-2</v>
      </c>
      <c r="F46" s="120">
        <f t="shared" si="133"/>
        <v>3.1442693814958678E-2</v>
      </c>
      <c r="G46" s="120">
        <f t="shared" si="133"/>
        <v>2.3188249767646458E-2</v>
      </c>
      <c r="H46" s="120">
        <f t="shared" si="133"/>
        <v>2.3056744286716183E-2</v>
      </c>
      <c r="I46" s="120">
        <f t="shared" si="133"/>
        <v>2.6089284599033383E-2</v>
      </c>
      <c r="J46" s="120">
        <f t="shared" si="133"/>
        <v>2.6006198045797724E-2</v>
      </c>
      <c r="K46" s="120">
        <f t="shared" si="133"/>
        <v>3.5690054015147507E-2</v>
      </c>
      <c r="L46" s="120">
        <f t="shared" si="133"/>
        <v>2.5582604828969065E-2</v>
      </c>
      <c r="M46" s="120">
        <f t="shared" si="133"/>
        <v>2.5695471670458846E-2</v>
      </c>
      <c r="N46" s="120">
        <f t="shared" si="133"/>
        <v>2.8066873817668266E-2</v>
      </c>
      <c r="O46" s="120">
        <f t="shared" si="133"/>
        <v>3.1891260894161194E-2</v>
      </c>
      <c r="P46" s="120">
        <f t="shared" si="133"/>
        <v>3.1755707666242868E-2</v>
      </c>
      <c r="Q46" s="120">
        <f t="shared" si="133"/>
        <v>3.4377250001930995E-2</v>
      </c>
      <c r="R46" s="120">
        <f t="shared" si="133"/>
        <v>3.2138187703031326E-2</v>
      </c>
      <c r="S46" s="120">
        <f t="shared" si="133"/>
        <v>3.390889869433155E-2</v>
      </c>
      <c r="T46" s="120">
        <f t="shared" si="128"/>
        <v>3.2478171502432367E-2</v>
      </c>
      <c r="U46" s="120">
        <f t="shared" si="128"/>
        <v>3.3018060839190559E-2</v>
      </c>
      <c r="V46" s="120">
        <f t="shared" ref="V46" si="134">+IFERROR(V34/V$16,"n/a")</f>
        <v>3.4612711467278845E-2</v>
      </c>
      <c r="W46" s="142">
        <v>3.2500000000000001E-2</v>
      </c>
      <c r="X46" s="142">
        <f t="shared" ref="X46:AA46" si="135">W46</f>
        <v>3.2500000000000001E-2</v>
      </c>
      <c r="Y46" s="142">
        <f t="shared" si="135"/>
        <v>3.2500000000000001E-2</v>
      </c>
      <c r="Z46" s="142">
        <f t="shared" si="135"/>
        <v>3.2500000000000001E-2</v>
      </c>
      <c r="AA46" s="142">
        <f t="shared" si="135"/>
        <v>3.2500000000000001E-2</v>
      </c>
      <c r="AB46" s="2"/>
      <c r="AC46" s="120">
        <f t="shared" ref="AC46:BD46" si="136">+IFERROR(AC34/AC$16,"n/a")</f>
        <v>8.3115168347485599E-2</v>
      </c>
      <c r="AD46" s="120">
        <f t="shared" si="136"/>
        <v>4.5436515806592359E-2</v>
      </c>
      <c r="AE46" s="120">
        <f t="shared" si="136"/>
        <v>5.8658491521480283E-2</v>
      </c>
      <c r="AF46" s="120">
        <f t="shared" si="136"/>
        <v>6.0710718540535981E-2</v>
      </c>
      <c r="AG46" s="120">
        <f t="shared" si="136"/>
        <v>8.1264646304166507E-2</v>
      </c>
      <c r="AH46" s="120">
        <f t="shared" si="136"/>
        <v>5.5446362006395529E-2</v>
      </c>
      <c r="AI46" s="120">
        <f t="shared" si="136"/>
        <v>5.3547589373241965E-2</v>
      </c>
      <c r="AJ46" s="120">
        <f t="shared" si="136"/>
        <v>5.7621504356311685E-2</v>
      </c>
      <c r="AK46" s="120">
        <f t="shared" si="136"/>
        <v>4.9586404816836419E-2</v>
      </c>
      <c r="AL46" s="120">
        <f t="shared" si="136"/>
        <v>3.9283947739022766E-2</v>
      </c>
      <c r="AM46" s="120">
        <f t="shared" si="136"/>
        <v>3.9308185847565326E-2</v>
      </c>
      <c r="AN46" s="120">
        <f t="shared" si="136"/>
        <v>4.7526999201580031E-2</v>
      </c>
      <c r="AO46" s="120">
        <f t="shared" si="136"/>
        <v>5.3337030249338946E-2</v>
      </c>
      <c r="AP46" s="120">
        <f t="shared" si="136"/>
        <v>4.3314312410318016E-2</v>
      </c>
      <c r="AQ46" s="120">
        <f t="shared" si="136"/>
        <v>4.374345850084644E-2</v>
      </c>
      <c r="AR46" s="120">
        <f t="shared" si="136"/>
        <v>4.3666933072847289E-2</v>
      </c>
      <c r="AS46" s="120">
        <f t="shared" si="136"/>
        <v>3.926977809937289E-2</v>
      </c>
      <c r="AT46" s="120">
        <f t="shared" si="136"/>
        <v>3.1490313395542251E-2</v>
      </c>
      <c r="AU46" s="120">
        <f t="shared" si="136"/>
        <v>2.7174963277877693E-2</v>
      </c>
      <c r="AV46" s="120">
        <f t="shared" si="136"/>
        <v>2.7107258069620589E-2</v>
      </c>
      <c r="AW46" s="120">
        <f t="shared" si="136"/>
        <v>2.7795880492753063E-2</v>
      </c>
      <c r="AX46" s="120">
        <f t="shared" si="136"/>
        <v>2.54529064965647E-2</v>
      </c>
      <c r="AY46" s="120">
        <f t="shared" si="136"/>
        <v>2.6248955116630703E-2</v>
      </c>
      <c r="AZ46" s="120">
        <f t="shared" si="136"/>
        <v>2.6559546180342227E-2</v>
      </c>
      <c r="BA46" s="120">
        <f t="shared" si="136"/>
        <v>2.8025436929258473E-2</v>
      </c>
      <c r="BB46" s="120">
        <f t="shared" si="136"/>
        <v>2.8025197245204119E-2</v>
      </c>
      <c r="BC46" s="120">
        <f t="shared" si="136"/>
        <v>3.3058615853184661E-2</v>
      </c>
      <c r="BD46" s="120">
        <f t="shared" ca="1" si="136"/>
        <v>3.3172323974046507E-2</v>
      </c>
      <c r="BE46" s="120">
        <f t="shared" ref="BE46" ca="1" si="137">+IFERROR(BE34/BE$16,"n/a")</f>
        <v>3.2500000000000001E-2</v>
      </c>
      <c r="BF46" s="2"/>
      <c r="BG46" s="2"/>
      <c r="BH46" s="2"/>
      <c r="BI46" s="2"/>
      <c r="BJ46" s="2"/>
      <c r="BK46" s="2"/>
    </row>
    <row r="47" spans="1:63" ht="11.25" customHeight="1">
      <c r="A47" s="2"/>
      <c r="B47" s="9" t="s">
        <v>19</v>
      </c>
      <c r="C47" s="2"/>
      <c r="D47" s="229">
        <f t="shared" si="133"/>
        <v>-2.1893308671766027E-4</v>
      </c>
      <c r="E47" s="229">
        <f t="shared" si="128"/>
        <v>2.5740160983535673E-5</v>
      </c>
      <c r="F47" s="229">
        <f t="shared" si="128"/>
        <v>-1.2485052866651745E-3</v>
      </c>
      <c r="G47" s="229">
        <f t="shared" si="128"/>
        <v>-5.6718663672205259E-4</v>
      </c>
      <c r="H47" s="229">
        <f t="shared" si="128"/>
        <v>5.2150845741854462E-4</v>
      </c>
      <c r="I47" s="229">
        <f t="shared" si="128"/>
        <v>-1.4241755935202074E-4</v>
      </c>
      <c r="J47" s="229">
        <f t="shared" si="128"/>
        <v>2.2186296552423871E-4</v>
      </c>
      <c r="K47" s="229">
        <f t="shared" si="128"/>
        <v>2.3962246125650542E-4</v>
      </c>
      <c r="L47" s="229">
        <f t="shared" si="128"/>
        <v>1.6331488555944591E-3</v>
      </c>
      <c r="M47" s="229">
        <f t="shared" si="128"/>
        <v>-5.8037130913240379E-5</v>
      </c>
      <c r="N47" s="229">
        <f t="shared" si="128"/>
        <v>-1.7940357487033002E-5</v>
      </c>
      <c r="O47" s="229">
        <f t="shared" si="128"/>
        <v>-6.2666671364535495E-4</v>
      </c>
      <c r="P47" s="229">
        <f t="shared" si="128"/>
        <v>-9.2404548062990016E-5</v>
      </c>
      <c r="Q47" s="229">
        <f t="shared" si="128"/>
        <v>9.7745356932290182E-5</v>
      </c>
      <c r="R47" s="229">
        <f t="shared" si="128"/>
        <v>-2.3960517836760022E-4</v>
      </c>
      <c r="S47" s="229">
        <f t="shared" si="128"/>
        <v>-9.2721518281610021E-5</v>
      </c>
      <c r="T47" s="229">
        <f t="shared" si="128"/>
        <v>2.1935589647320279E-4</v>
      </c>
      <c r="U47" s="229">
        <f t="shared" si="128"/>
        <v>1.8900976458444817E-3</v>
      </c>
      <c r="V47" s="229">
        <f t="shared" ref="V47" si="138">+IFERROR(V35/V$16,"n/a")</f>
        <v>-6.5684514250512053E-4</v>
      </c>
      <c r="W47" s="229">
        <f t="shared" ca="1" si="128"/>
        <v>0</v>
      </c>
      <c r="X47" s="229">
        <f t="shared" ref="X47:AA47" si="139">+IFERROR(X35/X$16,"n/a")</f>
        <v>0</v>
      </c>
      <c r="Y47" s="229">
        <f t="shared" si="139"/>
        <v>0</v>
      </c>
      <c r="Z47" s="229">
        <f t="shared" si="139"/>
        <v>0</v>
      </c>
      <c r="AA47" s="229">
        <f t="shared" ca="1" si="139"/>
        <v>0</v>
      </c>
      <c r="AB47" s="2"/>
      <c r="AC47" s="229">
        <f t="shared" ref="AC47:BD47" si="140">+IFERROR(AC35/AC$16,"n/a")</f>
        <v>0</v>
      </c>
      <c r="AD47" s="229">
        <f t="shared" si="140"/>
        <v>0</v>
      </c>
      <c r="AE47" s="229">
        <f t="shared" si="140"/>
        <v>0</v>
      </c>
      <c r="AF47" s="229">
        <f t="shared" si="140"/>
        <v>0</v>
      </c>
      <c r="AG47" s="229">
        <f t="shared" si="140"/>
        <v>0</v>
      </c>
      <c r="AH47" s="229">
        <f t="shared" si="140"/>
        <v>0</v>
      </c>
      <c r="AI47" s="229">
        <f t="shared" si="140"/>
        <v>0</v>
      </c>
      <c r="AJ47" s="229">
        <f t="shared" si="140"/>
        <v>0</v>
      </c>
      <c r="AK47" s="229">
        <f t="shared" si="140"/>
        <v>0</v>
      </c>
      <c r="AL47" s="229">
        <f t="shared" si="140"/>
        <v>0</v>
      </c>
      <c r="AM47" s="229">
        <f t="shared" si="140"/>
        <v>0</v>
      </c>
      <c r="AN47" s="229">
        <f t="shared" si="140"/>
        <v>0</v>
      </c>
      <c r="AO47" s="229">
        <f t="shared" si="140"/>
        <v>0</v>
      </c>
      <c r="AP47" s="229">
        <f t="shared" si="140"/>
        <v>0</v>
      </c>
      <c r="AQ47" s="229">
        <f t="shared" si="140"/>
        <v>0</v>
      </c>
      <c r="AR47" s="229">
        <f t="shared" si="140"/>
        <v>8.8604722296223943E-4</v>
      </c>
      <c r="AS47" s="229">
        <f t="shared" si="140"/>
        <v>-7.8723803398188347E-5</v>
      </c>
      <c r="AT47" s="229">
        <f t="shared" si="140"/>
        <v>1.3135712094556151E-3</v>
      </c>
      <c r="AU47" s="229">
        <f t="shared" si="140"/>
        <v>2.2288164628919841E-3</v>
      </c>
      <c r="AV47" s="229">
        <f t="shared" si="140"/>
        <v>-3.1647639402576964E-5</v>
      </c>
      <c r="AW47" s="229">
        <f t="shared" si="140"/>
        <v>1.3964951552360384E-3</v>
      </c>
      <c r="AX47" s="229">
        <f t="shared" si="140"/>
        <v>2.0368917707504547E-3</v>
      </c>
      <c r="AY47" s="229">
        <f t="shared" si="140"/>
        <v>4.6355770625396386E-4</v>
      </c>
      <c r="AZ47" s="229">
        <f t="shared" si="140"/>
        <v>-5.3014556615245932E-4</v>
      </c>
      <c r="BA47" s="229">
        <f t="shared" si="140"/>
        <v>2.0977500668591692E-4</v>
      </c>
      <c r="BB47" s="229">
        <f t="shared" si="140"/>
        <v>1.6255197469084129E-4</v>
      </c>
      <c r="BC47" s="229">
        <f t="shared" si="140"/>
        <v>-8.742973240025609E-5</v>
      </c>
      <c r="BD47" s="229">
        <f t="shared" ca="1" si="140"/>
        <v>3.1312887876451642E-4</v>
      </c>
      <c r="BE47" s="229">
        <f t="shared" ref="BE47" ca="1" si="141">+IFERROR(BE35/BE$16,"n/a")</f>
        <v>0</v>
      </c>
      <c r="BF47" s="2"/>
      <c r="BG47" s="2"/>
      <c r="BH47" s="2"/>
      <c r="BI47" s="2"/>
      <c r="BJ47" s="2"/>
      <c r="BK47" s="2"/>
    </row>
    <row r="48" spans="1:63" ht="11.25" customHeight="1">
      <c r="A48" s="2"/>
      <c r="B48" s="41" t="s">
        <v>968</v>
      </c>
      <c r="C48" s="2"/>
      <c r="D48" s="120">
        <f t="shared" si="133"/>
        <v>0.103848334001149</v>
      </c>
      <c r="E48" s="120">
        <f t="shared" si="128"/>
        <v>0.10788023220212095</v>
      </c>
      <c r="F48" s="120">
        <f t="shared" si="128"/>
        <v>0.11347650522350483</v>
      </c>
      <c r="G48" s="120">
        <f t="shared" si="128"/>
        <v>0.1054579797331598</v>
      </c>
      <c r="H48" s="120">
        <f t="shared" si="128"/>
        <v>0.10844340679897473</v>
      </c>
      <c r="I48" s="120">
        <f t="shared" si="128"/>
        <v>0.10890912604787548</v>
      </c>
      <c r="J48" s="120">
        <f t="shared" si="128"/>
        <v>0.10066308594470405</v>
      </c>
      <c r="K48" s="120">
        <f t="shared" si="128"/>
        <v>0.10950290055686571</v>
      </c>
      <c r="L48" s="120">
        <f t="shared" si="128"/>
        <v>0.10062192568764215</v>
      </c>
      <c r="M48" s="120">
        <f t="shared" si="128"/>
        <v>9.986879714309338E-2</v>
      </c>
      <c r="N48" s="120">
        <f t="shared" si="128"/>
        <v>9.8141910162019161E-2</v>
      </c>
      <c r="O48" s="120">
        <f t="shared" si="128"/>
        <v>0.10254313693894809</v>
      </c>
      <c r="P48" s="120">
        <f t="shared" si="128"/>
        <v>0.10864808797993519</v>
      </c>
      <c r="Q48" s="120">
        <f t="shared" si="128"/>
        <v>0.12112521443511583</v>
      </c>
      <c r="R48" s="120">
        <f t="shared" si="128"/>
        <v>0.12543239635185716</v>
      </c>
      <c r="S48" s="120">
        <f t="shared" si="128"/>
        <v>0.11440396573770442</v>
      </c>
      <c r="T48" s="120">
        <f t="shared" si="128"/>
        <v>0.110499689171851</v>
      </c>
      <c r="U48" s="120">
        <f t="shared" si="128"/>
        <v>0.10626268532242238</v>
      </c>
      <c r="V48" s="120">
        <f t="shared" ref="V48" si="142">+IFERROR(V36/V$16,"n/a")</f>
        <v>0.10343533958498971</v>
      </c>
      <c r="W48" s="120">
        <f t="shared" ca="1" si="128"/>
        <v>0.105</v>
      </c>
      <c r="X48" s="120">
        <f t="shared" ref="X48:AA48" si="143">+IFERROR(X36/X$16,"n/a")</f>
        <v>0.105</v>
      </c>
      <c r="Y48" s="120">
        <f t="shared" si="143"/>
        <v>0.105</v>
      </c>
      <c r="Z48" s="120">
        <f t="shared" si="143"/>
        <v>0.105</v>
      </c>
      <c r="AA48" s="120">
        <f t="shared" ca="1" si="143"/>
        <v>0.105</v>
      </c>
      <c r="AB48" s="2"/>
      <c r="AC48" s="120">
        <f t="shared" ref="AC48:BD48" si="144">+IFERROR(AC36/AC$16,"n/a")</f>
        <v>0.14016436360325085</v>
      </c>
      <c r="AD48" s="120">
        <f t="shared" si="144"/>
        <v>0.10981317678791004</v>
      </c>
      <c r="AE48" s="120">
        <f t="shared" si="144"/>
        <v>9.1381882381923449E-2</v>
      </c>
      <c r="AF48" s="120">
        <f t="shared" si="144"/>
        <v>9.1583532894499331E-2</v>
      </c>
      <c r="AG48" s="120">
        <f t="shared" si="144"/>
        <v>0.16585772729078124</v>
      </c>
      <c r="AH48" s="120">
        <f t="shared" si="144"/>
        <v>0.1276886772108613</v>
      </c>
      <c r="AI48" s="120">
        <f t="shared" si="144"/>
        <v>0.1161741306521771</v>
      </c>
      <c r="AJ48" s="120">
        <f t="shared" si="144"/>
        <v>0.10628156430662523</v>
      </c>
      <c r="AK48" s="120">
        <f t="shared" si="144"/>
        <v>0.10217020238966106</v>
      </c>
      <c r="AL48" s="120">
        <f t="shared" si="144"/>
        <v>8.993185405488853E-2</v>
      </c>
      <c r="AM48" s="120">
        <f t="shared" si="144"/>
        <v>9.4932275361869642E-2</v>
      </c>
      <c r="AN48" s="120">
        <f t="shared" si="144"/>
        <v>0.11200391405879491</v>
      </c>
      <c r="AO48" s="120">
        <f t="shared" si="144"/>
        <v>0.12634999425174645</v>
      </c>
      <c r="AP48" s="120">
        <f t="shared" si="144"/>
        <v>0.11412315451758841</v>
      </c>
      <c r="AQ48" s="120">
        <f t="shared" si="144"/>
        <v>0.12295559858668496</v>
      </c>
      <c r="AR48" s="120">
        <f t="shared" si="144"/>
        <v>0.12424394912628639</v>
      </c>
      <c r="AS48" s="120">
        <f t="shared" si="144"/>
        <v>0.11978747923031571</v>
      </c>
      <c r="AT48" s="120">
        <f t="shared" si="144"/>
        <v>0.10730382299038023</v>
      </c>
      <c r="AU48" s="120">
        <f t="shared" si="144"/>
        <v>0.10711004307069261</v>
      </c>
      <c r="AV48" s="120">
        <f t="shared" si="144"/>
        <v>0.10219444731617468</v>
      </c>
      <c r="AW48" s="120">
        <f t="shared" si="144"/>
        <v>0.11178815833492763</v>
      </c>
      <c r="AX48" s="120">
        <f t="shared" si="144"/>
        <v>0.11076386711482125</v>
      </c>
      <c r="AY48" s="120">
        <f t="shared" si="144"/>
        <v>0.11215199255681838</v>
      </c>
      <c r="AZ48" s="120">
        <f t="shared" si="144"/>
        <v>0.10778083365048297</v>
      </c>
      <c r="BA48" s="120">
        <f t="shared" si="144"/>
        <v>0.10681264574665865</v>
      </c>
      <c r="BB48" s="120">
        <f t="shared" si="144"/>
        <v>0.10030340273069965</v>
      </c>
      <c r="BC48" s="120">
        <f t="shared" si="144"/>
        <v>0.11733393901938073</v>
      </c>
      <c r="BD48" s="120">
        <f t="shared" ca="1" si="144"/>
        <v>0.10601182550740633</v>
      </c>
      <c r="BE48" s="120">
        <f t="shared" ref="BE48" ca="1" si="145">+IFERROR(BE36/BE$16,"n/a")</f>
        <v>0.105</v>
      </c>
      <c r="BF48" s="2"/>
      <c r="BG48" s="2"/>
      <c r="BH48" s="2"/>
      <c r="BI48" s="2"/>
      <c r="BJ48" s="2"/>
      <c r="BK48" s="2"/>
    </row>
    <row r="49" spans="1:63" ht="11.25" customHeight="1">
      <c r="A49" s="2"/>
      <c r="B49" s="13"/>
      <c r="C49" s="2"/>
      <c r="D49" s="20"/>
      <c r="E49" s="20"/>
      <c r="F49" s="20"/>
      <c r="G49" s="20"/>
      <c r="H49" s="20"/>
      <c r="I49" s="20"/>
      <c r="J49" s="20"/>
      <c r="K49" s="20"/>
      <c r="L49" s="20"/>
      <c r="M49" s="20"/>
      <c r="N49" s="20"/>
      <c r="O49" s="20"/>
      <c r="P49" s="20"/>
      <c r="Q49" s="20"/>
      <c r="R49" s="20"/>
      <c r="S49" s="20"/>
      <c r="T49" s="20"/>
      <c r="U49" s="20"/>
      <c r="V49" s="217"/>
      <c r="W49" s="217"/>
      <c r="X49" s="217"/>
      <c r="Y49" s="217"/>
      <c r="Z49" s="217"/>
      <c r="AA49" s="217"/>
      <c r="AB49" s="2"/>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
      <c r="BG49" s="2"/>
      <c r="BH49" s="2"/>
      <c r="BI49" s="2"/>
      <c r="BJ49" s="2"/>
      <c r="BK49" s="2"/>
    </row>
    <row r="50" spans="1:63" s="54" customFormat="1" ht="11.25" customHeight="1">
      <c r="A50" s="55"/>
      <c r="B50" s="496" t="s">
        <v>250</v>
      </c>
      <c r="C50" s="205"/>
      <c r="D50" s="220">
        <f>+D29-D36</f>
        <v>128.52218300000004</v>
      </c>
      <c r="E50" s="220">
        <f t="shared" ref="E50:BD50" si="146">+E29-E36</f>
        <v>131.19336699999999</v>
      </c>
      <c r="F50" s="220">
        <f t="shared" si="146"/>
        <v>150.04820400000006</v>
      </c>
      <c r="G50" s="220">
        <f t="shared" si="146"/>
        <v>157.02005700000007</v>
      </c>
      <c r="H50" s="220">
        <f t="shared" si="146"/>
        <v>150.53823000000006</v>
      </c>
      <c r="I50" s="220">
        <f t="shared" si="146"/>
        <v>145.66712200000001</v>
      </c>
      <c r="J50" s="220">
        <f t="shared" si="146"/>
        <v>171.00337899999997</v>
      </c>
      <c r="K50" s="220">
        <f t="shared" si="146"/>
        <v>182.77230599999999</v>
      </c>
      <c r="L50" s="220">
        <f t="shared" si="146"/>
        <v>223.78987300000006</v>
      </c>
      <c r="M50" s="220">
        <f t="shared" si="146"/>
        <v>262.12380800000011</v>
      </c>
      <c r="N50" s="220">
        <f t="shared" si="146"/>
        <v>310.32474299999984</v>
      </c>
      <c r="O50" s="220">
        <f t="shared" si="146"/>
        <v>325.04086800000005</v>
      </c>
      <c r="P50" s="220">
        <f t="shared" si="146"/>
        <v>231.23797299999995</v>
      </c>
      <c r="Q50" s="220">
        <f t="shared" si="146"/>
        <v>201.95825399999998</v>
      </c>
      <c r="R50" s="220">
        <f t="shared" si="146"/>
        <v>228.06475799999996</v>
      </c>
      <c r="S50" s="220">
        <f t="shared" si="146"/>
        <v>260.20501499999995</v>
      </c>
      <c r="T50" s="220">
        <f t="shared" si="146"/>
        <v>249.01820100000006</v>
      </c>
      <c r="U50" s="220">
        <f t="shared" si="146"/>
        <v>286.55617699999993</v>
      </c>
      <c r="V50" s="220">
        <f t="shared" ref="V50" si="147">+V29-V36</f>
        <v>360.76600000000002</v>
      </c>
      <c r="W50" s="220">
        <f t="shared" ca="1" si="146"/>
        <v>409.04330888139492</v>
      </c>
      <c r="X50" s="220">
        <f t="shared" ref="X50:AA50" si="148">+X29-X36</f>
        <v>363.40063449503089</v>
      </c>
      <c r="Y50" s="220">
        <f t="shared" si="148"/>
        <v>367.09906813141515</v>
      </c>
      <c r="Z50" s="220">
        <f t="shared" si="148"/>
        <v>414.07277097000883</v>
      </c>
      <c r="AA50" s="220">
        <f t="shared" ca="1" si="148"/>
        <v>469.36943241890106</v>
      </c>
      <c r="AB50"/>
      <c r="AC50" s="220">
        <f t="shared" si="146"/>
        <v>14.928000000000001</v>
      </c>
      <c r="AD50" s="220">
        <f t="shared" si="146"/>
        <v>13.807999999999996</v>
      </c>
      <c r="AE50" s="220">
        <f t="shared" si="146"/>
        <v>24.829999999999991</v>
      </c>
      <c r="AF50" s="220">
        <f t="shared" si="146"/>
        <v>61.295000000000002</v>
      </c>
      <c r="AG50" s="220">
        <f t="shared" si="146"/>
        <v>12.778000000000013</v>
      </c>
      <c r="AH50" s="220">
        <f t="shared" si="146"/>
        <v>31.588999999999988</v>
      </c>
      <c r="AI50" s="220">
        <f t="shared" si="146"/>
        <v>51.301000000000016</v>
      </c>
      <c r="AJ50" s="220">
        <f t="shared" si="146"/>
        <v>88.482000000000014</v>
      </c>
      <c r="AK50" s="220">
        <f t="shared" si="146"/>
        <v>90.968000000000004</v>
      </c>
      <c r="AL50" s="220">
        <f t="shared" si="146"/>
        <v>127.26499999999997</v>
      </c>
      <c r="AM50" s="220">
        <f t="shared" si="146"/>
        <v>111.72199999999999</v>
      </c>
      <c r="AN50" s="220">
        <f t="shared" si="146"/>
        <v>104.43500000000003</v>
      </c>
      <c r="AO50" s="220">
        <f t="shared" si="146"/>
        <v>91.962000000000018</v>
      </c>
      <c r="AP50" s="220">
        <f t="shared" si="146"/>
        <v>159.17500000000001</v>
      </c>
      <c r="AQ50" s="220">
        <f t="shared" si="146"/>
        <v>141.55700000000002</v>
      </c>
      <c r="AR50" s="220">
        <f t="shared" si="146"/>
        <v>181.17699999999999</v>
      </c>
      <c r="AS50" s="220">
        <f t="shared" si="146"/>
        <v>209.42899999999997</v>
      </c>
      <c r="AT50" s="220">
        <f t="shared" si="146"/>
        <v>295.87000000000006</v>
      </c>
      <c r="AU50" s="220">
        <f t="shared" si="146"/>
        <v>320.048</v>
      </c>
      <c r="AV50" s="220">
        <f t="shared" si="146"/>
        <v>377.95799999999997</v>
      </c>
      <c r="AW50" s="220">
        <f t="shared" si="146"/>
        <v>385.55899999999991</v>
      </c>
      <c r="AX50" s="220">
        <f t="shared" si="146"/>
        <v>383.62355700000001</v>
      </c>
      <c r="AY50" s="220">
        <f t="shared" si="146"/>
        <v>372.70144800000014</v>
      </c>
      <c r="AZ50" s="220">
        <f t="shared" si="146"/>
        <v>566.78381100000001</v>
      </c>
      <c r="BA50" s="220">
        <f t="shared" si="146"/>
        <v>649.98103699999967</v>
      </c>
      <c r="BB50" s="220">
        <f t="shared" si="146"/>
        <v>1121.2792920000002</v>
      </c>
      <c r="BC50" s="220">
        <f t="shared" si="146"/>
        <v>921.46599999999989</v>
      </c>
      <c r="BD50" s="220">
        <f t="shared" ca="1" si="146"/>
        <v>1305.3836868813955</v>
      </c>
      <c r="BE50" s="220">
        <f ca="1">+SUM(X50:AA50)</f>
        <v>1613.9419060153559</v>
      </c>
      <c r="BF50" s="55"/>
      <c r="BG50" s="84">
        <f>ROUND(AZ50-SUM(D50:G50),1)</f>
        <v>0</v>
      </c>
      <c r="BH50" s="84">
        <f>ROUND(BA50-SUM(H50:K50),1)</f>
        <v>0</v>
      </c>
      <c r="BI50" s="84">
        <f>ROUND(BB50-SUM(L50:O50),1)</f>
        <v>0</v>
      </c>
      <c r="BJ50" s="84">
        <f>ROUND(BC50-SUM(P50:S50),1)</f>
        <v>0</v>
      </c>
      <c r="BK50" s="84">
        <f ca="1">ROUND(BD50-SUM(T50:W50),1)</f>
        <v>0</v>
      </c>
    </row>
    <row r="51" spans="1:63" s="54" customFormat="1" ht="11.25" customHeight="1">
      <c r="A51" s="18"/>
      <c r="B51" s="35" t="s">
        <v>249</v>
      </c>
      <c r="C51" s="18"/>
      <c r="D51" s="120"/>
      <c r="E51" s="120"/>
      <c r="F51" s="120"/>
      <c r="G51" s="120"/>
      <c r="H51" s="120">
        <f>IF(AND(H50&gt;0,D50&gt;0),H50/D50-1,"n/m")</f>
        <v>0.1713015332146981</v>
      </c>
      <c r="I51" s="120">
        <f t="shared" ref="I51:P51" si="149">IF(AND(I50&gt;0,E50&gt;0),I50/E50-1,"n/m")</f>
        <v>0.11032383214922747</v>
      </c>
      <c r="J51" s="120">
        <f t="shared" si="149"/>
        <v>0.13965628672236496</v>
      </c>
      <c r="K51" s="120">
        <f t="shared" si="149"/>
        <v>0.16400611165234702</v>
      </c>
      <c r="L51" s="120">
        <f t="shared" si="149"/>
        <v>0.48659827473725437</v>
      </c>
      <c r="M51" s="120">
        <f t="shared" si="149"/>
        <v>0.79947131789972548</v>
      </c>
      <c r="N51" s="120">
        <f t="shared" si="149"/>
        <v>0.814728719483373</v>
      </c>
      <c r="O51" s="120">
        <f t="shared" si="149"/>
        <v>0.77839233477745839</v>
      </c>
      <c r="P51" s="120">
        <f t="shared" si="149"/>
        <v>3.3281666860769388E-2</v>
      </c>
      <c r="Q51" s="120">
        <f t="shared" ref="Q51" si="150">IF(AND(Q50&gt;0,M50&gt;0),Q50/M50-1,"n/m")</f>
        <v>-0.22953105427188092</v>
      </c>
      <c r="R51" s="120">
        <f t="shared" ref="R51" si="151">IF(AND(R50&gt;0,N50&gt;0),R50/N50-1,"n/m")</f>
        <v>-0.26507710666177831</v>
      </c>
      <c r="S51" s="120">
        <f t="shared" ref="S51" si="152">IF(AND(S50&gt;0,O50&gt;0),S50/O50-1,"n/m")</f>
        <v>-0.19946984943444124</v>
      </c>
      <c r="T51" s="120">
        <f t="shared" ref="T51:V51" si="153">IF(AND(T50&gt;0,P50&gt;0),T50/P50-1,"n/m")</f>
        <v>7.6891471453955917E-2</v>
      </c>
      <c r="U51" s="120">
        <f t="shared" si="153"/>
        <v>0.41888816784878702</v>
      </c>
      <c r="V51" s="120">
        <f t="shared" si="153"/>
        <v>0.58185772832118188</v>
      </c>
      <c r="W51" s="120">
        <f t="shared" ref="W51" ca="1" si="154">IF(AND(W50&gt;0,S50&gt;0),W50/S50-1,"n/m")</f>
        <v>0.57200394035985425</v>
      </c>
      <c r="X51" s="120">
        <f t="shared" ref="X51" si="155">IF(AND(X50&gt;0,T50&gt;0),X50/T50-1,"n/m")</f>
        <v>0.45933362716338477</v>
      </c>
      <c r="Y51" s="120">
        <f t="shared" ref="Y51" si="156">IF(AND(Y50&gt;0,U50&gt;0),Y50/U50-1,"n/m")</f>
        <v>0.28107190699789109</v>
      </c>
      <c r="Z51" s="120">
        <f t="shared" ref="Z51" si="157">IF(AND(Z50&gt;0,V50&gt;0),Z50/V50-1,"n/m")</f>
        <v>0.1477599634389295</v>
      </c>
      <c r="AA51" s="120">
        <f t="shared" ref="AA51" ca="1" si="158">IF(AND(AA50&gt;0,W50&gt;0),AA50/W50-1,"n/m")</f>
        <v>0.14748101784742351</v>
      </c>
      <c r="AB51" s="18"/>
      <c r="AC51" s="120"/>
      <c r="AD51" s="120">
        <f>IF(AND(AD50&gt;0,AC50&gt;0),AD50/AC50-1,"n/m")</f>
        <v>-7.5026795284030334E-2</v>
      </c>
      <c r="AE51" s="120">
        <f t="shared" ref="AE51:BE51" si="159">IF(AND(AE50&gt;0,AD50&gt;0),AE50/AD50-1,"n/m")</f>
        <v>0.79823290845886419</v>
      </c>
      <c r="AF51" s="120">
        <f t="shared" si="159"/>
        <v>1.4685863874345557</v>
      </c>
      <c r="AG51" s="120">
        <f t="shared" si="159"/>
        <v>-0.79153275144791557</v>
      </c>
      <c r="AH51" s="120">
        <f t="shared" si="159"/>
        <v>1.4721396149632144</v>
      </c>
      <c r="AI51" s="120">
        <f t="shared" si="159"/>
        <v>0.62401468865744514</v>
      </c>
      <c r="AJ51" s="120">
        <f t="shared" si="159"/>
        <v>0.72476170055164579</v>
      </c>
      <c r="AK51" s="120">
        <f t="shared" si="159"/>
        <v>2.8096109943265279E-2</v>
      </c>
      <c r="AL51" s="120">
        <f t="shared" si="159"/>
        <v>0.39900844252924061</v>
      </c>
      <c r="AM51" s="120">
        <f t="shared" si="159"/>
        <v>-0.12213098652418164</v>
      </c>
      <c r="AN51" s="120">
        <f t="shared" si="159"/>
        <v>-6.522439626931098E-2</v>
      </c>
      <c r="AO51" s="120">
        <f t="shared" si="159"/>
        <v>-0.11943314023076568</v>
      </c>
      <c r="AP51" s="120">
        <f t="shared" si="159"/>
        <v>0.73087797133598631</v>
      </c>
      <c r="AQ51" s="120">
        <f t="shared" si="159"/>
        <v>-0.11068321030312545</v>
      </c>
      <c r="AR51" s="120">
        <f t="shared" si="159"/>
        <v>0.27988725389772307</v>
      </c>
      <c r="AS51" s="120">
        <f t="shared" si="159"/>
        <v>0.15593590797948953</v>
      </c>
      <c r="AT51" s="120">
        <f t="shared" si="159"/>
        <v>0.41274608578563665</v>
      </c>
      <c r="AU51" s="120">
        <f t="shared" si="159"/>
        <v>8.171832223611708E-2</v>
      </c>
      <c r="AV51" s="120">
        <f t="shared" si="159"/>
        <v>0.18094160875868615</v>
      </c>
      <c r="AW51" s="120">
        <f t="shared" si="159"/>
        <v>2.0110700130702153E-2</v>
      </c>
      <c r="AX51" s="120">
        <f t="shared" si="159"/>
        <v>-5.0198361340285658E-3</v>
      </c>
      <c r="AY51" s="120">
        <f t="shared" si="159"/>
        <v>-2.8470902791821628E-2</v>
      </c>
      <c r="AZ51" s="120">
        <f t="shared" si="159"/>
        <v>0.52074485903258361</v>
      </c>
      <c r="BA51" s="120">
        <f t="shared" si="159"/>
        <v>0.14678828926537513</v>
      </c>
      <c r="BB51" s="120">
        <f t="shared" si="159"/>
        <v>0.72509539228296083</v>
      </c>
      <c r="BC51" s="120">
        <f t="shared" si="159"/>
        <v>-0.17820117915813627</v>
      </c>
      <c r="BD51" s="120">
        <f t="shared" ca="1" si="159"/>
        <v>0.41663793008249428</v>
      </c>
      <c r="BE51" s="120">
        <f t="shared" ca="1" si="159"/>
        <v>0.23637358290505084</v>
      </c>
      <c r="BF51" s="18"/>
      <c r="BG51" s="52"/>
      <c r="BH51" s="52"/>
      <c r="BI51" s="52"/>
      <c r="BJ51" s="52"/>
      <c r="BK51" s="52"/>
    </row>
    <row r="52" spans="1:63" s="54" customFormat="1" ht="11.25" customHeight="1">
      <c r="A52" s="18"/>
      <c r="B52" s="35" t="s">
        <v>17</v>
      </c>
      <c r="C52" s="18"/>
      <c r="D52" s="120">
        <f t="shared" ref="D52:W52" si="160">IFERROR(D50/D16,"n/a")</f>
        <v>0.41379056229238248</v>
      </c>
      <c r="E52" s="120">
        <f t="shared" si="160"/>
        <v>0.42211729831900952</v>
      </c>
      <c r="F52" s="120">
        <f t="shared" si="160"/>
        <v>0.42097972123284189</v>
      </c>
      <c r="G52" s="120">
        <f t="shared" si="160"/>
        <v>0.43443745379382948</v>
      </c>
      <c r="H52" s="120">
        <f t="shared" si="160"/>
        <v>0.41538074132178893</v>
      </c>
      <c r="I52" s="120">
        <f t="shared" si="160"/>
        <v>0.39142558477496314</v>
      </c>
      <c r="J52" s="163">
        <f t="shared" si="160"/>
        <v>0.4123838780391883</v>
      </c>
      <c r="K52" s="163">
        <f t="shared" si="160"/>
        <v>0.41710809345949668</v>
      </c>
      <c r="L52" s="163">
        <f t="shared" si="160"/>
        <v>0.45571343514162022</v>
      </c>
      <c r="M52" s="163">
        <f t="shared" si="160"/>
        <v>0.4907391535604223</v>
      </c>
      <c r="N52" s="163">
        <f t="shared" si="160"/>
        <v>0.50612152968105817</v>
      </c>
      <c r="O52" s="163">
        <f t="shared" si="160"/>
        <v>0.51962319528059608</v>
      </c>
      <c r="P52" s="163">
        <f t="shared" si="160"/>
        <v>0.45462639127801879</v>
      </c>
      <c r="Q52" s="163">
        <f t="shared" si="160"/>
        <v>0.4200102472904706</v>
      </c>
      <c r="R52" s="163">
        <f t="shared" si="160"/>
        <v>0.41714119862559973</v>
      </c>
      <c r="S52" s="163">
        <f t="shared" si="160"/>
        <v>0.41597593198774313</v>
      </c>
      <c r="T52" s="163">
        <f t="shared" si="160"/>
        <v>0.42018162091153244</v>
      </c>
      <c r="U52" s="163">
        <f t="shared" si="160"/>
        <v>0.42546673648852673</v>
      </c>
      <c r="V52" s="163">
        <f t="shared" ref="V52" si="161">IFERROR(V50/V16,"n/a")</f>
        <v>0.47488455847896255</v>
      </c>
      <c r="W52" s="163">
        <f t="shared" ca="1" si="160"/>
        <v>0.47499999999999998</v>
      </c>
      <c r="X52" s="163">
        <f t="shared" ref="X52:AA52" si="162">IFERROR(X50/X16,"n/a")</f>
        <v>0.4542112362312718</v>
      </c>
      <c r="Y52" s="163">
        <f t="shared" si="162"/>
        <v>0.4542112362312718</v>
      </c>
      <c r="Z52" s="163">
        <f t="shared" si="162"/>
        <v>0.45421123623127185</v>
      </c>
      <c r="AA52" s="163">
        <f t="shared" ca="1" si="162"/>
        <v>0.45421123623127174</v>
      </c>
      <c r="AB52" s="603"/>
      <c r="AC52" s="163">
        <f t="shared" ref="AC52:BD52" si="163">IFERROR(AC50/AC16,"n/a")</f>
        <v>0.33983654699842925</v>
      </c>
      <c r="AD52" s="163">
        <f t="shared" si="163"/>
        <v>0.2738487168299551</v>
      </c>
      <c r="AE52" s="163">
        <f t="shared" si="163"/>
        <v>0.33982509203881361</v>
      </c>
      <c r="AF52" s="163">
        <f t="shared" si="163"/>
        <v>0.36880708552449487</v>
      </c>
      <c r="AG52" s="163">
        <f t="shared" si="163"/>
        <v>0.10150534217738422</v>
      </c>
      <c r="AH52" s="163">
        <f t="shared" si="163"/>
        <v>0.19463219573508475</v>
      </c>
      <c r="AI52" s="163">
        <f t="shared" si="163"/>
        <v>0.25271802046335667</v>
      </c>
      <c r="AJ52" s="163">
        <f t="shared" si="163"/>
        <v>0.34400283033905754</v>
      </c>
      <c r="AK52" s="163">
        <f t="shared" si="163"/>
        <v>0.34126010541518953</v>
      </c>
      <c r="AL52" s="163">
        <f t="shared" si="163"/>
        <v>0.40095208990349923</v>
      </c>
      <c r="AM52" s="163">
        <f t="shared" si="163"/>
        <v>0.34628521836159065</v>
      </c>
      <c r="AN52" s="163">
        <f t="shared" si="163"/>
        <v>0.31346988515959401</v>
      </c>
      <c r="AO52" s="163">
        <f t="shared" si="163"/>
        <v>0.31095346619688785</v>
      </c>
      <c r="AP52" s="163">
        <f t="shared" si="163"/>
        <v>0.37940544122344105</v>
      </c>
      <c r="AQ52" s="163">
        <f t="shared" si="163"/>
        <v>0.33145234744697144</v>
      </c>
      <c r="AR52" s="163">
        <f t="shared" si="163"/>
        <v>0.35753090805040011</v>
      </c>
      <c r="AS52" s="163">
        <f t="shared" si="163"/>
        <v>0.35078824301870609</v>
      </c>
      <c r="AT52" s="163">
        <f t="shared" si="163"/>
        <v>0.38787057259644003</v>
      </c>
      <c r="AU52" s="163">
        <f t="shared" si="163"/>
        <v>0.37942992091258182</v>
      </c>
      <c r="AV52" s="163">
        <f t="shared" si="163"/>
        <v>0.39871594977730607</v>
      </c>
      <c r="AW52" s="163">
        <f t="shared" si="163"/>
        <v>0.39445514692868255</v>
      </c>
      <c r="AX52" s="163">
        <f t="shared" si="163"/>
        <v>0.37191797540186483</v>
      </c>
      <c r="AY52" s="163">
        <f t="shared" si="163"/>
        <v>0.34832384748469969</v>
      </c>
      <c r="AZ52" s="163">
        <f t="shared" si="163"/>
        <v>0.42320834418118808</v>
      </c>
      <c r="BA52" s="163">
        <f t="shared" si="163"/>
        <v>0.40945878793511753</v>
      </c>
      <c r="BB52" s="163">
        <f t="shared" si="163"/>
        <v>0.49528848666996861</v>
      </c>
      <c r="BC52" s="163">
        <f t="shared" si="163"/>
        <v>0.42626204124833</v>
      </c>
      <c r="BD52" s="163">
        <f t="shared" ca="1" si="163"/>
        <v>0.45216076352949336</v>
      </c>
      <c r="BE52" s="163">
        <f t="shared" ref="BE52" ca="1" si="164">IFERROR(BE50/BE16,"n/a")</f>
        <v>0.45421123623127174</v>
      </c>
      <c r="BF52" s="18"/>
      <c r="BG52" s="18"/>
      <c r="BH52" s="18"/>
      <c r="BI52" s="18"/>
      <c r="BJ52" s="18"/>
      <c r="BK52" s="18"/>
    </row>
    <row r="53" spans="1:63" s="54" customFormat="1" ht="11.25" customHeight="1">
      <c r="A53" s="18"/>
      <c r="B53" s="35" t="s">
        <v>100</v>
      </c>
      <c r="C53" s="18"/>
      <c r="D53" s="120"/>
      <c r="E53" s="120"/>
      <c r="F53" s="120"/>
      <c r="G53" s="120"/>
      <c r="H53" s="120">
        <f t="shared" ref="H53:W53" si="165">IF(H16&gt;D16,((H50-D50)/(H16-D16)),"n/m")</f>
        <v>0.42491318837126096</v>
      </c>
      <c r="I53" s="120">
        <f t="shared" si="165"/>
        <v>0.23593350618137837</v>
      </c>
      <c r="J53" s="163">
        <f t="shared" si="165"/>
        <v>0.35978147170940161</v>
      </c>
      <c r="K53" s="163">
        <f t="shared" si="165"/>
        <v>0.33550687189000011</v>
      </c>
      <c r="L53" s="163">
        <f t="shared" si="165"/>
        <v>0.56931781703372053</v>
      </c>
      <c r="M53" s="163">
        <f t="shared" si="165"/>
        <v>0.71888757580865481</v>
      </c>
      <c r="N53" s="163">
        <f t="shared" si="165"/>
        <v>0.70196858238661342</v>
      </c>
      <c r="O53" s="163">
        <f t="shared" si="165"/>
        <v>0.75940331167244324</v>
      </c>
      <c r="P53" s="163">
        <f t="shared" si="165"/>
        <v>0.42422154000375489</v>
      </c>
      <c r="Q53" s="163" t="str">
        <f t="shared" si="165"/>
        <v>n/m</v>
      </c>
      <c r="R53" s="163" t="str">
        <f t="shared" si="165"/>
        <v>n/m</v>
      </c>
      <c r="S53" s="163" t="str">
        <f t="shared" si="165"/>
        <v>n/m</v>
      </c>
      <c r="T53" s="163">
        <f t="shared" si="165"/>
        <v>0.2116410915931391</v>
      </c>
      <c r="U53" s="163">
        <f t="shared" si="165"/>
        <v>0.43908442359435412</v>
      </c>
      <c r="V53" s="163">
        <f t="shared" si="165"/>
        <v>0.62312976301822132</v>
      </c>
      <c r="W53" s="163">
        <f t="shared" ca="1" si="165"/>
        <v>0.63170182091727956</v>
      </c>
      <c r="X53" s="163">
        <f t="shared" ref="X53" si="166">IF(X16&gt;T16,((X50-T50)/(X16-T16)),"n/m")</f>
        <v>0.55143870857338417</v>
      </c>
      <c r="Y53" s="163">
        <f t="shared" ref="Y53" si="167">IF(Y16&gt;U16,((Y50-U50)/(Y16-U16)),"n/m")</f>
        <v>0.59793373494499713</v>
      </c>
      <c r="Z53" s="163">
        <f t="shared" ref="Z53" si="168">IF(Z16&gt;V16,((Z50-V50)/(Z16-V16)),"n/m")</f>
        <v>0.35084462499281821</v>
      </c>
      <c r="AA53" s="163">
        <f t="shared" ref="AA53" ca="1" si="169">IF(AA16&gt;W16,((AA50-W50)/(AA16-W16)),"n/m")</f>
        <v>0.35026741738763056</v>
      </c>
      <c r="AB53" s="603"/>
      <c r="AC53" s="163"/>
      <c r="AD53" s="163">
        <f t="shared" ref="AD53:BD53" si="170">IF(AD16&gt;AC16,((AD50-AC50)/(AD16-AC16)),"n/m")</f>
        <v>-0.17244033872209469</v>
      </c>
      <c r="AE53" s="163">
        <f t="shared" si="170"/>
        <v>0.48672996246411998</v>
      </c>
      <c r="AF53" s="163">
        <f t="shared" si="170"/>
        <v>0.39154524272261659</v>
      </c>
      <c r="AG53" s="163" t="str">
        <f t="shared" si="170"/>
        <v>n/m</v>
      </c>
      <c r="AH53" s="163">
        <f t="shared" si="170"/>
        <v>0.51655865553602764</v>
      </c>
      <c r="AI53" s="163">
        <f t="shared" si="170"/>
        <v>0.48437192844505639</v>
      </c>
      <c r="AJ53" s="163">
        <f t="shared" si="170"/>
        <v>0.68579386159067424</v>
      </c>
      <c r="AK53" s="163">
        <f t="shared" si="170"/>
        <v>0.26582549187339571</v>
      </c>
      <c r="AL53" s="163">
        <f t="shared" si="170"/>
        <v>0.71391762715864793</v>
      </c>
      <c r="AM53" s="163">
        <f t="shared" si="170"/>
        <v>-2.9758759333716136</v>
      </c>
      <c r="AN53" s="163">
        <f t="shared" si="170"/>
        <v>-0.69215425531914421</v>
      </c>
      <c r="AO53" s="163" t="str">
        <f t="shared" si="170"/>
        <v>n/m</v>
      </c>
      <c r="AP53" s="163">
        <f t="shared" si="170"/>
        <v>0.54293353581698922</v>
      </c>
      <c r="AQ53" s="163">
        <f t="shared" si="170"/>
        <v>-2.3356754606920296</v>
      </c>
      <c r="AR53" s="163">
        <f t="shared" si="170"/>
        <v>0.49733882305683852</v>
      </c>
      <c r="AS53" s="163">
        <f t="shared" si="170"/>
        <v>0.31294099402961911</v>
      </c>
      <c r="AT53" s="163">
        <f t="shared" si="170"/>
        <v>0.52141366372706366</v>
      </c>
      <c r="AU53" s="163">
        <f t="shared" si="170"/>
        <v>0.29963688639377334</v>
      </c>
      <c r="AV53" s="163">
        <f t="shared" si="170"/>
        <v>0.55447573271033357</v>
      </c>
      <c r="AW53" s="163">
        <f t="shared" si="170"/>
        <v>0.25758243247822588</v>
      </c>
      <c r="AX53" s="163">
        <f t="shared" si="170"/>
        <v>-3.5823918966368745E-2</v>
      </c>
      <c r="AY53" s="163">
        <f t="shared" si="170"/>
        <v>-0.28360354987502001</v>
      </c>
      <c r="AZ53" s="163">
        <f t="shared" si="170"/>
        <v>0.72077402656461875</v>
      </c>
      <c r="BA53" s="163">
        <f t="shared" si="170"/>
        <v>0.33525608571939225</v>
      </c>
      <c r="BB53" s="163">
        <f t="shared" si="170"/>
        <v>0.696695932069338</v>
      </c>
      <c r="BC53" s="163" t="str">
        <f t="shared" si="170"/>
        <v>n/m</v>
      </c>
      <c r="BD53" s="163">
        <f t="shared" ca="1" si="170"/>
        <v>0.5293560439935</v>
      </c>
      <c r="BE53" s="163">
        <f t="shared" ref="BE53" ca="1" si="171">IF(BE16&gt;BD16,((BE50-BD50)/(BE16-BD16)),"n/m")</f>
        <v>0.46309573562293882</v>
      </c>
      <c r="BF53" s="18"/>
      <c r="BG53" s="18"/>
      <c r="BH53" s="18"/>
      <c r="BI53" s="18"/>
      <c r="BJ53" s="18"/>
      <c r="BK53" s="18"/>
    </row>
    <row r="54" spans="1:63" s="54" customFormat="1" ht="11.25" customHeight="1">
      <c r="A54" s="18"/>
      <c r="B54" s="36"/>
      <c r="C54" s="18"/>
      <c r="D54" s="158"/>
      <c r="E54" s="158"/>
      <c r="F54" s="158"/>
      <c r="G54" s="158"/>
      <c r="H54" s="158"/>
      <c r="I54" s="158"/>
      <c r="J54" s="158"/>
      <c r="K54" s="158"/>
      <c r="L54" s="158"/>
      <c r="M54" s="158"/>
      <c r="N54" s="158"/>
      <c r="O54" s="158"/>
      <c r="P54" s="158"/>
      <c r="Q54" s="158"/>
      <c r="R54" s="158"/>
      <c r="S54" s="158"/>
      <c r="T54" s="158"/>
      <c r="U54" s="158"/>
      <c r="V54" s="158"/>
      <c r="W54" s="158"/>
      <c r="X54" s="158"/>
      <c r="Y54" s="158"/>
      <c r="Z54" s="158"/>
      <c r="AA54" s="158"/>
      <c r="AB54" s="18"/>
      <c r="AC54" s="18"/>
      <c r="AD54" s="18"/>
      <c r="AE54" s="18"/>
      <c r="AF54" s="18"/>
      <c r="AG54" s="18"/>
      <c r="AH54" s="18"/>
      <c r="AI54" s="18"/>
      <c r="AJ54" s="18"/>
      <c r="AK54" s="18"/>
      <c r="AL54" s="18"/>
      <c r="AM54" s="18"/>
      <c r="AN54" s="18"/>
      <c r="AO54" s="18"/>
      <c r="AP54" s="18"/>
      <c r="AQ54" s="18"/>
      <c r="AR54" s="18"/>
      <c r="AS54" s="18"/>
      <c r="AT54" s="18"/>
      <c r="AU54" s="18"/>
      <c r="AV54" s="158"/>
      <c r="AW54" s="158"/>
      <c r="AX54" s="158"/>
      <c r="AY54" s="158"/>
      <c r="AZ54" s="158"/>
      <c r="BA54" s="158"/>
      <c r="BB54" s="158"/>
      <c r="BC54" s="158"/>
      <c r="BD54" s="158"/>
      <c r="BE54" s="158"/>
      <c r="BF54" s="18"/>
      <c r="BG54" s="52"/>
      <c r="BH54" s="52"/>
      <c r="BI54" s="52"/>
      <c r="BJ54" s="52"/>
      <c r="BK54" s="52"/>
    </row>
    <row r="55" spans="1:63" s="54" customFormat="1" ht="11.25" customHeight="1">
      <c r="A55" s="18"/>
      <c r="B55" s="30" t="s">
        <v>141</v>
      </c>
      <c r="C55" s="18"/>
      <c r="D55" s="20">
        <f>D311</f>
        <v>0.72599999999999998</v>
      </c>
      <c r="E55" s="20">
        <f t="shared" ref="E55:T57" si="172">E311</f>
        <v>0.67900000000000005</v>
      </c>
      <c r="F55" s="20">
        <f t="shared" si="172"/>
        <v>0.83299999999999996</v>
      </c>
      <c r="G55" s="20">
        <f t="shared" si="172"/>
        <v>1.355</v>
      </c>
      <c r="H55" s="20">
        <f t="shared" si="172"/>
        <v>1.2669999999999999</v>
      </c>
      <c r="I55" s="20">
        <f t="shared" si="172"/>
        <v>1.1719999999999999</v>
      </c>
      <c r="J55" s="20">
        <f t="shared" si="172"/>
        <v>1.5129999999999999</v>
      </c>
      <c r="K55" s="20">
        <f t="shared" si="172"/>
        <v>1.651</v>
      </c>
      <c r="L55" s="20">
        <f t="shared" si="172"/>
        <v>1.726</v>
      </c>
      <c r="M55" s="20">
        <f t="shared" si="172"/>
        <v>2.2570000000000001</v>
      </c>
      <c r="N55" s="20">
        <f t="shared" si="172"/>
        <v>2.0779999999999998</v>
      </c>
      <c r="O55" s="20">
        <f t="shared" si="172"/>
        <v>1.738</v>
      </c>
      <c r="P55" s="20">
        <f t="shared" si="172"/>
        <v>1.0389999999999999</v>
      </c>
      <c r="Q55" s="20">
        <f t="shared" si="172"/>
        <v>1.1339999999999999</v>
      </c>
      <c r="R55" s="20">
        <f t="shared" si="172"/>
        <v>1.167</v>
      </c>
      <c r="S55" s="20">
        <f t="shared" si="172"/>
        <v>1.3149999999999999</v>
      </c>
      <c r="T55" s="20">
        <f t="shared" si="172"/>
        <v>0.878</v>
      </c>
      <c r="U55" s="20">
        <f t="shared" ref="U55:V55" si="173">U311</f>
        <v>1.1519999999999999</v>
      </c>
      <c r="V55" s="20">
        <f t="shared" si="173"/>
        <v>1.5609999999999999</v>
      </c>
      <c r="W55" s="217">
        <f ca="1">V55/V50*W50</f>
        <v>1.7698913011865238</v>
      </c>
      <c r="X55" s="217">
        <f t="shared" ref="X55:AA55" ca="1" si="174">W55/W50*X50</f>
        <v>1.5723998116417379</v>
      </c>
      <c r="Y55" s="217">
        <f t="shared" ca="1" si="174"/>
        <v>1.588402580490232</v>
      </c>
      <c r="Z55" s="217">
        <f t="shared" ca="1" si="174"/>
        <v>1.7916533029281689</v>
      </c>
      <c r="AA55" s="217">
        <f t="shared" ca="1" si="174"/>
        <v>2.0309166717648131</v>
      </c>
      <c r="AB55" s="18"/>
      <c r="AC55" s="20">
        <f t="shared" ref="AC55:AQ55" si="175">AC311</f>
        <v>-6.4000000000000001E-2</v>
      </c>
      <c r="AD55" s="20">
        <f t="shared" si="175"/>
        <v>-1.4</v>
      </c>
      <c r="AE55" s="20">
        <f t="shared" si="175"/>
        <v>-0.28899999999999998</v>
      </c>
      <c r="AF55" s="20">
        <f t="shared" si="175"/>
        <v>-0.187</v>
      </c>
      <c r="AG55" s="20">
        <f t="shared" si="175"/>
        <v>-3.9590000000000001</v>
      </c>
      <c r="AH55" s="20">
        <f t="shared" si="175"/>
        <v>-1.9770000000000001</v>
      </c>
      <c r="AI55" s="20">
        <f t="shared" si="175"/>
        <v>-0.29399999999999998</v>
      </c>
      <c r="AJ55" s="20">
        <f t="shared" si="175"/>
        <v>2.0939999999999999</v>
      </c>
      <c r="AK55" s="20">
        <f t="shared" si="175"/>
        <v>1.4339999999999999</v>
      </c>
      <c r="AL55" s="20">
        <f t="shared" si="175"/>
        <v>2.347</v>
      </c>
      <c r="AM55" s="20">
        <f t="shared" si="175"/>
        <v>2.508</v>
      </c>
      <c r="AN55" s="20">
        <f t="shared" si="175"/>
        <v>0.70199999999999996</v>
      </c>
      <c r="AO55" s="20">
        <f t="shared" si="175"/>
        <v>4.5999999999999999E-2</v>
      </c>
      <c r="AP55" s="20">
        <f t="shared" si="175"/>
        <v>2.298</v>
      </c>
      <c r="AQ55" s="20">
        <f t="shared" si="175"/>
        <v>0.89800000000000002</v>
      </c>
      <c r="AR55" s="20">
        <f t="shared" ref="AR55:BC55" si="176">AR311</f>
        <v>2.073</v>
      </c>
      <c r="AS55" s="20">
        <f t="shared" si="176"/>
        <v>3.972</v>
      </c>
      <c r="AT55" s="20">
        <f t="shared" si="176"/>
        <v>3.9510000000000001</v>
      </c>
      <c r="AU55" s="20">
        <f t="shared" si="176"/>
        <v>4.1319999999999997</v>
      </c>
      <c r="AV55" s="20">
        <f t="shared" si="176"/>
        <v>3.4950000000000001</v>
      </c>
      <c r="AW55" s="20">
        <f t="shared" si="176"/>
        <v>2.9860000000000002</v>
      </c>
      <c r="AX55" s="20">
        <f t="shared" si="176"/>
        <v>3.0579999999999998</v>
      </c>
      <c r="AY55" s="20">
        <f t="shared" si="176"/>
        <v>2.8439999999999999</v>
      </c>
      <c r="AZ55" s="20">
        <f t="shared" si="176"/>
        <v>3.593</v>
      </c>
      <c r="BA55" s="20">
        <f t="shared" si="176"/>
        <v>5.6029999999999998</v>
      </c>
      <c r="BB55" s="20">
        <f t="shared" si="176"/>
        <v>7.7990000000000004</v>
      </c>
      <c r="BC55" s="20">
        <f t="shared" si="176"/>
        <v>4.6550000000000002</v>
      </c>
      <c r="BD55" s="20">
        <f ca="1">SUM(T55:W55)</f>
        <v>5.3608913011865233</v>
      </c>
      <c r="BE55" s="20">
        <f t="shared" ref="BE55:BE62" ca="1" si="177">+SUM(X55:AA55)</f>
        <v>6.9833723668249519</v>
      </c>
      <c r="BF55" s="18"/>
      <c r="BG55" s="52"/>
      <c r="BH55" s="52"/>
      <c r="BI55" s="52"/>
      <c r="BJ55" s="52"/>
      <c r="BK55" s="52"/>
    </row>
    <row r="56" spans="1:63" s="54" customFormat="1" ht="11.25" customHeight="1">
      <c r="A56" s="18"/>
      <c r="B56" s="30" t="s">
        <v>280</v>
      </c>
      <c r="C56" s="18"/>
      <c r="D56" s="20">
        <f>D312</f>
        <v>2.4580000000000002</v>
      </c>
      <c r="E56" s="20">
        <f t="shared" ref="E56:S56" si="178">E312</f>
        <v>2.0699999999999998</v>
      </c>
      <c r="F56" s="20">
        <f t="shared" si="178"/>
        <v>1.524</v>
      </c>
      <c r="G56" s="20">
        <f t="shared" si="178"/>
        <v>0.88500000000000001</v>
      </c>
      <c r="H56" s="20">
        <f t="shared" si="178"/>
        <v>0.68899999999999995</v>
      </c>
      <c r="I56" s="20">
        <f t="shared" si="178"/>
        <v>0.29399999999999998</v>
      </c>
      <c r="J56" s="20">
        <f t="shared" si="178"/>
        <v>2.3E-2</v>
      </c>
      <c r="K56" s="20">
        <f t="shared" si="178"/>
        <v>-0.71199999999999997</v>
      </c>
      <c r="L56" s="20">
        <f t="shared" si="178"/>
        <v>-0.46700000000000003</v>
      </c>
      <c r="M56" s="20">
        <f t="shared" si="178"/>
        <v>0.64200000000000002</v>
      </c>
      <c r="N56" s="20">
        <f t="shared" si="178"/>
        <v>3.2450000000000001</v>
      </c>
      <c r="O56" s="20">
        <f t="shared" si="178"/>
        <v>7.2519999999999998</v>
      </c>
      <c r="P56" s="20">
        <f t="shared" si="178"/>
        <v>10.654</v>
      </c>
      <c r="Q56" s="20">
        <f t="shared" si="178"/>
        <v>10.667</v>
      </c>
      <c r="R56" s="20">
        <f t="shared" si="178"/>
        <v>12.483000000000001</v>
      </c>
      <c r="S56" s="20">
        <f t="shared" si="178"/>
        <v>14.49</v>
      </c>
      <c r="T56" s="20">
        <f t="shared" si="172"/>
        <v>16.661000000000001</v>
      </c>
      <c r="U56" s="20">
        <f t="shared" ref="U56:V56" si="179">U312</f>
        <v>18.341000000000001</v>
      </c>
      <c r="V56" s="20">
        <f t="shared" si="179"/>
        <v>19.966000000000001</v>
      </c>
      <c r="W56" s="217">
        <f>V56/U99*V99</f>
        <v>22.580677962169123</v>
      </c>
      <c r="X56" s="217">
        <f t="shared" ref="X56:AA56" ca="1" si="180">W56/V99*W99</f>
        <v>25.72078113900108</v>
      </c>
      <c r="Y56" s="217">
        <f t="shared" ca="1" si="180"/>
        <v>29.948846735723162</v>
      </c>
      <c r="Z56" s="217">
        <f t="shared" ca="1" si="180"/>
        <v>34.35963729938247</v>
      </c>
      <c r="AA56" s="217">
        <f t="shared" ca="1" si="180"/>
        <v>39.592024720766588</v>
      </c>
      <c r="AB56" s="18"/>
      <c r="AC56" s="20">
        <f t="shared" ref="AC56:AQ56" si="181">AC312</f>
        <v>-4.505600000000004E-2</v>
      </c>
      <c r="AD56" s="20">
        <f t="shared" si="181"/>
        <v>-0.41536799999999996</v>
      </c>
      <c r="AE56" s="20">
        <f t="shared" si="181"/>
        <v>-0.60691100000000009</v>
      </c>
      <c r="AF56" s="20">
        <f t="shared" si="181"/>
        <v>-0.28273700000000007</v>
      </c>
      <c r="AG56" s="20">
        <f t="shared" si="181"/>
        <v>-0.58591099999999985</v>
      </c>
      <c r="AH56" s="20">
        <f t="shared" si="181"/>
        <v>-1.111788</v>
      </c>
      <c r="AI56" s="20">
        <f t="shared" si="181"/>
        <v>-0.75696600000000014</v>
      </c>
      <c r="AJ56" s="20">
        <f t="shared" si="181"/>
        <v>0.40960900000000017</v>
      </c>
      <c r="AK56" s="20">
        <f t="shared" si="181"/>
        <v>0.34040999999999938</v>
      </c>
      <c r="AL56" s="20">
        <f t="shared" si="181"/>
        <v>3.6509999999999998</v>
      </c>
      <c r="AM56" s="20">
        <f t="shared" si="181"/>
        <v>4.8094580000000002</v>
      </c>
      <c r="AN56" s="20">
        <f t="shared" si="181"/>
        <v>4.7588350000000004</v>
      </c>
      <c r="AO56" s="20">
        <f t="shared" si="181"/>
        <v>2.2094459999999998</v>
      </c>
      <c r="AP56" s="20">
        <f t="shared" si="181"/>
        <v>1.2398370000000001</v>
      </c>
      <c r="AQ56" s="20">
        <f t="shared" si="181"/>
        <v>0.85278899999999991</v>
      </c>
      <c r="AR56" s="20">
        <f t="shared" ref="AR56:BC56" si="182">AR312</f>
        <v>0.624614</v>
      </c>
      <c r="AS56" s="20">
        <f t="shared" si="182"/>
        <v>-0.81100000000000005</v>
      </c>
      <c r="AT56" s="20">
        <f t="shared" si="182"/>
        <v>-0.50600000000000001</v>
      </c>
      <c r="AU56" s="20">
        <f t="shared" si="182"/>
        <v>0.93899999999999995</v>
      </c>
      <c r="AV56" s="20">
        <f t="shared" si="182"/>
        <v>3.0110000000000001</v>
      </c>
      <c r="AW56" s="20">
        <f t="shared" si="182"/>
        <v>6.1340000000000003</v>
      </c>
      <c r="AX56" s="20">
        <f t="shared" si="182"/>
        <v>11.643000000000001</v>
      </c>
      <c r="AY56" s="20">
        <f t="shared" si="182"/>
        <v>12.939</v>
      </c>
      <c r="AZ56" s="20">
        <f t="shared" si="182"/>
        <v>6.9370000000000003</v>
      </c>
      <c r="BA56" s="20">
        <f t="shared" si="182"/>
        <v>0.29399999999999998</v>
      </c>
      <c r="BB56" s="20">
        <f t="shared" si="182"/>
        <v>10.672000000000001</v>
      </c>
      <c r="BC56" s="20">
        <f t="shared" si="182"/>
        <v>48.293999999999997</v>
      </c>
      <c r="BD56" s="20">
        <f>SUM(T56:W56)</f>
        <v>77.548677962169123</v>
      </c>
      <c r="BE56" s="20">
        <f t="shared" ca="1" si="177"/>
        <v>129.62128989487331</v>
      </c>
      <c r="BF56" s="18"/>
      <c r="BG56" s="52"/>
      <c r="BH56" s="52"/>
      <c r="BI56" s="52"/>
      <c r="BJ56" s="52"/>
      <c r="BK56" s="52"/>
    </row>
    <row r="57" spans="1:63" ht="13.5" customHeight="1">
      <c r="A57" s="2"/>
      <c r="B57" s="30" t="s">
        <v>19</v>
      </c>
      <c r="C57" s="2"/>
      <c r="D57" s="21">
        <f>D313</f>
        <v>0.441</v>
      </c>
      <c r="E57" s="21">
        <f t="shared" si="172"/>
        <v>2.556</v>
      </c>
      <c r="F57" s="21">
        <f t="shared" si="172"/>
        <v>2.7189999999999999</v>
      </c>
      <c r="G57" s="21">
        <f t="shared" si="172"/>
        <v>1.7470000000000001</v>
      </c>
      <c r="H57" s="21">
        <f t="shared" si="172"/>
        <v>2.57</v>
      </c>
      <c r="I57" s="21">
        <f t="shared" si="172"/>
        <v>2.258</v>
      </c>
      <c r="J57" s="21">
        <f t="shared" si="172"/>
        <v>1.3120000000000001</v>
      </c>
      <c r="K57" s="21">
        <f t="shared" si="172"/>
        <v>1.1080000000000001</v>
      </c>
      <c r="L57" s="21">
        <f t="shared" si="172"/>
        <v>1.7829999999999999</v>
      </c>
      <c r="M57" s="21">
        <f t="shared" si="172"/>
        <v>0.97499999999999998</v>
      </c>
      <c r="N57" s="21">
        <f t="shared" si="172"/>
        <v>1.044</v>
      </c>
      <c r="O57" s="21">
        <f t="shared" si="172"/>
        <v>0.63900000000000001</v>
      </c>
      <c r="P57" s="21">
        <f t="shared" si="172"/>
        <v>1.3440000000000001</v>
      </c>
      <c r="Q57" s="21">
        <f t="shared" si="172"/>
        <v>0.91600000000000004</v>
      </c>
      <c r="R57" s="21">
        <f t="shared" si="172"/>
        <v>0.22500000000000001</v>
      </c>
      <c r="S57" s="21">
        <f t="shared" si="172"/>
        <v>2.2709999999999999</v>
      </c>
      <c r="T57" s="21">
        <f t="shared" si="172"/>
        <v>-1.4E-2</v>
      </c>
      <c r="U57" s="21">
        <f t="shared" ref="U57:V57" si="183">U313</f>
        <v>0.26200000000000001</v>
      </c>
      <c r="V57" s="21">
        <f t="shared" si="183"/>
        <v>1.8939999999999999</v>
      </c>
      <c r="W57" s="166">
        <v>0</v>
      </c>
      <c r="X57" s="166">
        <v>0</v>
      </c>
      <c r="Y57" s="166">
        <v>0</v>
      </c>
      <c r="Z57" s="166">
        <v>0</v>
      </c>
      <c r="AA57" s="166">
        <v>0</v>
      </c>
      <c r="AB57" s="2"/>
      <c r="AC57" s="21">
        <f t="shared" ref="AC57:AQ57" si="184">AC313</f>
        <v>0.50905600000000006</v>
      </c>
      <c r="AD57" s="21">
        <f t="shared" si="184"/>
        <v>0.67136799999999996</v>
      </c>
      <c r="AE57" s="21">
        <f t="shared" si="184"/>
        <v>-0.27708899999999997</v>
      </c>
      <c r="AF57" s="21">
        <f t="shared" si="184"/>
        <v>3.0767370000000001</v>
      </c>
      <c r="AG57" s="21">
        <f t="shared" si="184"/>
        <v>2.5539109999999998</v>
      </c>
      <c r="AH57" s="21">
        <f t="shared" si="184"/>
        <v>-1.2782120000000001</v>
      </c>
      <c r="AI57" s="21">
        <f t="shared" si="184"/>
        <v>0.92896600000000018</v>
      </c>
      <c r="AJ57" s="21">
        <f t="shared" si="184"/>
        <v>0.98039100000000001</v>
      </c>
      <c r="AK57" s="21">
        <f t="shared" si="184"/>
        <v>1.5215900000000004</v>
      </c>
      <c r="AL57" s="21">
        <f t="shared" si="184"/>
        <v>9.9000000000000643E-2</v>
      </c>
      <c r="AM57" s="21">
        <f t="shared" si="184"/>
        <v>2.6025419999999997</v>
      </c>
      <c r="AN57" s="21">
        <f t="shared" si="184"/>
        <v>1.5761649999999996</v>
      </c>
      <c r="AO57" s="21">
        <f t="shared" si="184"/>
        <v>1.2455540000000001</v>
      </c>
      <c r="AP57" s="21">
        <f t="shared" si="184"/>
        <v>7.557163000000001</v>
      </c>
      <c r="AQ57" s="21">
        <f t="shared" si="184"/>
        <v>1.840211</v>
      </c>
      <c r="AR57" s="21">
        <f t="shared" ref="AR57:BC57" si="185">AR313</f>
        <v>-2.1989999999999998</v>
      </c>
      <c r="AS57" s="21">
        <f t="shared" si="185"/>
        <v>2.8969999999999998</v>
      </c>
      <c r="AT57" s="21">
        <f t="shared" si="185"/>
        <v>2.7639999999999998</v>
      </c>
      <c r="AU57" s="21">
        <f t="shared" si="185"/>
        <v>25.31</v>
      </c>
      <c r="AV57" s="21">
        <f t="shared" si="185"/>
        <v>1.4950000000000001</v>
      </c>
      <c r="AW57" s="21">
        <f t="shared" si="185"/>
        <v>1.454</v>
      </c>
      <c r="AX57" s="21">
        <f t="shared" si="185"/>
        <v>-0.81499999999999995</v>
      </c>
      <c r="AY57" s="21">
        <f t="shared" si="185"/>
        <v>1.361</v>
      </c>
      <c r="AZ57" s="21">
        <f t="shared" si="185"/>
        <v>7.4630000000000001</v>
      </c>
      <c r="BA57" s="21">
        <f t="shared" si="185"/>
        <v>7.2480000000000002</v>
      </c>
      <c r="BB57" s="21">
        <f t="shared" si="185"/>
        <v>4.4409999999999998</v>
      </c>
      <c r="BC57" s="21">
        <f t="shared" si="185"/>
        <v>4.7560000000000002</v>
      </c>
      <c r="BD57" s="21">
        <f>SUM(T57:W57)</f>
        <v>2.1419999999999999</v>
      </c>
      <c r="BE57" s="21">
        <f t="shared" si="177"/>
        <v>0</v>
      </c>
      <c r="BF57" s="2"/>
      <c r="BG57" s="84"/>
      <c r="BH57" s="84"/>
      <c r="BI57" s="84"/>
      <c r="BJ57" s="84"/>
      <c r="BK57" s="84"/>
    </row>
    <row r="58" spans="1:63" s="54" customFormat="1" ht="11.25" customHeight="1">
      <c r="A58" s="55"/>
      <c r="B58" s="129" t="s">
        <v>134</v>
      </c>
      <c r="C58" s="55"/>
      <c r="D58" s="117">
        <f t="shared" ref="D58:W58" si="186">D50+SUM(D55:D57)</f>
        <v>132.14718300000004</v>
      </c>
      <c r="E58" s="117">
        <f t="shared" si="186"/>
        <v>136.498367</v>
      </c>
      <c r="F58" s="117">
        <f t="shared" si="186"/>
        <v>155.12420400000005</v>
      </c>
      <c r="G58" s="117">
        <f t="shared" si="186"/>
        <v>161.00705700000006</v>
      </c>
      <c r="H58" s="117">
        <f t="shared" si="186"/>
        <v>155.06423000000007</v>
      </c>
      <c r="I58" s="117">
        <f t="shared" si="186"/>
        <v>149.391122</v>
      </c>
      <c r="J58" s="117">
        <f t="shared" si="186"/>
        <v>173.85137899999998</v>
      </c>
      <c r="K58" s="117">
        <f t="shared" si="186"/>
        <v>184.81930599999998</v>
      </c>
      <c r="L58" s="117">
        <f t="shared" si="186"/>
        <v>226.83187300000006</v>
      </c>
      <c r="M58" s="117">
        <f t="shared" si="186"/>
        <v>265.99780800000013</v>
      </c>
      <c r="N58" s="117">
        <f t="shared" si="186"/>
        <v>316.69174299999986</v>
      </c>
      <c r="O58" s="117">
        <f t="shared" si="186"/>
        <v>334.66986800000006</v>
      </c>
      <c r="P58" s="117">
        <f t="shared" si="186"/>
        <v>244.27497299999996</v>
      </c>
      <c r="Q58" s="117">
        <f t="shared" si="186"/>
        <v>214.675254</v>
      </c>
      <c r="R58" s="117">
        <f t="shared" si="186"/>
        <v>241.93975799999996</v>
      </c>
      <c r="S58" s="117">
        <f t="shared" si="186"/>
        <v>278.28101499999997</v>
      </c>
      <c r="T58" s="117">
        <f t="shared" si="186"/>
        <v>266.54320100000007</v>
      </c>
      <c r="U58" s="117">
        <f t="shared" si="186"/>
        <v>306.31117699999993</v>
      </c>
      <c r="V58" s="117">
        <f t="shared" ref="V58" si="187">V50+SUM(V55:V57)</f>
        <v>384.18700000000001</v>
      </c>
      <c r="W58" s="117">
        <f t="shared" ca="1" si="186"/>
        <v>433.39387814475054</v>
      </c>
      <c r="X58" s="117">
        <f t="shared" ref="X58" ca="1" si="188">X50+SUM(X55:X57)</f>
        <v>390.69381544567369</v>
      </c>
      <c r="Y58" s="117">
        <f t="shared" ref="Y58" ca="1" si="189">Y50+SUM(Y55:Y57)</f>
        <v>398.63631744762853</v>
      </c>
      <c r="Z58" s="117">
        <f t="shared" ref="Z58" ca="1" si="190">Z50+SUM(Z55:Z57)</f>
        <v>450.22406157231944</v>
      </c>
      <c r="AA58" s="117">
        <f t="shared" ref="AA58" ca="1" si="191">AA50+SUM(AA55:AA57)</f>
        <v>510.99237381143246</v>
      </c>
      <c r="AB58" s="55"/>
      <c r="AC58" s="117">
        <f t="shared" ref="AC58:BD58" si="192">AC50+SUM(AC55:AC57)</f>
        <v>15.328000000000001</v>
      </c>
      <c r="AD58" s="117">
        <f t="shared" si="192"/>
        <v>12.663999999999996</v>
      </c>
      <c r="AE58" s="117">
        <f t="shared" si="192"/>
        <v>23.656999999999989</v>
      </c>
      <c r="AF58" s="117">
        <f t="shared" si="192"/>
        <v>63.902000000000001</v>
      </c>
      <c r="AG58" s="117">
        <f t="shared" si="192"/>
        <v>10.787000000000013</v>
      </c>
      <c r="AH58" s="117">
        <f t="shared" si="192"/>
        <v>27.221999999999987</v>
      </c>
      <c r="AI58" s="117">
        <f t="shared" si="192"/>
        <v>51.179000000000016</v>
      </c>
      <c r="AJ58" s="117">
        <f t="shared" si="192"/>
        <v>91.966000000000008</v>
      </c>
      <c r="AK58" s="117">
        <f t="shared" si="192"/>
        <v>94.26400000000001</v>
      </c>
      <c r="AL58" s="117">
        <f t="shared" si="192"/>
        <v>133.36199999999997</v>
      </c>
      <c r="AM58" s="117">
        <f t="shared" si="192"/>
        <v>121.642</v>
      </c>
      <c r="AN58" s="117">
        <f t="shared" si="192"/>
        <v>111.47200000000004</v>
      </c>
      <c r="AO58" s="117">
        <f t="shared" si="192"/>
        <v>95.463000000000022</v>
      </c>
      <c r="AP58" s="117">
        <f t="shared" si="192"/>
        <v>170.27</v>
      </c>
      <c r="AQ58" s="117">
        <f t="shared" si="192"/>
        <v>145.14800000000002</v>
      </c>
      <c r="AR58" s="117">
        <f t="shared" si="192"/>
        <v>181.675614</v>
      </c>
      <c r="AS58" s="117">
        <f t="shared" si="192"/>
        <v>215.48699999999997</v>
      </c>
      <c r="AT58" s="117">
        <f t="shared" si="192"/>
        <v>302.07900000000006</v>
      </c>
      <c r="AU58" s="117">
        <f t="shared" si="192"/>
        <v>350.42899999999997</v>
      </c>
      <c r="AV58" s="117">
        <f t="shared" si="192"/>
        <v>385.95899999999995</v>
      </c>
      <c r="AW58" s="117">
        <f t="shared" si="192"/>
        <v>396.13299999999992</v>
      </c>
      <c r="AX58" s="117">
        <f t="shared" si="192"/>
        <v>397.50955700000003</v>
      </c>
      <c r="AY58" s="117">
        <f t="shared" si="192"/>
        <v>389.84544800000015</v>
      </c>
      <c r="AZ58" s="117">
        <f t="shared" si="192"/>
        <v>584.77681100000007</v>
      </c>
      <c r="BA58" s="117">
        <f t="shared" si="192"/>
        <v>663.12603699999966</v>
      </c>
      <c r="BB58" s="117">
        <f t="shared" si="192"/>
        <v>1144.1912920000002</v>
      </c>
      <c r="BC58" s="117">
        <f t="shared" si="192"/>
        <v>979.17099999999994</v>
      </c>
      <c r="BD58" s="117">
        <f t="shared" ca="1" si="192"/>
        <v>1390.4352561447513</v>
      </c>
      <c r="BE58" s="117">
        <f t="shared" ca="1" si="177"/>
        <v>1750.5465682770541</v>
      </c>
      <c r="BF58" s="55"/>
      <c r="BG58" s="84">
        <f>ROUND(AZ58-SUM(D58:G58),1)</f>
        <v>0</v>
      </c>
      <c r="BH58" s="84">
        <f>ROUND(BA58-SUM(H58:K58),1)</f>
        <v>0</v>
      </c>
      <c r="BI58" s="84">
        <f>ROUND(BB58-SUM(L58:O58),1)</f>
        <v>0</v>
      </c>
      <c r="BJ58" s="84">
        <f>ROUND(BC58-SUM(P58:S58),1)</f>
        <v>0</v>
      </c>
      <c r="BK58" s="84">
        <f ca="1">ROUND(BD58-SUM(T58:W58),1)</f>
        <v>0</v>
      </c>
    </row>
    <row r="59" spans="1:63" ht="13.5" customHeight="1">
      <c r="A59" s="2"/>
      <c r="B59" s="30" t="s">
        <v>254</v>
      </c>
      <c r="C59" s="2"/>
      <c r="D59" s="24">
        <f>MAX(0,D58*D66)</f>
        <v>19.822077450000005</v>
      </c>
      <c r="E59" s="24">
        <f t="shared" ref="E59:W59" si="193">MAX(0,E58*E66)</f>
        <v>20.474755049999999</v>
      </c>
      <c r="F59" s="24">
        <f t="shared" si="193"/>
        <v>23.268630600000005</v>
      </c>
      <c r="G59" s="24">
        <f t="shared" si="193"/>
        <v>24.151058550000009</v>
      </c>
      <c r="H59" s="24">
        <f t="shared" si="193"/>
        <v>23.259634500000008</v>
      </c>
      <c r="I59" s="24">
        <f t="shared" si="193"/>
        <v>22.408668299999999</v>
      </c>
      <c r="J59" s="24">
        <f t="shared" si="193"/>
        <v>26.077706849999995</v>
      </c>
      <c r="K59" s="24">
        <f t="shared" si="193"/>
        <v>27.722895899999997</v>
      </c>
      <c r="L59" s="24">
        <f t="shared" si="193"/>
        <v>34.024780950000007</v>
      </c>
      <c r="M59" s="24">
        <f t="shared" si="193"/>
        <v>39.899671200000022</v>
      </c>
      <c r="N59" s="24">
        <f t="shared" si="193"/>
        <v>47.503761449999978</v>
      </c>
      <c r="O59" s="24">
        <f t="shared" si="193"/>
        <v>50.200480200000008</v>
      </c>
      <c r="P59" s="24">
        <f t="shared" si="193"/>
        <v>36.641245949999991</v>
      </c>
      <c r="Q59" s="24">
        <f t="shared" si="193"/>
        <v>32.201288099999999</v>
      </c>
      <c r="R59" s="24">
        <f t="shared" si="193"/>
        <v>36.290963699999992</v>
      </c>
      <c r="S59" s="24">
        <f t="shared" si="193"/>
        <v>41.742152249999997</v>
      </c>
      <c r="T59" s="24">
        <f t="shared" si="193"/>
        <v>39.98148015000001</v>
      </c>
      <c r="U59" s="24">
        <f t="shared" si="193"/>
        <v>45.946676549999985</v>
      </c>
      <c r="V59" s="24">
        <f t="shared" ref="V59" si="194">MAX(0,V58*V66)</f>
        <v>57.628050000000002</v>
      </c>
      <c r="W59" s="24">
        <f t="shared" ca="1" si="193"/>
        <v>65.009081721712576</v>
      </c>
      <c r="X59" s="24">
        <f t="shared" ref="X59:AA59" ca="1" si="195">MAX(0,X58*X66)</f>
        <v>58.604072316851052</v>
      </c>
      <c r="Y59" s="24">
        <f t="shared" ca="1" si="195"/>
        <v>59.795447617144276</v>
      </c>
      <c r="Z59" s="24">
        <f t="shared" ca="1" si="195"/>
        <v>67.533609235847919</v>
      </c>
      <c r="AA59" s="24">
        <f t="shared" ca="1" si="195"/>
        <v>76.64885607171486</v>
      </c>
      <c r="AB59" s="2"/>
      <c r="AC59" s="24">
        <f>MAX(0,AC58*AC66)</f>
        <v>2.2991999999999999</v>
      </c>
      <c r="AD59" s="24">
        <f t="shared" ref="AD59:AQ59" si="196">MAX(0,AD58*AD66)</f>
        <v>1.8995999999999993</v>
      </c>
      <c r="AE59" s="24">
        <f t="shared" si="196"/>
        <v>3.5485499999999983</v>
      </c>
      <c r="AF59" s="24">
        <f t="shared" si="196"/>
        <v>9.5853000000000002</v>
      </c>
      <c r="AG59" s="24">
        <f t="shared" si="196"/>
        <v>1.618050000000002</v>
      </c>
      <c r="AH59" s="24">
        <f t="shared" si="196"/>
        <v>4.0832999999999977</v>
      </c>
      <c r="AI59" s="24">
        <f t="shared" si="196"/>
        <v>7.6768500000000017</v>
      </c>
      <c r="AJ59" s="24">
        <f t="shared" si="196"/>
        <v>13.7949</v>
      </c>
      <c r="AK59" s="24">
        <f t="shared" si="196"/>
        <v>14.139600000000002</v>
      </c>
      <c r="AL59" s="24">
        <f t="shared" si="196"/>
        <v>20.004299999999994</v>
      </c>
      <c r="AM59" s="24">
        <f t="shared" si="196"/>
        <v>18.246299999999998</v>
      </c>
      <c r="AN59" s="24">
        <f t="shared" si="196"/>
        <v>16.720800000000004</v>
      </c>
      <c r="AO59" s="24">
        <f t="shared" si="196"/>
        <v>14.319450000000003</v>
      </c>
      <c r="AP59" s="24">
        <f t="shared" si="196"/>
        <v>25.540500000000002</v>
      </c>
      <c r="AQ59" s="24">
        <f t="shared" si="196"/>
        <v>21.772200000000002</v>
      </c>
      <c r="AR59" s="24">
        <f t="shared" ref="AR59" si="197">MAX(0,AR58*AR66)</f>
        <v>27.251342099999999</v>
      </c>
      <c r="AS59" s="24">
        <f t="shared" ref="AS59" si="198">MAX(0,AS58*AS66)</f>
        <v>32.323049999999995</v>
      </c>
      <c r="AT59" s="24">
        <f t="shared" ref="AT59" si="199">MAX(0,AT58*AT66)</f>
        <v>45.311850000000007</v>
      </c>
      <c r="AU59" s="24">
        <f t="shared" ref="AU59" si="200">MAX(0,AU58*AU66)</f>
        <v>52.564349999999997</v>
      </c>
      <c r="AV59" s="24">
        <f t="shared" ref="AV59" si="201">MAX(0,AV58*AV66)</f>
        <v>57.893849999999986</v>
      </c>
      <c r="AW59" s="24">
        <f t="shared" ref="AW59" si="202">MAX(0,AW58*AW66)</f>
        <v>59.419949999999986</v>
      </c>
      <c r="AX59" s="24">
        <f t="shared" ref="AX59:AY59" si="203">MAX(0,AX58*AX66)</f>
        <v>59.626433550000002</v>
      </c>
      <c r="AY59" s="24">
        <f t="shared" si="203"/>
        <v>58.476817200000021</v>
      </c>
      <c r="AZ59" s="24">
        <f>SUM(D59:G59)</f>
        <v>87.716521650000033</v>
      </c>
      <c r="BA59" s="24">
        <f>SUM(H59:K59)</f>
        <v>99.468905550000002</v>
      </c>
      <c r="BB59" s="24">
        <f>SUM(L59:O59)</f>
        <v>171.62869380000004</v>
      </c>
      <c r="BC59" s="24">
        <f>SUM(P59:S59)</f>
        <v>146.87564999999998</v>
      </c>
      <c r="BD59" s="24">
        <f ca="1">SUM(T59:W59)</f>
        <v>208.56528842171258</v>
      </c>
      <c r="BE59" s="24">
        <f t="shared" ca="1" si="177"/>
        <v>262.58198524155813</v>
      </c>
      <c r="BF59" s="2"/>
      <c r="BG59" s="84"/>
      <c r="BH59" s="84"/>
      <c r="BI59" s="84"/>
      <c r="BJ59" s="84"/>
      <c r="BK59" s="84"/>
    </row>
    <row r="60" spans="1:63" s="54" customFormat="1" ht="11.25" customHeight="1">
      <c r="A60" s="55"/>
      <c r="B60" s="129" t="s">
        <v>257</v>
      </c>
      <c r="C60" s="55"/>
      <c r="D60" s="117">
        <f>D58-D59</f>
        <v>112.32510555000003</v>
      </c>
      <c r="E60" s="117">
        <f t="shared" ref="E60:W60" si="204">E58-E59</f>
        <v>116.02361195</v>
      </c>
      <c r="F60" s="117">
        <f t="shared" si="204"/>
        <v>131.85557340000005</v>
      </c>
      <c r="G60" s="117">
        <f t="shared" si="204"/>
        <v>136.85599845000004</v>
      </c>
      <c r="H60" s="117">
        <f t="shared" si="204"/>
        <v>131.80459550000006</v>
      </c>
      <c r="I60" s="117">
        <f t="shared" si="204"/>
        <v>126.98245369999999</v>
      </c>
      <c r="J60" s="117">
        <f t="shared" si="204"/>
        <v>147.77367214999998</v>
      </c>
      <c r="K60" s="117">
        <f t="shared" si="204"/>
        <v>157.09641009999999</v>
      </c>
      <c r="L60" s="117">
        <f t="shared" si="204"/>
        <v>192.80709205000005</v>
      </c>
      <c r="M60" s="117">
        <f t="shared" si="204"/>
        <v>226.09813680000011</v>
      </c>
      <c r="N60" s="117">
        <f t="shared" si="204"/>
        <v>269.1879815499999</v>
      </c>
      <c r="O60" s="117">
        <f t="shared" si="204"/>
        <v>284.46938780000005</v>
      </c>
      <c r="P60" s="117">
        <f t="shared" si="204"/>
        <v>207.63372704999998</v>
      </c>
      <c r="Q60" s="117">
        <f t="shared" si="204"/>
        <v>182.4739659</v>
      </c>
      <c r="R60" s="117">
        <f t="shared" si="204"/>
        <v>205.64879429999996</v>
      </c>
      <c r="S60" s="117">
        <f t="shared" si="204"/>
        <v>236.53886274999996</v>
      </c>
      <c r="T60" s="117">
        <f t="shared" si="204"/>
        <v>226.56172085000006</v>
      </c>
      <c r="U60" s="117">
        <f t="shared" si="204"/>
        <v>260.36450044999992</v>
      </c>
      <c r="V60" s="117">
        <f t="shared" ref="V60" si="205">V58-V59</f>
        <v>326.55894999999998</v>
      </c>
      <c r="W60" s="117">
        <f t="shared" ca="1" si="204"/>
        <v>368.38479642303798</v>
      </c>
      <c r="X60" s="117">
        <f t="shared" ref="X60:AA60" ca="1" si="206">X58-X59</f>
        <v>332.08974312882265</v>
      </c>
      <c r="Y60" s="117">
        <f t="shared" ca="1" si="206"/>
        <v>338.84086983048428</v>
      </c>
      <c r="Z60" s="117">
        <f t="shared" ca="1" si="206"/>
        <v>382.69045233647154</v>
      </c>
      <c r="AA60" s="117">
        <f t="shared" ca="1" si="206"/>
        <v>434.34351773971758</v>
      </c>
      <c r="AB60" s="55"/>
      <c r="AC60" s="117">
        <f t="shared" ref="AC60:AQ60" si="207">AC58-AC59</f>
        <v>13.0288</v>
      </c>
      <c r="AD60" s="117">
        <f t="shared" si="207"/>
        <v>10.764399999999997</v>
      </c>
      <c r="AE60" s="117">
        <f t="shared" si="207"/>
        <v>20.108449999999991</v>
      </c>
      <c r="AF60" s="117">
        <f t="shared" si="207"/>
        <v>54.316699999999997</v>
      </c>
      <c r="AG60" s="117">
        <f t="shared" si="207"/>
        <v>9.1689500000000113</v>
      </c>
      <c r="AH60" s="117">
        <f t="shared" si="207"/>
        <v>23.138699999999989</v>
      </c>
      <c r="AI60" s="117">
        <f t="shared" si="207"/>
        <v>43.502150000000015</v>
      </c>
      <c r="AJ60" s="117">
        <f t="shared" si="207"/>
        <v>78.17110000000001</v>
      </c>
      <c r="AK60" s="117">
        <f t="shared" si="207"/>
        <v>80.124400000000009</v>
      </c>
      <c r="AL60" s="117">
        <f t="shared" si="207"/>
        <v>113.35769999999997</v>
      </c>
      <c r="AM60" s="117">
        <f t="shared" si="207"/>
        <v>103.39570000000001</v>
      </c>
      <c r="AN60" s="117">
        <f t="shared" si="207"/>
        <v>94.75120000000004</v>
      </c>
      <c r="AO60" s="117">
        <f t="shared" si="207"/>
        <v>81.143550000000019</v>
      </c>
      <c r="AP60" s="117">
        <f t="shared" si="207"/>
        <v>144.7295</v>
      </c>
      <c r="AQ60" s="117">
        <f t="shared" si="207"/>
        <v>123.37580000000003</v>
      </c>
      <c r="AR60" s="117">
        <f t="shared" ref="AR60:BD60" si="208">AR58-AR59</f>
        <v>154.42427190000001</v>
      </c>
      <c r="AS60" s="117">
        <f t="shared" si="208"/>
        <v>183.16394999999997</v>
      </c>
      <c r="AT60" s="117">
        <f t="shared" si="208"/>
        <v>256.76715000000007</v>
      </c>
      <c r="AU60" s="117">
        <f t="shared" si="208"/>
        <v>297.86464999999998</v>
      </c>
      <c r="AV60" s="117">
        <f t="shared" si="208"/>
        <v>328.06514999999996</v>
      </c>
      <c r="AW60" s="117">
        <f t="shared" si="208"/>
        <v>336.71304999999995</v>
      </c>
      <c r="AX60" s="117">
        <f t="shared" si="208"/>
        <v>337.88312345000003</v>
      </c>
      <c r="AY60" s="117">
        <f t="shared" si="208"/>
        <v>331.36863080000012</v>
      </c>
      <c r="AZ60" s="117">
        <f t="shared" si="208"/>
        <v>497.06028935000006</v>
      </c>
      <c r="BA60" s="117">
        <f t="shared" si="208"/>
        <v>563.65713144999961</v>
      </c>
      <c r="BB60" s="117">
        <f t="shared" si="208"/>
        <v>972.56259820000014</v>
      </c>
      <c r="BC60" s="117">
        <f t="shared" si="208"/>
        <v>832.29534999999998</v>
      </c>
      <c r="BD60" s="117">
        <f t="shared" ca="1" si="208"/>
        <v>1181.8699677230388</v>
      </c>
      <c r="BE60" s="117">
        <f t="shared" ca="1" si="177"/>
        <v>1487.9645830354959</v>
      </c>
      <c r="BF60" s="55"/>
      <c r="BG60" s="84">
        <f>ROUND(AZ60-SUM(D60:G60),1)</f>
        <v>0</v>
      </c>
      <c r="BH60" s="84">
        <f>ROUND(BA60-SUM(H60:K60),1)</f>
        <v>0</v>
      </c>
      <c r="BI60" s="84">
        <f>ROUND(BB60-SUM(L60:O60),1)</f>
        <v>0</v>
      </c>
      <c r="BJ60" s="84">
        <f>ROUND(BC60-SUM(P60:S60),1)</f>
        <v>0</v>
      </c>
      <c r="BK60" s="84">
        <f ca="1">ROUND(BD60-SUM(T60:W60),1)</f>
        <v>0</v>
      </c>
    </row>
    <row r="61" spans="1:63" ht="13.5" customHeight="1">
      <c r="A61" s="2"/>
      <c r="B61" s="30" t="s">
        <v>279</v>
      </c>
      <c r="C61" s="2"/>
      <c r="D61" s="21">
        <f>D326</f>
        <v>7.5999999999999998E-2</v>
      </c>
      <c r="E61" s="21">
        <f t="shared" ref="E61:S61" si="209">E326</f>
        <v>7.0000000000000007E-2</v>
      </c>
      <c r="F61" s="21">
        <f t="shared" si="209"/>
        <v>6.9000000000000006E-2</v>
      </c>
      <c r="G61" s="21">
        <f t="shared" si="209"/>
        <v>5.8000000000000003E-2</v>
      </c>
      <c r="H61" s="21">
        <f t="shared" si="209"/>
        <v>4.9000000000000002E-2</v>
      </c>
      <c r="I61" s="21">
        <f t="shared" si="209"/>
        <v>0.122</v>
      </c>
      <c r="J61" s="21">
        <f t="shared" si="209"/>
        <v>0.221</v>
      </c>
      <c r="K61" s="21">
        <f t="shared" si="209"/>
        <v>0.14099999999999999</v>
      </c>
      <c r="L61" s="21">
        <f t="shared" si="209"/>
        <v>0.14000000000000001</v>
      </c>
      <c r="M61" s="21">
        <f t="shared" si="209"/>
        <v>0.154</v>
      </c>
      <c r="N61" s="21">
        <f t="shared" si="209"/>
        <v>0.10199999999999999</v>
      </c>
      <c r="O61" s="21">
        <f t="shared" si="209"/>
        <v>-2.5000000000000001E-2</v>
      </c>
      <c r="P61" s="21">
        <f t="shared" si="209"/>
        <v>-3.7999999999999999E-2</v>
      </c>
      <c r="Q61" s="21">
        <f t="shared" si="209"/>
        <v>-8.2000000000000003E-2</v>
      </c>
      <c r="R61" s="21">
        <f t="shared" si="209"/>
        <v>-0.20499999999999999</v>
      </c>
      <c r="S61" s="21">
        <f t="shared" si="209"/>
        <v>-0.40500000000000003</v>
      </c>
      <c r="T61" s="21">
        <f>T326</f>
        <v>-0.26400000000000001</v>
      </c>
      <c r="U61" s="21">
        <f>U326</f>
        <v>-0.183</v>
      </c>
      <c r="V61" s="21">
        <f>V326</f>
        <v>-0.17799999999999999</v>
      </c>
      <c r="W61" s="166">
        <v>0</v>
      </c>
      <c r="X61" s="166">
        <v>0</v>
      </c>
      <c r="Y61" s="166">
        <v>0</v>
      </c>
      <c r="Z61" s="166">
        <v>0</v>
      </c>
      <c r="AA61" s="166">
        <v>0</v>
      </c>
      <c r="AB61" s="2"/>
      <c r="AC61" s="21">
        <f>AC326</f>
        <v>-7.2999999999999995E-2</v>
      </c>
      <c r="AD61" s="21">
        <f t="shared" ref="AD61:AR61" si="210">AD326</f>
        <v>-1.0149999999999999</v>
      </c>
      <c r="AE61" s="21">
        <f t="shared" si="210"/>
        <v>-0.51600000000000001</v>
      </c>
      <c r="AF61" s="21">
        <f t="shared" si="210"/>
        <v>-3.6999999999999998E-2</v>
      </c>
      <c r="AG61" s="21">
        <f t="shared" si="210"/>
        <v>4.3999999999999997E-2</v>
      </c>
      <c r="AH61" s="21">
        <f t="shared" si="210"/>
        <v>-2.5000000000000001E-2</v>
      </c>
      <c r="AI61" s="21">
        <f t="shared" si="210"/>
        <v>-3.0000000000000001E-3</v>
      </c>
      <c r="AJ61" s="21">
        <f t="shared" si="210"/>
        <v>1.2999999999999999E-2</v>
      </c>
      <c r="AK61" s="21">
        <f t="shared" si="210"/>
        <v>5.8000000000000003E-2</v>
      </c>
      <c r="AL61" s="21">
        <f t="shared" si="210"/>
        <v>0.185</v>
      </c>
      <c r="AM61" s="21">
        <f t="shared" si="210"/>
        <v>0.755</v>
      </c>
      <c r="AN61" s="21">
        <f t="shared" si="210"/>
        <v>0.59</v>
      </c>
      <c r="AO61" s="21">
        <f t="shared" si="210"/>
        <v>0.248</v>
      </c>
      <c r="AP61" s="21">
        <f t="shared" si="210"/>
        <v>0.67700000000000005</v>
      </c>
      <c r="AQ61" s="21">
        <f t="shared" si="210"/>
        <v>0.252</v>
      </c>
      <c r="AR61" s="21">
        <f t="shared" si="210"/>
        <v>-0.19400000000000001</v>
      </c>
      <c r="AS61" s="21">
        <f t="shared" ref="AS61:BC61" si="211">AS326</f>
        <v>-0.128</v>
      </c>
      <c r="AT61" s="21">
        <f t="shared" si="211"/>
        <v>-0.11799999999999999</v>
      </c>
      <c r="AU61" s="21">
        <f t="shared" si="211"/>
        <v>-1.7999999999999999E-2</v>
      </c>
      <c r="AV61" s="21">
        <f t="shared" si="211"/>
        <v>9.0999999999999998E-2</v>
      </c>
      <c r="AW61" s="21">
        <f t="shared" si="211"/>
        <v>3.5999999999999997E-2</v>
      </c>
      <c r="AX61" s="21">
        <f t="shared" si="211"/>
        <v>5.2999999999999999E-2</v>
      </c>
      <c r="AY61" s="21">
        <f t="shared" si="211"/>
        <v>0.08</v>
      </c>
      <c r="AZ61" s="21">
        <f t="shared" si="211"/>
        <v>0.27300000000000002</v>
      </c>
      <c r="BA61" s="21">
        <f t="shared" si="211"/>
        <v>0.53300000000000003</v>
      </c>
      <c r="BB61" s="21">
        <f t="shared" si="211"/>
        <v>0.371</v>
      </c>
      <c r="BC61" s="21">
        <f t="shared" si="211"/>
        <v>-0.73</v>
      </c>
      <c r="BD61" s="24">
        <f>SUM(T61:W61)</f>
        <v>-0.625</v>
      </c>
      <c r="BE61" s="24">
        <f t="shared" si="177"/>
        <v>0</v>
      </c>
      <c r="BF61" s="2"/>
      <c r="BG61" s="84"/>
      <c r="BH61" s="84"/>
      <c r="BI61" s="84"/>
      <c r="BJ61" s="84"/>
      <c r="BK61" s="84"/>
    </row>
    <row r="62" spans="1:63" s="54" customFormat="1" ht="11.25" customHeight="1">
      <c r="A62" s="55"/>
      <c r="B62" s="129" t="s">
        <v>256</v>
      </c>
      <c r="C62" s="55"/>
      <c r="D62" s="117">
        <f>D60-D61</f>
        <v>112.24910555000004</v>
      </c>
      <c r="E62" s="117">
        <f t="shared" ref="E62:W62" si="212">E60-E61</f>
        <v>115.95361195000001</v>
      </c>
      <c r="F62" s="117">
        <f t="shared" si="212"/>
        <v>131.78657340000007</v>
      </c>
      <c r="G62" s="117">
        <f t="shared" si="212"/>
        <v>136.79799845000005</v>
      </c>
      <c r="H62" s="117">
        <f t="shared" si="212"/>
        <v>131.75559550000006</v>
      </c>
      <c r="I62" s="117">
        <f t="shared" si="212"/>
        <v>126.86045369999999</v>
      </c>
      <c r="J62" s="117">
        <f t="shared" si="212"/>
        <v>147.55267214999998</v>
      </c>
      <c r="K62" s="117">
        <f t="shared" si="212"/>
        <v>156.95541009999999</v>
      </c>
      <c r="L62" s="117">
        <f t="shared" si="212"/>
        <v>192.66709205000006</v>
      </c>
      <c r="M62" s="117">
        <f t="shared" si="212"/>
        <v>225.94413680000011</v>
      </c>
      <c r="N62" s="117">
        <f t="shared" si="212"/>
        <v>269.08598154999993</v>
      </c>
      <c r="O62" s="117">
        <f t="shared" si="212"/>
        <v>284.49438780000003</v>
      </c>
      <c r="P62" s="117">
        <f t="shared" si="212"/>
        <v>207.67172704999999</v>
      </c>
      <c r="Q62" s="117">
        <f t="shared" si="212"/>
        <v>182.55596589999999</v>
      </c>
      <c r="R62" s="117">
        <f t="shared" si="212"/>
        <v>205.85379429999998</v>
      </c>
      <c r="S62" s="117">
        <f t="shared" si="212"/>
        <v>236.94386274999997</v>
      </c>
      <c r="T62" s="117">
        <f t="shared" si="212"/>
        <v>226.82572085000007</v>
      </c>
      <c r="U62" s="117">
        <f t="shared" si="212"/>
        <v>260.54750044999992</v>
      </c>
      <c r="V62" s="117">
        <f t="shared" ref="V62" si="213">V60-V61</f>
        <v>326.73694999999998</v>
      </c>
      <c r="W62" s="117">
        <f t="shared" ca="1" si="212"/>
        <v>368.38479642303798</v>
      </c>
      <c r="X62" s="117">
        <f t="shared" ref="X62:AA62" ca="1" si="214">X60-X61</f>
        <v>332.08974312882265</v>
      </c>
      <c r="Y62" s="117">
        <f t="shared" ca="1" si="214"/>
        <v>338.84086983048428</v>
      </c>
      <c r="Z62" s="117">
        <f t="shared" ca="1" si="214"/>
        <v>382.69045233647154</v>
      </c>
      <c r="AA62" s="117">
        <f t="shared" ca="1" si="214"/>
        <v>434.34351773971758</v>
      </c>
      <c r="AB62" s="55"/>
      <c r="AC62" s="117">
        <f t="shared" ref="AC62:AQ62" si="215">AC60-AC61</f>
        <v>13.101800000000001</v>
      </c>
      <c r="AD62" s="117">
        <f t="shared" si="215"/>
        <v>11.779399999999997</v>
      </c>
      <c r="AE62" s="117">
        <f t="shared" si="215"/>
        <v>20.624449999999989</v>
      </c>
      <c r="AF62" s="117">
        <f t="shared" si="215"/>
        <v>54.353699999999996</v>
      </c>
      <c r="AG62" s="117">
        <f t="shared" si="215"/>
        <v>9.1249500000000108</v>
      </c>
      <c r="AH62" s="117">
        <f t="shared" si="215"/>
        <v>23.163699999999988</v>
      </c>
      <c r="AI62" s="117">
        <f t="shared" si="215"/>
        <v>43.505150000000015</v>
      </c>
      <c r="AJ62" s="117">
        <f t="shared" si="215"/>
        <v>78.158100000000005</v>
      </c>
      <c r="AK62" s="117">
        <f t="shared" si="215"/>
        <v>80.066400000000002</v>
      </c>
      <c r="AL62" s="117">
        <f t="shared" si="215"/>
        <v>113.17269999999996</v>
      </c>
      <c r="AM62" s="117">
        <f t="shared" si="215"/>
        <v>102.64070000000001</v>
      </c>
      <c r="AN62" s="117">
        <f t="shared" si="215"/>
        <v>94.161200000000036</v>
      </c>
      <c r="AO62" s="117">
        <f t="shared" si="215"/>
        <v>80.895550000000014</v>
      </c>
      <c r="AP62" s="117">
        <f t="shared" si="215"/>
        <v>144.05250000000001</v>
      </c>
      <c r="AQ62" s="117">
        <f t="shared" si="215"/>
        <v>123.12380000000003</v>
      </c>
      <c r="AR62" s="117">
        <f t="shared" ref="AR62" si="216">AR60-AR61</f>
        <v>154.6182719</v>
      </c>
      <c r="AS62" s="117">
        <f t="shared" ref="AS62" si="217">AS60-AS61</f>
        <v>183.29194999999996</v>
      </c>
      <c r="AT62" s="117">
        <f t="shared" ref="AT62" si="218">AT60-AT61</f>
        <v>256.88515000000007</v>
      </c>
      <c r="AU62" s="117">
        <f t="shared" ref="AU62" si="219">AU60-AU61</f>
        <v>297.88264999999996</v>
      </c>
      <c r="AV62" s="117">
        <f t="shared" ref="AV62" si="220">AV60-AV61</f>
        <v>327.97414999999995</v>
      </c>
      <c r="AW62" s="117">
        <f t="shared" ref="AW62" si="221">AW60-AW61</f>
        <v>336.67704999999995</v>
      </c>
      <c r="AX62" s="117">
        <f t="shared" ref="AX62" si="222">AX60-AX61</f>
        <v>337.83012345000003</v>
      </c>
      <c r="AY62" s="117">
        <f t="shared" ref="AY62" si="223">AY60-AY61</f>
        <v>331.28863080000013</v>
      </c>
      <c r="AZ62" s="117">
        <f t="shared" ref="AZ62" si="224">AZ60-AZ61</f>
        <v>496.78728935000004</v>
      </c>
      <c r="BA62" s="117">
        <f t="shared" ref="BA62" si="225">BA60-BA61</f>
        <v>563.1241314499996</v>
      </c>
      <c r="BB62" s="117">
        <f t="shared" ref="BB62" si="226">BB60-BB61</f>
        <v>972.19159820000016</v>
      </c>
      <c r="BC62" s="117">
        <f t="shared" ref="BC62" si="227">BC60-BC61</f>
        <v>833.02535</v>
      </c>
      <c r="BD62" s="117">
        <f t="shared" ref="BD62" ca="1" si="228">BD60-BD61</f>
        <v>1182.4949677230388</v>
      </c>
      <c r="BE62" s="117">
        <f t="shared" ca="1" si="177"/>
        <v>1487.9645830354959</v>
      </c>
      <c r="BF62" s="55"/>
      <c r="BG62" s="84">
        <f>ROUND(AZ62-SUM(D62:G62),1)</f>
        <v>0</v>
      </c>
      <c r="BH62" s="84">
        <f>ROUND(BA62-SUM(H62:K62),1)</f>
        <v>0</v>
      </c>
      <c r="BI62" s="84">
        <f>ROUND(BB62-SUM(L62:O62),1)</f>
        <v>0</v>
      </c>
      <c r="BJ62" s="84">
        <f>ROUND(BC62-SUM(P62:S62),1)</f>
        <v>0</v>
      </c>
      <c r="BK62" s="84">
        <f ca="1">ROUND(BD62-SUM(T62:W62),1)</f>
        <v>0</v>
      </c>
    </row>
    <row r="63" spans="1:63" ht="13.5" customHeight="1">
      <c r="A63" s="2"/>
      <c r="B63" s="18" t="s">
        <v>255</v>
      </c>
      <c r="C63" s="2"/>
      <c r="D63" s="24">
        <f>D332</f>
        <v>25.930442516222673</v>
      </c>
      <c r="E63" s="24">
        <f t="shared" ref="E63:T63" si="229">E332</f>
        <v>25.930339091402288</v>
      </c>
      <c r="F63" s="24">
        <f t="shared" si="229"/>
        <v>25.930372836007585</v>
      </c>
      <c r="G63" s="24">
        <f t="shared" si="229"/>
        <v>25.930301652702727</v>
      </c>
      <c r="H63" s="24">
        <f t="shared" si="229"/>
        <v>25.930288907503641</v>
      </c>
      <c r="I63" s="24">
        <f t="shared" si="229"/>
        <v>25.930391750233131</v>
      </c>
      <c r="J63" s="24">
        <f t="shared" si="229"/>
        <v>25.9304986984123</v>
      </c>
      <c r="K63" s="24">
        <f t="shared" si="229"/>
        <v>25.930335158531843</v>
      </c>
      <c r="L63" s="24">
        <f t="shared" si="229"/>
        <v>25.929837200141694</v>
      </c>
      <c r="M63" s="24">
        <f t="shared" si="229"/>
        <v>25.930519259513673</v>
      </c>
      <c r="N63" s="24">
        <f t="shared" si="229"/>
        <v>25.929185209114952</v>
      </c>
      <c r="O63" s="24">
        <f t="shared" si="229"/>
        <v>25.929205890630413</v>
      </c>
      <c r="P63" s="24">
        <f t="shared" si="229"/>
        <v>25.929430673437292</v>
      </c>
      <c r="Q63" s="24">
        <f t="shared" si="229"/>
        <v>25.929411693812906</v>
      </c>
      <c r="R63" s="24">
        <f t="shared" si="229"/>
        <v>25.929365983178805</v>
      </c>
      <c r="S63" s="24">
        <f t="shared" si="229"/>
        <v>25.929251939901626</v>
      </c>
      <c r="T63" s="24">
        <f t="shared" si="229"/>
        <v>25.929281659989023</v>
      </c>
      <c r="U63" s="24">
        <f t="shared" ref="U63:V63" si="230">U332</f>
        <v>25.930757006320128</v>
      </c>
      <c r="V63" s="24">
        <f t="shared" si="230"/>
        <v>25.937639553429026</v>
      </c>
      <c r="W63" s="51">
        <f t="shared" ref="W63" si="231">V63</f>
        <v>25.937639553429026</v>
      </c>
      <c r="X63" s="51">
        <f t="shared" ref="X63" si="232">W63</f>
        <v>25.937639553429026</v>
      </c>
      <c r="Y63" s="51">
        <f t="shared" ref="Y63" si="233">X63</f>
        <v>25.937639553429026</v>
      </c>
      <c r="Z63" s="51">
        <f t="shared" ref="Z63" si="234">Y63</f>
        <v>25.937639553429026</v>
      </c>
      <c r="AA63" s="51">
        <f t="shared" ref="AA63" si="235">Z63</f>
        <v>25.937639553429026</v>
      </c>
      <c r="AB63" s="2"/>
      <c r="AC63" s="24">
        <f>AC332</f>
        <v>4.081818181818182</v>
      </c>
      <c r="AD63" s="24">
        <f t="shared" ref="AD63:AQ63" si="236">AD332</f>
        <v>6.0409448818897635</v>
      </c>
      <c r="AE63" s="24">
        <f t="shared" si="236"/>
        <v>7.5802469135802459</v>
      </c>
      <c r="AF63" s="24">
        <f t="shared" si="236"/>
        <v>11.402101576182135</v>
      </c>
      <c r="AG63" s="24">
        <f t="shared" si="236"/>
        <v>17.449397590361446</v>
      </c>
      <c r="AH63" s="24">
        <f t="shared" si="236"/>
        <v>18.956140350877195</v>
      </c>
      <c r="AI63" s="24">
        <f t="shared" si="236"/>
        <v>20.282832618025751</v>
      </c>
      <c r="AJ63" s="24">
        <f t="shared" si="236"/>
        <v>23.253400503778337</v>
      </c>
      <c r="AK63" s="24">
        <f t="shared" si="236"/>
        <v>24.689973614775727</v>
      </c>
      <c r="AL63" s="24">
        <f t="shared" si="236"/>
        <v>25.813237843801961</v>
      </c>
      <c r="AM63" s="24">
        <f t="shared" si="236"/>
        <v>26.371256038647346</v>
      </c>
      <c r="AN63" s="24">
        <f t="shared" si="236"/>
        <v>26.092167101827677</v>
      </c>
      <c r="AO63" s="24">
        <f t="shared" si="236"/>
        <v>25.935465116279072</v>
      </c>
      <c r="AP63" s="24">
        <f t="shared" si="236"/>
        <v>25.939807383627606</v>
      </c>
      <c r="AQ63" s="24">
        <f t="shared" si="236"/>
        <v>25.907528957528957</v>
      </c>
      <c r="AR63" s="24">
        <f>AR332</f>
        <v>25.946645865834636</v>
      </c>
      <c r="AS63" s="24">
        <f t="shared" ref="AS63:BC63" si="237">AS332</f>
        <v>25.915564738292012</v>
      </c>
      <c r="AT63" s="24">
        <f t="shared" si="237"/>
        <v>25.928453722669293</v>
      </c>
      <c r="AU63" s="24">
        <f t="shared" si="237"/>
        <v>25.930394244734238</v>
      </c>
      <c r="AV63" s="24">
        <f t="shared" si="237"/>
        <v>25.930366493877752</v>
      </c>
      <c r="AW63" s="24">
        <f t="shared" si="237"/>
        <v>25.930344503642758</v>
      </c>
      <c r="AX63" s="24">
        <f t="shared" si="237"/>
        <v>25.930389013608327</v>
      </c>
      <c r="AY63" s="24">
        <f t="shared" si="237"/>
        <v>25.930405387205631</v>
      </c>
      <c r="AZ63" s="24">
        <f t="shared" si="237"/>
        <v>25.9303610804645</v>
      </c>
      <c r="BA63" s="24">
        <f t="shared" si="237"/>
        <v>25.930379911998891</v>
      </c>
      <c r="BB63" s="24">
        <f t="shared" si="237"/>
        <v>25.9293770507782</v>
      </c>
      <c r="BC63" s="24">
        <f t="shared" si="237"/>
        <v>25.929277884330933</v>
      </c>
      <c r="BD63" s="24">
        <f>AVERAGE(T63:W63)</f>
        <v>25.933829443291799</v>
      </c>
      <c r="BE63" s="24">
        <f>+AVERAGE(X63:AA63)</f>
        <v>25.937639553429026</v>
      </c>
      <c r="BF63" s="2"/>
      <c r="BG63" s="83"/>
      <c r="BH63" s="83"/>
      <c r="BI63" s="83"/>
      <c r="BJ63" s="83"/>
      <c r="BK63" s="83"/>
    </row>
    <row r="64" spans="1:63" s="54" customFormat="1" ht="11.25" customHeight="1">
      <c r="A64" s="55"/>
      <c r="B64" s="129" t="s">
        <v>20</v>
      </c>
      <c r="C64" s="55"/>
      <c r="D64" s="200">
        <f>IFERROR((D62)/D63,"n/a")</f>
        <v>4.3288542214339172</v>
      </c>
      <c r="E64" s="200">
        <f t="shared" ref="E64:W64" si="238">IFERROR((E62)/E63,"n/a")</f>
        <v>4.4717352727734552</v>
      </c>
      <c r="F64" s="200">
        <f t="shared" si="238"/>
        <v>5.0823246635697359</v>
      </c>
      <c r="G64" s="200">
        <f t="shared" si="238"/>
        <v>5.2756038198939166</v>
      </c>
      <c r="H64" s="200">
        <f t="shared" si="238"/>
        <v>5.0811464527058527</v>
      </c>
      <c r="I64" s="200">
        <f t="shared" si="238"/>
        <v>4.8923462060251923</v>
      </c>
      <c r="J64" s="200">
        <f t="shared" si="238"/>
        <v>5.6903137061160525</v>
      </c>
      <c r="K64" s="200">
        <f t="shared" si="238"/>
        <v>6.0529649593964869</v>
      </c>
      <c r="L64" s="200">
        <f t="shared" si="238"/>
        <v>7.4303240148745413</v>
      </c>
      <c r="M64" s="200">
        <f t="shared" si="238"/>
        <v>8.7134443602437024</v>
      </c>
      <c r="N64" s="200">
        <f t="shared" si="238"/>
        <v>10.377726078928522</v>
      </c>
      <c r="O64" s="200">
        <f t="shared" si="238"/>
        <v>10.971966862386743</v>
      </c>
      <c r="P64" s="200">
        <f t="shared" si="238"/>
        <v>8.0091124894131873</v>
      </c>
      <c r="Q64" s="200">
        <f t="shared" si="238"/>
        <v>7.0404977966993449</v>
      </c>
      <c r="R64" s="200">
        <f t="shared" si="238"/>
        <v>7.9390215107281765</v>
      </c>
      <c r="S64" s="200">
        <f t="shared" si="238"/>
        <v>9.1380909599391593</v>
      </c>
      <c r="T64" s="200">
        <f t="shared" si="238"/>
        <v>8.7478598066991768</v>
      </c>
      <c r="U64" s="200">
        <f t="shared" si="238"/>
        <v>10.047816976052664</v>
      </c>
      <c r="V64" s="200">
        <f t="shared" ref="V64" si="239">IFERROR((V62)/V63,"n/a")</f>
        <v>12.597019452250214</v>
      </c>
      <c r="W64" s="200">
        <f t="shared" ca="1" si="238"/>
        <v>14.202710916087833</v>
      </c>
      <c r="X64" s="200">
        <f t="shared" ref="X64:AA64" ca="1" si="240">IFERROR((X62)/X63,"n/a")</f>
        <v>12.803391089029128</v>
      </c>
      <c r="Y64" s="200">
        <f t="shared" ca="1" si="240"/>
        <v>13.063674091565074</v>
      </c>
      <c r="Z64" s="200">
        <f t="shared" ca="1" si="240"/>
        <v>14.754251309112622</v>
      </c>
      <c r="AA64" s="200">
        <f t="shared" ca="1" si="240"/>
        <v>16.745684079887532</v>
      </c>
      <c r="AB64" s="55"/>
      <c r="AC64" s="200">
        <f t="shared" ref="AC64:AR64" si="241">IFERROR((AC62)/AC63,"n/a")</f>
        <v>3.209795100222717</v>
      </c>
      <c r="AD64" s="200">
        <f t="shared" si="241"/>
        <v>1.9499267466110528</v>
      </c>
      <c r="AE64" s="200">
        <f t="shared" si="241"/>
        <v>2.7208150651465788</v>
      </c>
      <c r="AF64" s="200">
        <f t="shared" si="241"/>
        <v>4.7669896322919554</v>
      </c>
      <c r="AG64" s="200">
        <f t="shared" si="241"/>
        <v>0.5229378236553206</v>
      </c>
      <c r="AH64" s="200">
        <f t="shared" si="241"/>
        <v>1.2219628875520585</v>
      </c>
      <c r="AI64" s="200">
        <f t="shared" si="241"/>
        <v>2.1449247656531041</v>
      </c>
      <c r="AJ64" s="200">
        <f t="shared" si="241"/>
        <v>3.3611471142597167</v>
      </c>
      <c r="AK64" s="200">
        <f t="shared" si="241"/>
        <v>3.2428710232433873</v>
      </c>
      <c r="AL64" s="200">
        <f t="shared" si="241"/>
        <v>4.3842892040439612</v>
      </c>
      <c r="AM64" s="200">
        <f t="shared" si="241"/>
        <v>3.8921430154702912</v>
      </c>
      <c r="AN64" s="200">
        <f t="shared" si="241"/>
        <v>3.6087918505398631</v>
      </c>
      <c r="AO64" s="200">
        <f t="shared" si="241"/>
        <v>3.1191092828801366</v>
      </c>
      <c r="AP64" s="200">
        <f t="shared" si="241"/>
        <v>5.5533373039200526</v>
      </c>
      <c r="AQ64" s="200">
        <f t="shared" si="241"/>
        <v>4.7524331711388159</v>
      </c>
      <c r="AR64" s="200">
        <f t="shared" si="241"/>
        <v>5.9590851433939793</v>
      </c>
      <c r="AS64" s="200">
        <f t="shared" ref="AS64" si="242">IFERROR((AS62)/AS63,"n/a")</f>
        <v>7.0726589156351132</v>
      </c>
      <c r="AT64" s="200">
        <f t="shared" ref="AT64" si="243">IFERROR((AT62)/AT63,"n/a")</f>
        <v>9.9074612295682307</v>
      </c>
      <c r="AU64" s="200">
        <f t="shared" ref="AU64" si="244">IFERROR((AU62)/AU63,"n/a")</f>
        <v>11.487779444791583</v>
      </c>
      <c r="AV64" s="200">
        <f t="shared" ref="AV64" si="245">IFERROR((AV62)/AV63,"n/a")</f>
        <v>12.648265117172015</v>
      </c>
      <c r="AW64" s="200">
        <f t="shared" ref="AW64" si="246">IFERROR((AW62)/AW63,"n/a")</f>
        <v>12.983901928210123</v>
      </c>
      <c r="AX64" s="200">
        <f t="shared" ref="AX64" si="247">IFERROR((AX62)/AX63,"n/a")</f>
        <v>13.028347676261472</v>
      </c>
      <c r="AY64" s="200">
        <f t="shared" ref="AY64" si="248">IFERROR((AY62)/AY63,"n/a")</f>
        <v>12.776068320299453</v>
      </c>
      <c r="AZ64" s="200">
        <f t="shared" ref="AZ64" si="249">IFERROR((AZ62)/AZ63,"n/a")</f>
        <v>19.158517993961574</v>
      </c>
      <c r="BA64" s="200">
        <f t="shared" ref="BA64" si="250">IFERROR((BA62)/BA63,"n/a")</f>
        <v>21.716771345468118</v>
      </c>
      <c r="BB64" s="200">
        <f t="shared" ref="BB64" si="251">IFERROR((BB62)/BB63,"n/a")</f>
        <v>37.493827803735165</v>
      </c>
      <c r="BC64" s="200">
        <f t="shared" ref="BC64" si="252">IFERROR((BC62)/BC63,"n/a")</f>
        <v>32.126824114272665</v>
      </c>
      <c r="BD64" s="200">
        <f t="shared" ref="BD64:BE64" ca="1" si="253">IFERROR((BD62)/BD63,"n/a")</f>
        <v>45.596620056006039</v>
      </c>
      <c r="BE64" s="200">
        <f t="shared" ca="1" si="253"/>
        <v>57.367000569594353</v>
      </c>
      <c r="BF64" s="55"/>
      <c r="BG64" s="84">
        <f>ROUND(AZ64-SUM(D64:G64),1)</f>
        <v>0</v>
      </c>
      <c r="BH64" s="84">
        <f>ROUND(BA64-SUM(H64:K64),1)</f>
        <v>0</v>
      </c>
      <c r="BI64" s="84">
        <f>ROUND(BB64-SUM(L64:O64),1)</f>
        <v>0</v>
      </c>
      <c r="BJ64" s="84">
        <f>ROUND(BC64-SUM(P64:S64),1)</f>
        <v>0</v>
      </c>
      <c r="BK64" s="84">
        <f ca="1">ROUND(BD64-SUM(T64:W64),1)</f>
        <v>0</v>
      </c>
    </row>
    <row r="65" spans="1:63" s="54" customFormat="1" ht="11.25" customHeight="1">
      <c r="A65" s="18"/>
      <c r="B65" s="36" t="s">
        <v>249</v>
      </c>
      <c r="C65" s="18"/>
      <c r="D65" s="18"/>
      <c r="E65" s="18"/>
      <c r="F65" s="72"/>
      <c r="G65" s="72"/>
      <c r="H65" s="40">
        <f>IFERROR(IF(AND(H64&gt;0,D64&gt;0),H64/D64-1,"n/m"),"n/a")</f>
        <v>0.1737855314108363</v>
      </c>
      <c r="I65" s="40">
        <f t="shared" ref="I65:W65" si="254">IFERROR(IF(AND(I64&gt;0,E64&gt;0),I64/E64-1,"n/m"),"n/a")</f>
        <v>9.4059891204352652E-2</v>
      </c>
      <c r="J65" s="40">
        <f t="shared" si="254"/>
        <v>0.11962813924588511</v>
      </c>
      <c r="K65" s="40">
        <f t="shared" si="254"/>
        <v>0.14735017375095505</v>
      </c>
      <c r="L65" s="40">
        <f t="shared" si="254"/>
        <v>0.4623321890117309</v>
      </c>
      <c r="M65" s="40">
        <f t="shared" si="254"/>
        <v>0.78103592699809732</v>
      </c>
      <c r="N65" s="40">
        <f t="shared" si="254"/>
        <v>0.8237528921778694</v>
      </c>
      <c r="O65" s="40">
        <f t="shared" si="254"/>
        <v>0.81265990072420768</v>
      </c>
      <c r="P65" s="40">
        <f t="shared" si="254"/>
        <v>7.7895455619430232E-2</v>
      </c>
      <c r="Q65" s="40">
        <f t="shared" si="254"/>
        <v>-0.19199601149430734</v>
      </c>
      <c r="R65" s="40">
        <f t="shared" si="254"/>
        <v>-0.23499411621125932</v>
      </c>
      <c r="S65" s="40">
        <f t="shared" si="254"/>
        <v>-0.16714194687684825</v>
      </c>
      <c r="T65" s="40">
        <f t="shared" si="254"/>
        <v>9.2238349537792086E-2</v>
      </c>
      <c r="U65" s="40">
        <f t="shared" si="254"/>
        <v>0.42714581641701233</v>
      </c>
      <c r="V65" s="40">
        <f t="shared" si="254"/>
        <v>0.58672191972620058</v>
      </c>
      <c r="W65" s="40">
        <f t="shared" ca="1" si="254"/>
        <v>0.55423172940077547</v>
      </c>
      <c r="X65" s="40">
        <f t="shared" ref="X65" ca="1" si="255">IFERROR(IF(AND(X64&gt;0,T64&gt;0),X64/T64-1,"n/m"),"n/a")</f>
        <v>0.4636026836214493</v>
      </c>
      <c r="Y65" s="40">
        <f t="shared" ref="Y65" ca="1" si="256">IFERROR(IF(AND(Y64&gt;0,U64&gt;0),Y64/U64-1,"n/m"),"n/a")</f>
        <v>0.30015048270686218</v>
      </c>
      <c r="Z65" s="40">
        <f t="shared" ref="Z65" ca="1" si="257">IFERROR(IF(AND(Z64&gt;0,V64&gt;0),Z64/V64-1,"n/m"),"n/a")</f>
        <v>0.17124938681245427</v>
      </c>
      <c r="AA65" s="40">
        <f t="shared" ref="AA65" ca="1" si="258">IFERROR(IF(AND(AA64&gt;0,W64&gt;0),AA64/W64-1,"n/m"),"n/a")</f>
        <v>0.17904843510679336</v>
      </c>
      <c r="AB65" s="18"/>
      <c r="AC65" s="40"/>
      <c r="AD65" s="40">
        <f t="shared" ref="AD65" si="259">IFERROR(IF(AND(AD64&gt;0,AC64&gt;0),AD64/AC64-1,"n/m"),"n/a")</f>
        <v>-0.39250740756761893</v>
      </c>
      <c r="AE65" s="40">
        <f t="shared" ref="AE65" si="260">IFERROR(IF(AND(AE64&gt;0,AD64&gt;0),AE64/AD64-1,"n/m"),"n/a")</f>
        <v>0.39534219420053596</v>
      </c>
      <c r="AF65" s="40">
        <f t="shared" ref="AF65" si="261">IFERROR(IF(AND(AF64&gt;0,AE64&gt;0),AF64/AE64-1,"n/m"),"n/a")</f>
        <v>0.75204470651339284</v>
      </c>
      <c r="AG65" s="40">
        <f t="shared" ref="AG65" si="262">IFERROR(IF(AND(AG64&gt;0,AF64&gt;0),AG64/AF64-1,"n/m"),"n/a")</f>
        <v>-0.89030019698115148</v>
      </c>
      <c r="AH65" s="40">
        <f t="shared" ref="AH65" si="263">IFERROR(IF(AND(AH64&gt;0,AG64&gt;0),AH64/AG64-1,"n/m"),"n/a")</f>
        <v>1.3367269152775609</v>
      </c>
      <c r="AI65" s="40">
        <f t="shared" ref="AI65" si="264">IFERROR(IF(AND(AI64&gt;0,AH64&gt;0),AI64/AH64-1,"n/m"),"n/a")</f>
        <v>0.75531089160162823</v>
      </c>
      <c r="AJ65" s="40">
        <f t="shared" ref="AJ65" si="265">IFERROR(IF(AND(AJ64&gt;0,AI64&gt;0),AJ64/AI64-1,"n/m"),"n/a")</f>
        <v>0.56702331386261351</v>
      </c>
      <c r="AK65" s="40">
        <f t="shared" ref="AK65" si="266">IFERROR(IF(AND(AK64&gt;0,AJ64&gt;0),AK64/AJ64-1,"n/m"),"n/a")</f>
        <v>-3.5189203862735274E-2</v>
      </c>
      <c r="AL65" s="40">
        <f t="shared" ref="AL65" si="267">IFERROR(IF(AND(AL64&gt;0,AK64&gt;0),AL64/AK64-1,"n/m"),"n/a")</f>
        <v>0.35197766812784748</v>
      </c>
      <c r="AM65" s="40">
        <f t="shared" ref="AM65" si="268">IFERROR(IF(AND(AM64&gt;0,AL64&gt;0),AM64/AL64-1,"n/m"),"n/a")</f>
        <v>-0.11225221824320497</v>
      </c>
      <c r="AN65" s="40">
        <f t="shared" ref="AN65" si="269">IFERROR(IF(AND(AN64&gt;0,AM64&gt;0),AN64/AM64-1,"n/m"),"n/a")</f>
        <v>-7.2800810197410137E-2</v>
      </c>
      <c r="AO65" s="40">
        <f t="shared" ref="AO65" si="270">IFERROR(IF(AND(AO64&gt;0,AN64&gt;0),AO64/AN64-1,"n/m"),"n/a")</f>
        <v>-0.13569155217042284</v>
      </c>
      <c r="AP65" s="40">
        <f t="shared" ref="AP65" si="271">IFERROR(IF(AND(AP64&gt;0,AO64&gt;0),AP64/AO64-1,"n/m"),"n/a")</f>
        <v>0.78042408914643357</v>
      </c>
      <c r="AQ65" s="40">
        <f t="shared" ref="AQ65" si="272">IFERROR(IF(AND(AQ64&gt;0,AP64&gt;0),AQ64/AP64-1,"n/m"),"n/a")</f>
        <v>-0.14422032895712733</v>
      </c>
      <c r="AR65" s="40">
        <f t="shared" ref="AR65" si="273">IFERROR(IF(AND(AR64&gt;0,AQ64&gt;0),AR64/AQ64-1,"n/m"),"n/a")</f>
        <v>0.25390193376796422</v>
      </c>
      <c r="AS65" s="40">
        <f t="shared" ref="AS65" si="274">IFERROR(IF(AND(AS64&gt;0,AR64&gt;0),AS64/AR64-1,"n/m"),"n/a")</f>
        <v>0.18686992137972736</v>
      </c>
      <c r="AT65" s="40">
        <f t="shared" ref="AT65" si="275">IFERROR(IF(AND(AT64&gt;0,AS64&gt;0),AT64/AS64-1,"n/m"),"n/a")</f>
        <v>0.40081139890209982</v>
      </c>
      <c r="AU65" s="40">
        <f t="shared" ref="AU65" si="276">IFERROR(IF(AND(AU64&gt;0,AT64&gt;0),AU64/AT64-1,"n/m"),"n/a")</f>
        <v>0.15950788790441961</v>
      </c>
      <c r="AV65" s="40">
        <f t="shared" ref="AV65" si="277">IFERROR(IF(AND(AV64&gt;0,AU64&gt;0),AV64/AU64-1,"n/m"),"n/a")</f>
        <v>0.10101914629868536</v>
      </c>
      <c r="AW65" s="40">
        <f t="shared" ref="AW65" si="278">IFERROR(IF(AND(AW64&gt;0,AV64&gt;0),AW64/AV64-1,"n/m"),"n/a")</f>
        <v>2.6536193535541042E-2</v>
      </c>
      <c r="AX65" s="40">
        <f t="shared" ref="AX65" si="279">IFERROR(IF(AND(AX64&gt;0,AW64&gt;0),AX64/AW64-1,"n/m"),"n/a")</f>
        <v>3.4231426189981207E-3</v>
      </c>
      <c r="AY65" s="40">
        <f t="shared" ref="AY65" si="280">IFERROR(IF(AND(AY64&gt;0,AX64&gt;0),AY64/AX64-1,"n/m"),"n/a")</f>
        <v>-1.9363879613198298E-2</v>
      </c>
      <c r="AZ65" s="40">
        <f t="shared" ref="AZ65" si="281">IFERROR(IF(AND(AZ64&gt;0,AY64&gt;0),AZ64/AY64-1,"n/m"),"n/a")</f>
        <v>0.49956289475387883</v>
      </c>
      <c r="BA65" s="40">
        <f t="shared" ref="BA65" si="282">IFERROR(IF(AND(BA64&gt;0,AZ64&gt;0),BA64/AZ64-1,"n/m"),"n/a")</f>
        <v>0.13353085830088007</v>
      </c>
      <c r="BB65" s="40">
        <f t="shared" ref="BB65" si="283">IFERROR(IF(AND(BB64&gt;0,BA64&gt;0),BB64/BA64-1,"n/m"),"n/a")</f>
        <v>0.72649180705949745</v>
      </c>
      <c r="BC65" s="40">
        <f t="shared" ref="BC65" si="284">IFERROR(IF(AND(BC64&gt;0,BB64&gt;0),BC64/BB64-1,"n/m"),"n/a")</f>
        <v>-0.14314365867247714</v>
      </c>
      <c r="BD65" s="40">
        <f t="shared" ref="BD65:BE65" ca="1" si="285">IFERROR(IF(AND(BD64&gt;0,BC64&gt;0),BD64/BC64-1,"n/m"),"n/a")</f>
        <v>0.41926945202620503</v>
      </c>
      <c r="BE65" s="40">
        <f t="shared" ca="1" si="285"/>
        <v>0.25814151354049564</v>
      </c>
      <c r="BF65" s="18"/>
      <c r="BG65" s="84"/>
      <c r="BH65" s="84"/>
      <c r="BI65" s="84"/>
      <c r="BJ65" s="84"/>
      <c r="BK65" s="84"/>
    </row>
    <row r="66" spans="1:63" ht="11.25" customHeight="1">
      <c r="A66" s="18"/>
      <c r="B66" s="135" t="s">
        <v>102</v>
      </c>
      <c r="C66" s="18"/>
      <c r="D66" s="66">
        <v>0.15</v>
      </c>
      <c r="E66" s="66">
        <v>0.15</v>
      </c>
      <c r="F66" s="66">
        <v>0.15</v>
      </c>
      <c r="G66" s="66">
        <v>0.15</v>
      </c>
      <c r="H66" s="66">
        <v>0.15</v>
      </c>
      <c r="I66" s="66">
        <v>0.15</v>
      </c>
      <c r="J66" s="66">
        <v>0.15</v>
      </c>
      <c r="K66" s="66">
        <v>0.15</v>
      </c>
      <c r="L66" s="66">
        <v>0.15</v>
      </c>
      <c r="M66" s="66">
        <v>0.15</v>
      </c>
      <c r="N66" s="66">
        <v>0.15</v>
      </c>
      <c r="O66" s="66">
        <v>0.15</v>
      </c>
      <c r="P66" s="66">
        <v>0.15</v>
      </c>
      <c r="Q66" s="66">
        <v>0.15</v>
      </c>
      <c r="R66" s="66">
        <v>0.15</v>
      </c>
      <c r="S66" s="66">
        <v>0.15</v>
      </c>
      <c r="T66" s="66">
        <v>0.15</v>
      </c>
      <c r="U66" s="66">
        <v>0.15</v>
      </c>
      <c r="V66" s="66">
        <v>0.15</v>
      </c>
      <c r="W66" s="66">
        <v>0.15</v>
      </c>
      <c r="X66" s="66">
        <v>0.15</v>
      </c>
      <c r="Y66" s="66">
        <v>0.15</v>
      </c>
      <c r="Z66" s="66">
        <v>0.15</v>
      </c>
      <c r="AA66" s="66">
        <v>0.15</v>
      </c>
      <c r="AB66" s="18"/>
      <c r="AC66" s="66">
        <v>0.15</v>
      </c>
      <c r="AD66" s="66">
        <v>0.15</v>
      </c>
      <c r="AE66" s="66">
        <v>0.15</v>
      </c>
      <c r="AF66" s="66">
        <v>0.15</v>
      </c>
      <c r="AG66" s="66">
        <v>0.15</v>
      </c>
      <c r="AH66" s="66">
        <v>0.15</v>
      </c>
      <c r="AI66" s="66">
        <v>0.15</v>
      </c>
      <c r="AJ66" s="66">
        <v>0.15</v>
      </c>
      <c r="AK66" s="66">
        <v>0.15</v>
      </c>
      <c r="AL66" s="66">
        <v>0.15</v>
      </c>
      <c r="AM66" s="66">
        <v>0.15</v>
      </c>
      <c r="AN66" s="66">
        <v>0.15</v>
      </c>
      <c r="AO66" s="66">
        <v>0.15</v>
      </c>
      <c r="AP66" s="66">
        <v>0.15</v>
      </c>
      <c r="AQ66" s="66">
        <v>0.15</v>
      </c>
      <c r="AR66" s="66">
        <v>0.15</v>
      </c>
      <c r="AS66" s="66">
        <v>0.15</v>
      </c>
      <c r="AT66" s="66">
        <v>0.15</v>
      </c>
      <c r="AU66" s="66">
        <v>0.15</v>
      </c>
      <c r="AV66" s="66">
        <v>0.15</v>
      </c>
      <c r="AW66" s="66">
        <v>0.15</v>
      </c>
      <c r="AX66" s="66">
        <v>0.15</v>
      </c>
      <c r="AY66" s="66">
        <v>0.15</v>
      </c>
      <c r="AZ66" s="68">
        <f t="shared" ref="AZ66:BD66" si="286">AZ59/AZ58</f>
        <v>0.15000000000000005</v>
      </c>
      <c r="BA66" s="68">
        <f t="shared" si="286"/>
        <v>0.15000000000000008</v>
      </c>
      <c r="BB66" s="68">
        <f t="shared" si="286"/>
        <v>0.15</v>
      </c>
      <c r="BC66" s="68">
        <f t="shared" si="286"/>
        <v>0.15</v>
      </c>
      <c r="BD66" s="68">
        <f t="shared" ca="1" si="286"/>
        <v>0.14999999999999991</v>
      </c>
      <c r="BE66" s="68">
        <f t="shared" ref="BE66" ca="1" si="287">BE59/BE58</f>
        <v>0.15</v>
      </c>
      <c r="BF66" s="18"/>
      <c r="BG66" s="18"/>
      <c r="BH66" s="18"/>
      <c r="BI66" s="18"/>
      <c r="BJ66" s="18"/>
      <c r="BK66" s="18"/>
    </row>
    <row r="67" spans="1:63" ht="11.25" customHeight="1">
      <c r="A67" s="2"/>
      <c r="B67" s="41"/>
      <c r="C67" s="2"/>
      <c r="D67" s="2"/>
      <c r="E67" s="2"/>
      <c r="F67" s="47"/>
      <c r="G67" s="47"/>
      <c r="H67" s="47"/>
      <c r="I67" s="47"/>
      <c r="J67" s="47"/>
      <c r="K67" s="47"/>
      <c r="L67" s="47"/>
      <c r="M67" s="47"/>
      <c r="N67" s="47"/>
      <c r="O67" s="47"/>
      <c r="P67" s="47"/>
      <c r="Q67" s="47"/>
      <c r="R67" s="47"/>
      <c r="S67" s="47"/>
      <c r="T67" s="47"/>
      <c r="U67" s="47"/>
      <c r="V67" s="47"/>
      <c r="W67" s="47"/>
      <c r="X67" s="47"/>
      <c r="Y67" s="47"/>
      <c r="Z67" s="47"/>
      <c r="AA67" s="47"/>
      <c r="AB67" s="2"/>
      <c r="AC67" s="2"/>
      <c r="AD67" s="2"/>
      <c r="AE67" s="2"/>
      <c r="AF67" s="2"/>
      <c r="AG67" s="2"/>
      <c r="AH67" s="2"/>
      <c r="AI67" s="2"/>
      <c r="AJ67" s="2"/>
      <c r="AK67" s="2"/>
      <c r="AL67" s="2"/>
      <c r="AM67" s="2"/>
      <c r="AN67" s="2"/>
      <c r="AO67" s="2"/>
      <c r="AP67" s="2"/>
      <c r="AQ67" s="2"/>
      <c r="AR67" s="2"/>
      <c r="AS67" s="2"/>
      <c r="AT67" s="2"/>
      <c r="AU67" s="2"/>
      <c r="AV67" s="47"/>
      <c r="AW67" s="47"/>
      <c r="AX67" s="47"/>
      <c r="AY67" s="47"/>
      <c r="AZ67" s="47"/>
      <c r="BA67" s="47"/>
      <c r="BB67" s="47"/>
      <c r="BC67" s="47"/>
      <c r="BD67" s="47"/>
      <c r="BE67" s="47"/>
      <c r="BF67" s="2"/>
      <c r="BG67" s="2"/>
      <c r="BH67" s="19"/>
      <c r="BI67" s="2"/>
      <c r="BJ67" s="2"/>
      <c r="BK67" s="2"/>
    </row>
    <row r="68" spans="1:63" ht="11.25" customHeight="1">
      <c r="A68" s="2"/>
      <c r="B68" s="161" t="s">
        <v>21</v>
      </c>
      <c r="C68" s="2"/>
      <c r="D68" s="2"/>
      <c r="E68" s="2"/>
      <c r="F68" s="47"/>
      <c r="G68" s="47"/>
      <c r="H68" s="47"/>
      <c r="I68" s="47"/>
      <c r="J68" s="47"/>
      <c r="K68" s="47"/>
      <c r="L68" s="47"/>
      <c r="M68" s="47"/>
      <c r="N68" s="47"/>
      <c r="O68" s="47"/>
      <c r="P68" s="47"/>
      <c r="Q68" s="47"/>
      <c r="R68" s="47"/>
      <c r="S68" s="47"/>
      <c r="T68" s="47"/>
      <c r="U68" s="47"/>
      <c r="V68" s="47"/>
      <c r="W68" s="47"/>
      <c r="X68" s="47"/>
      <c r="Y68" s="47"/>
      <c r="Z68" s="47"/>
      <c r="AA68" s="47"/>
      <c r="AB68" s="2"/>
      <c r="AC68" s="2"/>
      <c r="AD68" s="2"/>
      <c r="AE68" s="2"/>
      <c r="AF68" s="2"/>
      <c r="AG68" s="2"/>
      <c r="AH68" s="2"/>
      <c r="AI68" s="2"/>
      <c r="AJ68" s="2"/>
      <c r="AK68" s="2"/>
      <c r="AL68" s="2"/>
      <c r="AM68" s="2"/>
      <c r="AN68" s="2"/>
      <c r="AO68" s="2"/>
      <c r="AP68" s="2"/>
      <c r="AQ68" s="2"/>
      <c r="AR68" s="2"/>
      <c r="AS68" s="2"/>
      <c r="AT68" s="2"/>
      <c r="AU68" s="2"/>
      <c r="AV68" s="47"/>
      <c r="AW68" s="47"/>
      <c r="AX68" s="47"/>
      <c r="AY68" s="47"/>
      <c r="AZ68" s="47"/>
      <c r="BA68" s="47"/>
      <c r="BB68" s="47"/>
      <c r="BC68" s="47"/>
      <c r="BD68" s="47"/>
      <c r="BE68" s="47"/>
      <c r="BF68" s="2"/>
      <c r="BG68" s="2"/>
      <c r="BH68" s="19"/>
      <c r="BI68" s="2"/>
      <c r="BJ68" s="2"/>
      <c r="BK68" s="2"/>
    </row>
    <row r="69" spans="1:63" ht="11.25" customHeight="1">
      <c r="A69" s="2"/>
      <c r="B69" s="30" t="s">
        <v>253</v>
      </c>
      <c r="C69" s="2"/>
      <c r="D69" s="19">
        <f t="shared" ref="D69:W69" si="288">D50</f>
        <v>128.52218300000004</v>
      </c>
      <c r="E69" s="19">
        <f t="shared" si="288"/>
        <v>131.19336699999999</v>
      </c>
      <c r="F69" s="19">
        <f t="shared" si="288"/>
        <v>150.04820400000006</v>
      </c>
      <c r="G69" s="19">
        <f t="shared" si="288"/>
        <v>157.02005700000007</v>
      </c>
      <c r="H69" s="19">
        <f t="shared" si="288"/>
        <v>150.53823000000006</v>
      </c>
      <c r="I69" s="19">
        <f t="shared" si="288"/>
        <v>145.66712200000001</v>
      </c>
      <c r="J69" s="19">
        <f t="shared" si="288"/>
        <v>171.00337899999997</v>
      </c>
      <c r="K69" s="19">
        <f t="shared" si="288"/>
        <v>182.77230599999999</v>
      </c>
      <c r="L69" s="19">
        <f t="shared" si="288"/>
        <v>223.78987300000006</v>
      </c>
      <c r="M69" s="19">
        <f t="shared" si="288"/>
        <v>262.12380800000011</v>
      </c>
      <c r="N69" s="19">
        <f t="shared" si="288"/>
        <v>310.32474299999984</v>
      </c>
      <c r="O69" s="19">
        <f t="shared" si="288"/>
        <v>325.04086800000005</v>
      </c>
      <c r="P69" s="19">
        <f t="shared" si="288"/>
        <v>231.23797299999995</v>
      </c>
      <c r="Q69" s="19">
        <f t="shared" si="288"/>
        <v>201.95825399999998</v>
      </c>
      <c r="R69" s="19">
        <f t="shared" si="288"/>
        <v>228.06475799999996</v>
      </c>
      <c r="S69" s="19">
        <f t="shared" si="288"/>
        <v>260.20501499999995</v>
      </c>
      <c r="T69" s="19">
        <f t="shared" si="288"/>
        <v>249.01820100000006</v>
      </c>
      <c r="U69" s="19">
        <f t="shared" si="288"/>
        <v>286.55617699999993</v>
      </c>
      <c r="V69" s="19">
        <f t="shared" si="288"/>
        <v>360.76600000000002</v>
      </c>
      <c r="W69" s="19">
        <f t="shared" ca="1" si="288"/>
        <v>409.04330888139492</v>
      </c>
      <c r="X69" s="19">
        <f t="shared" ref="X69:AA69" si="289">X50</f>
        <v>363.40063449503089</v>
      </c>
      <c r="Y69" s="19">
        <f t="shared" si="289"/>
        <v>367.09906813141515</v>
      </c>
      <c r="Z69" s="19">
        <f t="shared" si="289"/>
        <v>414.07277097000883</v>
      </c>
      <c r="AA69" s="19">
        <f t="shared" ca="1" si="289"/>
        <v>469.36943241890106</v>
      </c>
      <c r="AB69" s="2"/>
      <c r="AC69" s="19">
        <f t="shared" ref="AC69:BD69" si="290">AC50</f>
        <v>14.928000000000001</v>
      </c>
      <c r="AD69" s="19">
        <f t="shared" si="290"/>
        <v>13.807999999999996</v>
      </c>
      <c r="AE69" s="19">
        <f t="shared" si="290"/>
        <v>24.829999999999991</v>
      </c>
      <c r="AF69" s="19">
        <f t="shared" si="290"/>
        <v>61.295000000000002</v>
      </c>
      <c r="AG69" s="19">
        <f t="shared" si="290"/>
        <v>12.778000000000013</v>
      </c>
      <c r="AH69" s="19">
        <f t="shared" si="290"/>
        <v>31.588999999999988</v>
      </c>
      <c r="AI69" s="19">
        <f t="shared" si="290"/>
        <v>51.301000000000016</v>
      </c>
      <c r="AJ69" s="19">
        <f t="shared" si="290"/>
        <v>88.482000000000014</v>
      </c>
      <c r="AK69" s="19">
        <f t="shared" si="290"/>
        <v>90.968000000000004</v>
      </c>
      <c r="AL69" s="19">
        <f t="shared" si="290"/>
        <v>127.26499999999997</v>
      </c>
      <c r="AM69" s="19">
        <f t="shared" si="290"/>
        <v>111.72199999999999</v>
      </c>
      <c r="AN69" s="19">
        <f t="shared" si="290"/>
        <v>104.43500000000003</v>
      </c>
      <c r="AO69" s="19">
        <f t="shared" si="290"/>
        <v>91.962000000000018</v>
      </c>
      <c r="AP69" s="19">
        <f t="shared" si="290"/>
        <v>159.17500000000001</v>
      </c>
      <c r="AQ69" s="19">
        <f t="shared" si="290"/>
        <v>141.55700000000002</v>
      </c>
      <c r="AR69" s="19">
        <f t="shared" si="290"/>
        <v>181.17699999999999</v>
      </c>
      <c r="AS69" s="19">
        <f t="shared" si="290"/>
        <v>209.42899999999997</v>
      </c>
      <c r="AT69" s="19">
        <f t="shared" si="290"/>
        <v>295.87000000000006</v>
      </c>
      <c r="AU69" s="19">
        <f t="shared" si="290"/>
        <v>320.048</v>
      </c>
      <c r="AV69" s="19">
        <f t="shared" si="290"/>
        <v>377.95799999999997</v>
      </c>
      <c r="AW69" s="19">
        <f t="shared" si="290"/>
        <v>385.55899999999991</v>
      </c>
      <c r="AX69" s="19">
        <f t="shared" si="290"/>
        <v>383.62355700000001</v>
      </c>
      <c r="AY69" s="19">
        <f t="shared" si="290"/>
        <v>372.70144800000014</v>
      </c>
      <c r="AZ69" s="19">
        <f t="shared" si="290"/>
        <v>566.78381100000001</v>
      </c>
      <c r="BA69" s="19">
        <f t="shared" si="290"/>
        <v>649.98103699999967</v>
      </c>
      <c r="BB69" s="19">
        <f t="shared" si="290"/>
        <v>1121.2792920000002</v>
      </c>
      <c r="BC69" s="19">
        <f t="shared" si="290"/>
        <v>921.46599999999989</v>
      </c>
      <c r="BD69" s="19">
        <f t="shared" ca="1" si="290"/>
        <v>1305.3836868813955</v>
      </c>
      <c r="BE69" s="19">
        <f ca="1">+SUM(X69:AA69)</f>
        <v>1613.9419060153559</v>
      </c>
      <c r="BF69" s="2"/>
      <c r="BG69" s="2"/>
      <c r="BH69" s="19"/>
      <c r="BI69" s="2"/>
      <c r="BJ69" s="2"/>
      <c r="BK69" s="2"/>
    </row>
    <row r="70" spans="1:63" s="54" customFormat="1" ht="13.5" customHeight="1">
      <c r="A70" s="18"/>
      <c r="B70" s="30" t="s">
        <v>72</v>
      </c>
      <c r="C70" s="18"/>
      <c r="D70" s="21">
        <f>D480</f>
        <v>68.554000000000002</v>
      </c>
      <c r="E70" s="21">
        <f t="shared" ref="E70:W70" si="291">E480</f>
        <v>70.876000000000005</v>
      </c>
      <c r="F70" s="21">
        <f t="shared" si="291"/>
        <v>94.733000000000004</v>
      </c>
      <c r="G70" s="21">
        <f t="shared" si="291"/>
        <v>97.561999999999998</v>
      </c>
      <c r="H70" s="21">
        <f t="shared" si="291"/>
        <v>100.9</v>
      </c>
      <c r="I70" s="21">
        <f t="shared" si="291"/>
        <v>103.80500000000001</v>
      </c>
      <c r="J70" s="21">
        <f t="shared" si="291"/>
        <v>107.027</v>
      </c>
      <c r="K70" s="21">
        <f t="shared" si="291"/>
        <v>110.663</v>
      </c>
      <c r="L70" s="21">
        <f t="shared" si="291"/>
        <v>111.102</v>
      </c>
      <c r="M70" s="21">
        <f t="shared" si="291"/>
        <v>113.22499999999999</v>
      </c>
      <c r="N70" s="21">
        <f t="shared" si="291"/>
        <v>105.345</v>
      </c>
      <c r="O70" s="21">
        <f t="shared" si="291"/>
        <v>107.58199999999999</v>
      </c>
      <c r="P70" s="21">
        <f t="shared" si="291"/>
        <v>110.32299999999999</v>
      </c>
      <c r="Q70" s="21">
        <f t="shared" si="291"/>
        <v>123.93899999999999</v>
      </c>
      <c r="R70" s="21">
        <f t="shared" si="291"/>
        <v>147.28100000000001</v>
      </c>
      <c r="S70" s="21">
        <f t="shared" si="291"/>
        <v>150.648</v>
      </c>
      <c r="T70" s="21">
        <f t="shared" si="291"/>
        <v>159.023</v>
      </c>
      <c r="U70" s="21">
        <f t="shared" ref="U70" si="292">U480</f>
        <v>165.166</v>
      </c>
      <c r="V70" s="21">
        <f t="shared" si="291"/>
        <v>168.22900000000001</v>
      </c>
      <c r="W70" s="21">
        <f t="shared" ca="1" si="291"/>
        <v>198.06307587941231</v>
      </c>
      <c r="X70" s="21">
        <f t="shared" ref="X70:AA70" ca="1" si="293">X480</f>
        <v>182.32341103025519</v>
      </c>
      <c r="Y70" s="21">
        <f t="shared" ca="1" si="293"/>
        <v>184.17896925455938</v>
      </c>
      <c r="Z70" s="21">
        <f t="shared" ca="1" si="293"/>
        <v>207.74636269666158</v>
      </c>
      <c r="AA70" s="21">
        <f t="shared" ca="1" si="293"/>
        <v>235.48950615032311</v>
      </c>
      <c r="AB70" s="18"/>
      <c r="AC70" s="21">
        <f>AC480</f>
        <v>9.782</v>
      </c>
      <c r="AD70" s="21">
        <f t="shared" ref="AD70:AT70" si="294">AD480</f>
        <v>15.295</v>
      </c>
      <c r="AE70" s="21">
        <f t="shared" si="294"/>
        <v>21.417000000000002</v>
      </c>
      <c r="AF70" s="21">
        <f t="shared" si="294"/>
        <v>41.445999999999998</v>
      </c>
      <c r="AG70" s="21">
        <f t="shared" si="294"/>
        <v>55.323</v>
      </c>
      <c r="AH70" s="21">
        <f t="shared" si="294"/>
        <v>65.001000000000005</v>
      </c>
      <c r="AI70" s="21">
        <f t="shared" si="294"/>
        <v>69.161000000000001</v>
      </c>
      <c r="AJ70" s="21">
        <f t="shared" si="294"/>
        <v>69.817999999999998</v>
      </c>
      <c r="AK70" s="21">
        <f t="shared" si="294"/>
        <v>75.649000000000001</v>
      </c>
      <c r="AL70" s="21">
        <f t="shared" si="294"/>
        <v>73.715000000000003</v>
      </c>
      <c r="AM70" s="21">
        <f t="shared" si="294"/>
        <v>80.004999999999995</v>
      </c>
      <c r="AN70" s="21">
        <f t="shared" si="294"/>
        <v>81.512</v>
      </c>
      <c r="AO70" s="21">
        <f t="shared" si="294"/>
        <v>80.814999999999998</v>
      </c>
      <c r="AP70" s="21">
        <f t="shared" si="294"/>
        <v>87.81</v>
      </c>
      <c r="AQ70" s="21">
        <f t="shared" si="294"/>
        <v>107.682</v>
      </c>
      <c r="AR70" s="21">
        <f t="shared" si="294"/>
        <v>131.34899999999999</v>
      </c>
      <c r="AS70" s="21">
        <f t="shared" si="294"/>
        <v>156.18199999999999</v>
      </c>
      <c r="AT70" s="21">
        <f t="shared" si="294"/>
        <v>200.25200000000001</v>
      </c>
      <c r="AU70" s="21">
        <f t="shared" ref="AU70:BC70" si="295">AU480</f>
        <v>222.506</v>
      </c>
      <c r="AV70" s="21">
        <f t="shared" si="295"/>
        <v>223.828</v>
      </c>
      <c r="AW70" s="21">
        <f t="shared" si="295"/>
        <v>260.14299999999997</v>
      </c>
      <c r="AX70" s="21">
        <f t="shared" si="295"/>
        <v>292.54599999999999</v>
      </c>
      <c r="AY70" s="21">
        <f t="shared" si="295"/>
        <v>286.88400000000001</v>
      </c>
      <c r="AZ70" s="21">
        <f t="shared" si="295"/>
        <v>331.72500000000002</v>
      </c>
      <c r="BA70" s="21">
        <f t="shared" si="295"/>
        <v>422.39499999999998</v>
      </c>
      <c r="BB70" s="21">
        <f t="shared" si="295"/>
        <v>437.25400000000002</v>
      </c>
      <c r="BC70" s="21">
        <f t="shared" si="295"/>
        <v>532.19100000000003</v>
      </c>
      <c r="BD70" s="21">
        <f ca="1">SUM(T70:W70)</f>
        <v>690.48107587941229</v>
      </c>
      <c r="BE70" s="21">
        <f t="shared" ref="BE70:BE73" ca="1" si="296">+SUM(X70:AA70)</f>
        <v>809.73824913179919</v>
      </c>
      <c r="BF70" s="18"/>
      <c r="BG70" s="52"/>
      <c r="BH70" s="177"/>
      <c r="BI70" s="52"/>
      <c r="BJ70" s="52"/>
      <c r="BK70" s="52"/>
    </row>
    <row r="71" spans="1:63" s="215" customFormat="1" ht="11.25" customHeight="1">
      <c r="A71" s="5"/>
      <c r="B71" s="129" t="s">
        <v>18</v>
      </c>
      <c r="C71" s="55"/>
      <c r="D71" s="117">
        <f>D69+D70</f>
        <v>197.07618300000004</v>
      </c>
      <c r="E71" s="117">
        <f t="shared" ref="E71:W71" si="297">E69+E70</f>
        <v>202.069367</v>
      </c>
      <c r="F71" s="117">
        <f t="shared" si="297"/>
        <v>244.78120400000006</v>
      </c>
      <c r="G71" s="117">
        <f t="shared" si="297"/>
        <v>254.58205700000008</v>
      </c>
      <c r="H71" s="117">
        <f t="shared" si="297"/>
        <v>251.43823000000006</v>
      </c>
      <c r="I71" s="117">
        <f t="shared" si="297"/>
        <v>249.47212200000001</v>
      </c>
      <c r="J71" s="117">
        <f t="shared" si="297"/>
        <v>278.03037899999998</v>
      </c>
      <c r="K71" s="117">
        <f t="shared" si="297"/>
        <v>293.43530599999997</v>
      </c>
      <c r="L71" s="117">
        <f t="shared" si="297"/>
        <v>334.89187300000003</v>
      </c>
      <c r="M71" s="117">
        <f t="shared" si="297"/>
        <v>375.34880800000008</v>
      </c>
      <c r="N71" s="117">
        <f t="shared" si="297"/>
        <v>415.66974299999981</v>
      </c>
      <c r="O71" s="117">
        <f t="shared" si="297"/>
        <v>432.62286800000004</v>
      </c>
      <c r="P71" s="117">
        <f t="shared" si="297"/>
        <v>341.56097299999993</v>
      </c>
      <c r="Q71" s="117">
        <f t="shared" si="297"/>
        <v>325.89725399999998</v>
      </c>
      <c r="R71" s="117">
        <f t="shared" si="297"/>
        <v>375.34575799999993</v>
      </c>
      <c r="S71" s="117">
        <f t="shared" si="297"/>
        <v>410.85301499999991</v>
      </c>
      <c r="T71" s="117">
        <f t="shared" si="297"/>
        <v>408.04120100000006</v>
      </c>
      <c r="U71" s="117">
        <f t="shared" si="297"/>
        <v>451.72217699999993</v>
      </c>
      <c r="V71" s="117">
        <f t="shared" si="297"/>
        <v>528.995</v>
      </c>
      <c r="W71" s="117">
        <f t="shared" ca="1" si="297"/>
        <v>607.10638476080726</v>
      </c>
      <c r="X71" s="117">
        <f t="shared" ref="X71:AA71" ca="1" si="298">X69+X70</f>
        <v>545.7240455252861</v>
      </c>
      <c r="Y71" s="117">
        <f t="shared" ca="1" si="298"/>
        <v>551.27803738597459</v>
      </c>
      <c r="Z71" s="117">
        <f t="shared" ca="1" si="298"/>
        <v>621.81913366667038</v>
      </c>
      <c r="AA71" s="117">
        <f t="shared" ca="1" si="298"/>
        <v>704.85893856922416</v>
      </c>
      <c r="AB71" s="55"/>
      <c r="AC71" s="117">
        <f t="shared" ref="AC71:AT71" si="299">AC69+AC70</f>
        <v>24.71</v>
      </c>
      <c r="AD71" s="117">
        <f t="shared" si="299"/>
        <v>29.102999999999994</v>
      </c>
      <c r="AE71" s="117">
        <f t="shared" si="299"/>
        <v>46.246999999999993</v>
      </c>
      <c r="AF71" s="117">
        <f t="shared" si="299"/>
        <v>102.741</v>
      </c>
      <c r="AG71" s="117">
        <f t="shared" si="299"/>
        <v>68.101000000000013</v>
      </c>
      <c r="AH71" s="117">
        <f t="shared" si="299"/>
        <v>96.589999999999989</v>
      </c>
      <c r="AI71" s="117">
        <f t="shared" si="299"/>
        <v>120.46200000000002</v>
      </c>
      <c r="AJ71" s="117">
        <f t="shared" si="299"/>
        <v>158.30000000000001</v>
      </c>
      <c r="AK71" s="117">
        <f t="shared" si="299"/>
        <v>166.61700000000002</v>
      </c>
      <c r="AL71" s="117">
        <f t="shared" si="299"/>
        <v>200.97999999999996</v>
      </c>
      <c r="AM71" s="117">
        <f t="shared" si="299"/>
        <v>191.72699999999998</v>
      </c>
      <c r="AN71" s="117">
        <f t="shared" si="299"/>
        <v>185.94700000000003</v>
      </c>
      <c r="AO71" s="117">
        <f t="shared" si="299"/>
        <v>172.77700000000002</v>
      </c>
      <c r="AP71" s="117">
        <f t="shared" si="299"/>
        <v>246.98500000000001</v>
      </c>
      <c r="AQ71" s="117">
        <f t="shared" si="299"/>
        <v>249.23900000000003</v>
      </c>
      <c r="AR71" s="117">
        <f t="shared" si="299"/>
        <v>312.52599999999995</v>
      </c>
      <c r="AS71" s="117">
        <f t="shared" si="299"/>
        <v>365.61099999999999</v>
      </c>
      <c r="AT71" s="117">
        <f t="shared" si="299"/>
        <v>496.12200000000007</v>
      </c>
      <c r="AU71" s="117">
        <f t="shared" ref="AU71" si="300">AU69+AU70</f>
        <v>542.55399999999997</v>
      </c>
      <c r="AV71" s="117">
        <f t="shared" ref="AV71" si="301">AV69+AV70</f>
        <v>601.78599999999994</v>
      </c>
      <c r="AW71" s="117">
        <f t="shared" ref="AW71" si="302">AW69+AW70</f>
        <v>645.70199999999988</v>
      </c>
      <c r="AX71" s="117">
        <f t="shared" ref="AX71" si="303">AX69+AX70</f>
        <v>676.16955699999994</v>
      </c>
      <c r="AY71" s="117">
        <f t="shared" ref="AY71" si="304">AY69+AY70</f>
        <v>659.58544800000016</v>
      </c>
      <c r="AZ71" s="117">
        <f t="shared" ref="AZ71" si="305">AZ69+AZ70</f>
        <v>898.50881100000004</v>
      </c>
      <c r="BA71" s="117">
        <f t="shared" ref="BA71" si="306">BA69+BA70</f>
        <v>1072.3760369999995</v>
      </c>
      <c r="BB71" s="117">
        <f t="shared" ref="BB71" si="307">BB69+BB70</f>
        <v>1558.5332920000001</v>
      </c>
      <c r="BC71" s="117">
        <f t="shared" ref="BC71" si="308">BC69+BC70</f>
        <v>1453.6569999999999</v>
      </c>
      <c r="BD71" s="117">
        <f t="shared" ref="BD71" ca="1" si="309">BD69+BD70</f>
        <v>1995.8647627608079</v>
      </c>
      <c r="BE71" s="117">
        <f t="shared" ca="1" si="296"/>
        <v>2423.6801551471553</v>
      </c>
      <c r="BF71" s="5"/>
      <c r="BG71" s="5"/>
      <c r="BH71" s="5"/>
      <c r="BI71" s="5"/>
      <c r="BJ71" s="5"/>
      <c r="BK71" s="5"/>
    </row>
    <row r="72" spans="1:63" s="54" customFormat="1" ht="13.5" customHeight="1">
      <c r="A72" s="18"/>
      <c r="B72" s="30" t="s">
        <v>363</v>
      </c>
      <c r="C72" s="18"/>
      <c r="D72" s="133">
        <f>D484</f>
        <v>192.56</v>
      </c>
      <c r="E72" s="133">
        <f t="shared" ref="E72:W72" si="310">E484</f>
        <v>126.69799999999999</v>
      </c>
      <c r="F72" s="133">
        <f t="shared" si="310"/>
        <v>99.305999999999997</v>
      </c>
      <c r="G72" s="133">
        <f t="shared" si="310"/>
        <v>88.674999999999997</v>
      </c>
      <c r="H72" s="133">
        <f t="shared" si="310"/>
        <v>248.029</v>
      </c>
      <c r="I72" s="133">
        <f t="shared" si="310"/>
        <v>166.971</v>
      </c>
      <c r="J72" s="133">
        <f t="shared" si="310"/>
        <v>188.64</v>
      </c>
      <c r="K72" s="133">
        <f t="shared" si="310"/>
        <v>235.55600000000001</v>
      </c>
      <c r="L72" s="133">
        <f t="shared" si="310"/>
        <v>262.13499999999999</v>
      </c>
      <c r="M72" s="133">
        <f t="shared" si="310"/>
        <v>217.72300000000001</v>
      </c>
      <c r="N72" s="133">
        <f t="shared" si="310"/>
        <v>265.97000000000003</v>
      </c>
      <c r="O72" s="133">
        <f t="shared" si="310"/>
        <v>336.84399999999999</v>
      </c>
      <c r="P72" s="133">
        <f t="shared" si="310"/>
        <v>302.49900000000002</v>
      </c>
      <c r="Q72" s="133">
        <f t="shared" si="310"/>
        <v>250.53399999999999</v>
      </c>
      <c r="R72" s="133">
        <f t="shared" si="310"/>
        <v>226.624</v>
      </c>
      <c r="S72" s="133">
        <f t="shared" si="310"/>
        <v>170.16</v>
      </c>
      <c r="T72" s="133">
        <f t="shared" si="310"/>
        <v>181.30500000000001</v>
      </c>
      <c r="U72" s="133">
        <f t="shared" ref="U72" si="311">U484</f>
        <v>205.67400000000001</v>
      </c>
      <c r="V72" s="133">
        <f t="shared" si="310"/>
        <v>207.07900000000001</v>
      </c>
      <c r="W72" s="133">
        <f t="shared" ca="1" si="310"/>
        <v>396.12615175882462</v>
      </c>
      <c r="X72" s="133">
        <f t="shared" ref="X72:AA72" ca="1" si="312">X484</f>
        <v>280.0243849725</v>
      </c>
      <c r="Y72" s="133">
        <f t="shared" ca="1" si="312"/>
        <v>282.87427433999994</v>
      </c>
      <c r="Z72" s="133">
        <f t="shared" ca="1" si="312"/>
        <v>319.07063999999997</v>
      </c>
      <c r="AA72" s="133">
        <f t="shared" ca="1" si="312"/>
        <v>361.68039943197027</v>
      </c>
      <c r="AB72" s="18"/>
      <c r="AC72" s="133">
        <f>AC484</f>
        <v>38.648000000000003</v>
      </c>
      <c r="AD72" s="133">
        <f t="shared" ref="AD72:AT72" si="313">AD484</f>
        <v>41.113999999999997</v>
      </c>
      <c r="AE72" s="133">
        <f t="shared" si="313"/>
        <v>38.484999999999999</v>
      </c>
      <c r="AF72" s="133">
        <f t="shared" si="313"/>
        <v>103.762</v>
      </c>
      <c r="AG72" s="133">
        <f t="shared" si="313"/>
        <v>70.200999999999993</v>
      </c>
      <c r="AH72" s="133">
        <f t="shared" si="313"/>
        <v>55.234999999999999</v>
      </c>
      <c r="AI72" s="133">
        <f t="shared" si="313"/>
        <v>37.871000000000002</v>
      </c>
      <c r="AJ72" s="133">
        <f t="shared" si="313"/>
        <v>81.094999999999999</v>
      </c>
      <c r="AK72" s="133">
        <f t="shared" si="313"/>
        <v>79.879000000000005</v>
      </c>
      <c r="AL72" s="133">
        <f t="shared" si="313"/>
        <v>78.736999999999995</v>
      </c>
      <c r="AM72" s="133">
        <f t="shared" si="313"/>
        <v>84.001000000000005</v>
      </c>
      <c r="AN72" s="133">
        <f t="shared" si="313"/>
        <v>59.222999999999999</v>
      </c>
      <c r="AO72" s="133">
        <f t="shared" si="313"/>
        <v>87.784999999999997</v>
      </c>
      <c r="AP72" s="133">
        <f t="shared" si="313"/>
        <v>186.94399999999999</v>
      </c>
      <c r="AQ72" s="133">
        <f t="shared" si="313"/>
        <v>213.96299999999999</v>
      </c>
      <c r="AR72" s="133">
        <f t="shared" si="313"/>
        <v>246.137</v>
      </c>
      <c r="AS72" s="133">
        <f t="shared" si="313"/>
        <v>287.59500000000003</v>
      </c>
      <c r="AT72" s="133">
        <f t="shared" si="313"/>
        <v>288.54000000000002</v>
      </c>
      <c r="AU72" s="133">
        <f t="shared" ref="AU72:BC72" si="314">AU484</f>
        <v>257.517</v>
      </c>
      <c r="AV72" s="133">
        <f t="shared" si="314"/>
        <v>328.04500000000002</v>
      </c>
      <c r="AW72" s="133">
        <f t="shared" si="314"/>
        <v>330.58800000000002</v>
      </c>
      <c r="AX72" s="133">
        <f t="shared" si="314"/>
        <v>315.58199999999999</v>
      </c>
      <c r="AY72" s="133">
        <f t="shared" si="314"/>
        <v>460.42200000000003</v>
      </c>
      <c r="AZ72" s="133">
        <f t="shared" si="314"/>
        <v>507.23899999999998</v>
      </c>
      <c r="BA72" s="133">
        <f t="shared" si="314"/>
        <v>839.19600000000003</v>
      </c>
      <c r="BB72" s="133">
        <f>BB484</f>
        <v>1082.672</v>
      </c>
      <c r="BC72" s="133">
        <f t="shared" si="314"/>
        <v>949.81700000000001</v>
      </c>
      <c r="BD72" s="21">
        <f ca="1">SUM(T72:W72)</f>
        <v>990.18415175882456</v>
      </c>
      <c r="BE72" s="21">
        <f t="shared" ca="1" si="296"/>
        <v>1243.6496987444702</v>
      </c>
      <c r="BF72" s="18"/>
      <c r="BG72" s="162"/>
      <c r="BH72" s="162"/>
      <c r="BI72" s="162"/>
      <c r="BJ72" s="162"/>
      <c r="BK72" s="162"/>
    </row>
    <row r="73" spans="1:63" s="54" customFormat="1" ht="11.25" customHeight="1">
      <c r="A73" s="55"/>
      <c r="B73" s="129" t="s">
        <v>724</v>
      </c>
      <c r="C73" s="55"/>
      <c r="D73" s="117">
        <f>D71-D72</f>
        <v>4.5161830000000407</v>
      </c>
      <c r="E73" s="117">
        <f t="shared" ref="E73:W73" si="315">E71-E72</f>
        <v>75.371367000000006</v>
      </c>
      <c r="F73" s="117">
        <f t="shared" si="315"/>
        <v>145.47520400000008</v>
      </c>
      <c r="G73" s="117">
        <f t="shared" si="315"/>
        <v>165.90705700000007</v>
      </c>
      <c r="H73" s="117">
        <f t="shared" si="315"/>
        <v>3.4092300000000648</v>
      </c>
      <c r="I73" s="117">
        <f t="shared" si="315"/>
        <v>82.501122000000009</v>
      </c>
      <c r="J73" s="117">
        <f t="shared" si="315"/>
        <v>89.390378999999996</v>
      </c>
      <c r="K73" s="117">
        <f t="shared" si="315"/>
        <v>57.879305999999957</v>
      </c>
      <c r="L73" s="117">
        <f t="shared" si="315"/>
        <v>72.756873000000041</v>
      </c>
      <c r="M73" s="117">
        <f t="shared" si="315"/>
        <v>157.62580800000006</v>
      </c>
      <c r="N73" s="117">
        <f t="shared" si="315"/>
        <v>149.69974299999978</v>
      </c>
      <c r="O73" s="117">
        <f t="shared" si="315"/>
        <v>95.778868000000045</v>
      </c>
      <c r="P73" s="117">
        <f t="shared" si="315"/>
        <v>39.061972999999909</v>
      </c>
      <c r="Q73" s="117">
        <f t="shared" si="315"/>
        <v>75.363253999999984</v>
      </c>
      <c r="R73" s="117">
        <f t="shared" si="315"/>
        <v>148.72175799999994</v>
      </c>
      <c r="S73" s="117">
        <f t="shared" si="315"/>
        <v>240.69301499999992</v>
      </c>
      <c r="T73" s="117">
        <f t="shared" si="315"/>
        <v>226.73620100000005</v>
      </c>
      <c r="U73" s="117">
        <f t="shared" si="315"/>
        <v>246.04817699999992</v>
      </c>
      <c r="V73" s="117">
        <f t="shared" si="315"/>
        <v>321.916</v>
      </c>
      <c r="W73" s="117">
        <f t="shared" ca="1" si="315"/>
        <v>210.98023300198264</v>
      </c>
      <c r="X73" s="117">
        <f t="shared" ref="X73:AA73" ca="1" si="316">X71-X72</f>
        <v>265.6996605527861</v>
      </c>
      <c r="Y73" s="117">
        <f t="shared" ca="1" si="316"/>
        <v>268.40376304597464</v>
      </c>
      <c r="Z73" s="117">
        <f t="shared" ca="1" si="316"/>
        <v>302.74849366667041</v>
      </c>
      <c r="AA73" s="117">
        <f t="shared" ca="1" si="316"/>
        <v>343.17853913725389</v>
      </c>
      <c r="AB73" s="55"/>
      <c r="AC73" s="117">
        <f t="shared" ref="AC73:AT73" si="317">AC71-AC72</f>
        <v>-13.938000000000002</v>
      </c>
      <c r="AD73" s="117">
        <f t="shared" si="317"/>
        <v>-12.011000000000003</v>
      </c>
      <c r="AE73" s="117">
        <f t="shared" si="317"/>
        <v>7.7619999999999933</v>
      </c>
      <c r="AF73" s="117">
        <f t="shared" si="317"/>
        <v>-1.0210000000000008</v>
      </c>
      <c r="AG73" s="117">
        <f t="shared" si="317"/>
        <v>-2.0999999999999801</v>
      </c>
      <c r="AH73" s="117">
        <f t="shared" si="317"/>
        <v>41.35499999999999</v>
      </c>
      <c r="AI73" s="117">
        <f t="shared" si="317"/>
        <v>82.591000000000008</v>
      </c>
      <c r="AJ73" s="117">
        <f t="shared" si="317"/>
        <v>77.205000000000013</v>
      </c>
      <c r="AK73" s="117">
        <f t="shared" si="317"/>
        <v>86.738000000000014</v>
      </c>
      <c r="AL73" s="117">
        <f t="shared" si="317"/>
        <v>122.24299999999997</v>
      </c>
      <c r="AM73" s="117">
        <f t="shared" si="317"/>
        <v>107.72599999999997</v>
      </c>
      <c r="AN73" s="117">
        <f t="shared" si="317"/>
        <v>126.72400000000003</v>
      </c>
      <c r="AO73" s="117">
        <f t="shared" si="317"/>
        <v>84.992000000000019</v>
      </c>
      <c r="AP73" s="117">
        <f t="shared" si="317"/>
        <v>60.041000000000025</v>
      </c>
      <c r="AQ73" s="117">
        <f t="shared" si="317"/>
        <v>35.276000000000039</v>
      </c>
      <c r="AR73" s="117">
        <f t="shared" si="317"/>
        <v>66.388999999999953</v>
      </c>
      <c r="AS73" s="117">
        <f t="shared" si="317"/>
        <v>78.015999999999963</v>
      </c>
      <c r="AT73" s="117">
        <f t="shared" si="317"/>
        <v>207.58200000000005</v>
      </c>
      <c r="AU73" s="117">
        <f t="shared" ref="AU73" si="318">AU71-AU72</f>
        <v>285.03699999999998</v>
      </c>
      <c r="AV73" s="117">
        <f t="shared" ref="AV73" si="319">AV71-AV72</f>
        <v>273.74099999999993</v>
      </c>
      <c r="AW73" s="117">
        <f t="shared" ref="AW73" si="320">AW71-AW72</f>
        <v>315.11399999999986</v>
      </c>
      <c r="AX73" s="117">
        <f t="shared" ref="AX73" si="321">AX71-AX72</f>
        <v>360.58755699999995</v>
      </c>
      <c r="AY73" s="117">
        <f t="shared" ref="AY73" si="322">AY71-AY72</f>
        <v>199.16344800000013</v>
      </c>
      <c r="AZ73" s="117">
        <f t="shared" ref="AZ73" si="323">AZ71-AZ72</f>
        <v>391.26981100000006</v>
      </c>
      <c r="BA73" s="117">
        <f t="shared" ref="BA73" si="324">BA71-BA72</f>
        <v>233.18003699999952</v>
      </c>
      <c r="BB73" s="117">
        <f t="shared" ref="BB73" si="325">BB71-BB72</f>
        <v>475.86129200000005</v>
      </c>
      <c r="BC73" s="117">
        <f t="shared" ref="BC73" si="326">BC71-BC72</f>
        <v>503.83999999999992</v>
      </c>
      <c r="BD73" s="117">
        <f t="shared" ref="BD73" ca="1" si="327">BD71-BD72</f>
        <v>1005.6806110019834</v>
      </c>
      <c r="BE73" s="117">
        <f t="shared" ca="1" si="296"/>
        <v>1180.0304564026851</v>
      </c>
      <c r="BF73" s="55"/>
      <c r="BG73" s="84">
        <f>ROUND(AZ73-SUM(D73:G73),1)</f>
        <v>0</v>
      </c>
      <c r="BH73" s="84">
        <f>ROUND(BA73-SUM(H73:K73),1)</f>
        <v>0</v>
      </c>
      <c r="BI73" s="84">
        <f>ROUND(BB73-SUM(L73:O73),1)</f>
        <v>0</v>
      </c>
      <c r="BJ73" s="84">
        <f>ROUND(BC73-SUM(P73:S73),1)</f>
        <v>0</v>
      </c>
      <c r="BK73" s="84">
        <f ca="1">ROUND(BD73-SUM(T73:W73),1)</f>
        <v>0</v>
      </c>
    </row>
    <row r="74" spans="1:63" s="54" customFormat="1" ht="11.25" customHeight="1">
      <c r="A74" s="18"/>
      <c r="B74" s="36" t="s">
        <v>249</v>
      </c>
      <c r="C74" s="18"/>
      <c r="D74" s="165"/>
      <c r="E74" s="165"/>
      <c r="F74" s="136"/>
      <c r="G74" s="136"/>
      <c r="H74" s="67">
        <f>IF(AND(H73&gt;0,D73&gt;0),H73/D73-1,"n/m")</f>
        <v>-0.24510809238685982</v>
      </c>
      <c r="I74" s="67">
        <f t="shared" ref="I74:W74" si="328">IF(AND(I73&gt;0,E73&gt;0),I73/E73-1,"n/m")</f>
        <v>9.4595007146414112E-2</v>
      </c>
      <c r="J74" s="67">
        <f t="shared" si="328"/>
        <v>-0.38552841623786316</v>
      </c>
      <c r="K74" s="67">
        <f t="shared" si="328"/>
        <v>-0.65113415278049369</v>
      </c>
      <c r="L74" s="67">
        <f t="shared" si="328"/>
        <v>20.341145361268868</v>
      </c>
      <c r="M74" s="67">
        <f t="shared" si="328"/>
        <v>0.91058987052321605</v>
      </c>
      <c r="N74" s="67">
        <f t="shared" si="328"/>
        <v>0.67467399371916525</v>
      </c>
      <c r="O74" s="67">
        <f t="shared" si="328"/>
        <v>0.65480332469777913</v>
      </c>
      <c r="P74" s="67">
        <f t="shared" si="328"/>
        <v>-0.463116384894663</v>
      </c>
      <c r="Q74" s="67">
        <f t="shared" si="328"/>
        <v>-0.52188505831481635</v>
      </c>
      <c r="R74" s="67">
        <f t="shared" si="328"/>
        <v>-6.5329771474614828E-3</v>
      </c>
      <c r="S74" s="67">
        <f t="shared" si="328"/>
        <v>1.5130075143506581</v>
      </c>
      <c r="T74" s="67">
        <f t="shared" si="328"/>
        <v>4.8045250556084449</v>
      </c>
      <c r="U74" s="67">
        <f t="shared" si="328"/>
        <v>2.2648295281942041</v>
      </c>
      <c r="V74" s="67">
        <f t="shared" si="328"/>
        <v>1.1645521430697459</v>
      </c>
      <c r="W74" s="67">
        <f t="shared" ca="1" si="328"/>
        <v>-0.12344679798047853</v>
      </c>
      <c r="X74" s="67">
        <f t="shared" ref="X74" ca="1" si="329">IF(AND(X73&gt;0,T73&gt;0),X73/T73-1,"n/m")</f>
        <v>0.17184489896602817</v>
      </c>
      <c r="Y74" s="67">
        <f t="shared" ref="Y74" ca="1" si="330">IF(AND(Y73&gt;0,U73&gt;0),Y73/U73-1,"n/m")</f>
        <v>9.0858572164811191E-2</v>
      </c>
      <c r="Z74" s="67">
        <f t="shared" ref="Z74" ca="1" si="331">IF(AND(Z73&gt;0,V73&gt;0),Z73/V73-1,"n/m")</f>
        <v>-5.9541949866827371E-2</v>
      </c>
      <c r="AA74" s="67">
        <f t="shared" ref="AA74" ca="1" si="332">IF(AND(AA73&gt;0,W73&gt;0),AA73/W73-1,"n/m")</f>
        <v>0.62659095714444946</v>
      </c>
      <c r="AB74" s="18"/>
      <c r="AC74" s="67"/>
      <c r="AD74" s="67" t="str">
        <f t="shared" ref="AD74:AT74" si="333">IF(AND(AD73&gt;0,AC73&gt;0),AD73/AC73-1,"n/m")</f>
        <v>n/m</v>
      </c>
      <c r="AE74" s="67" t="str">
        <f t="shared" si="333"/>
        <v>n/m</v>
      </c>
      <c r="AF74" s="67" t="str">
        <f t="shared" si="333"/>
        <v>n/m</v>
      </c>
      <c r="AG74" s="67" t="str">
        <f t="shared" si="333"/>
        <v>n/m</v>
      </c>
      <c r="AH74" s="67" t="str">
        <f t="shared" si="333"/>
        <v>n/m</v>
      </c>
      <c r="AI74" s="67">
        <f t="shared" si="333"/>
        <v>0.9971224761213886</v>
      </c>
      <c r="AJ74" s="67">
        <f t="shared" si="333"/>
        <v>-6.5212916661621656E-2</v>
      </c>
      <c r="AK74" s="67">
        <f t="shared" si="333"/>
        <v>0.1234764587785766</v>
      </c>
      <c r="AL74" s="67">
        <f t="shared" si="333"/>
        <v>0.4093361617745388</v>
      </c>
      <c r="AM74" s="67">
        <f t="shared" si="333"/>
        <v>-0.11875526615020904</v>
      </c>
      <c r="AN74" s="67">
        <f t="shared" si="333"/>
        <v>0.17635482613296749</v>
      </c>
      <c r="AO74" s="67">
        <f t="shared" si="333"/>
        <v>-0.32931409993371419</v>
      </c>
      <c r="AP74" s="67">
        <f t="shared" si="333"/>
        <v>-0.29356880647590344</v>
      </c>
      <c r="AQ74" s="67">
        <f t="shared" si="333"/>
        <v>-0.41246814676637589</v>
      </c>
      <c r="AR74" s="67">
        <f t="shared" si="333"/>
        <v>0.88198775371356963</v>
      </c>
      <c r="AS74" s="67">
        <f t="shared" si="333"/>
        <v>0.17513443492144809</v>
      </c>
      <c r="AT74" s="67">
        <f t="shared" si="333"/>
        <v>1.6607618949959</v>
      </c>
      <c r="AU74" s="67">
        <f t="shared" ref="AU74:BE74" si="334">IF(AND(AU73&gt;0,AT73&gt;0),AU73/AT73-1,"n/m")</f>
        <v>0.37312965478702353</v>
      </c>
      <c r="AV74" s="67">
        <f t="shared" si="334"/>
        <v>-3.9629942779358607E-2</v>
      </c>
      <c r="AW74" s="67">
        <f t="shared" si="334"/>
        <v>0.15113921553585308</v>
      </c>
      <c r="AX74" s="67">
        <f t="shared" si="334"/>
        <v>0.14430827256167644</v>
      </c>
      <c r="AY74" s="67">
        <f t="shared" si="334"/>
        <v>-0.44766965988235652</v>
      </c>
      <c r="AZ74" s="67">
        <f t="shared" si="334"/>
        <v>0.96456636460722356</v>
      </c>
      <c r="BA74" s="67">
        <f t="shared" si="334"/>
        <v>-0.40404286135942269</v>
      </c>
      <c r="BB74" s="67">
        <f t="shared" si="334"/>
        <v>1.0407462753769141</v>
      </c>
      <c r="BC74" s="67">
        <f t="shared" si="334"/>
        <v>5.8795931651444144E-2</v>
      </c>
      <c r="BD74" s="67">
        <f t="shared" ca="1" si="334"/>
        <v>0.99603169855903362</v>
      </c>
      <c r="BE74" s="67">
        <f t="shared" ca="1" si="334"/>
        <v>0.17336502612593163</v>
      </c>
      <c r="BF74" s="18"/>
      <c r="BG74" s="18"/>
      <c r="BH74" s="18"/>
      <c r="BI74" s="18"/>
      <c r="BJ74" s="18"/>
      <c r="BK74" s="18"/>
    </row>
    <row r="75" spans="1:63" s="54" customFormat="1" ht="11.25" customHeight="1">
      <c r="A75" s="18"/>
      <c r="B75" s="36" t="s">
        <v>17</v>
      </c>
      <c r="C75" s="18"/>
      <c r="D75" s="136">
        <f t="shared" ref="D75:W75" si="335">IFERROR(D73/D16,"n/a")</f>
        <v>1.4540321828997529E-2</v>
      </c>
      <c r="E75" s="136">
        <f t="shared" si="335"/>
        <v>0.24250889001614351</v>
      </c>
      <c r="F75" s="136">
        <f t="shared" si="335"/>
        <v>0.40814957589369627</v>
      </c>
      <c r="G75" s="136">
        <f t="shared" si="335"/>
        <v>0.45902568618675083</v>
      </c>
      <c r="H75" s="136">
        <f t="shared" si="335"/>
        <v>9.4071020015082472E-3</v>
      </c>
      <c r="I75" s="136">
        <f t="shared" si="335"/>
        <v>0.22169072526496802</v>
      </c>
      <c r="J75" s="136">
        <f t="shared" si="335"/>
        <v>0.2155697236334308</v>
      </c>
      <c r="K75" s="136">
        <f t="shared" si="335"/>
        <v>0.13208744532893726</v>
      </c>
      <c r="L75" s="136">
        <f t="shared" si="335"/>
        <v>0.14815810957179734</v>
      </c>
      <c r="M75" s="136">
        <f t="shared" si="335"/>
        <v>0.29510160174842892</v>
      </c>
      <c r="N75" s="136">
        <f t="shared" si="335"/>
        <v>0.24415153683063295</v>
      </c>
      <c r="O75" s="136">
        <f t="shared" si="335"/>
        <v>0.15311588889344971</v>
      </c>
      <c r="P75" s="136">
        <f t="shared" si="335"/>
        <v>7.6797956627951275E-2</v>
      </c>
      <c r="Q75" s="136">
        <f t="shared" si="335"/>
        <v>0.15673208854912432</v>
      </c>
      <c r="R75" s="136">
        <f t="shared" si="335"/>
        <v>0.27201910956284781</v>
      </c>
      <c r="S75" s="136">
        <f t="shared" si="335"/>
        <v>0.38478313432031597</v>
      </c>
      <c r="T75" s="136">
        <f t="shared" si="335"/>
        <v>0.38258402025602545</v>
      </c>
      <c r="U75" s="136">
        <f t="shared" si="335"/>
        <v>0.3653221367729978</v>
      </c>
      <c r="V75" s="136">
        <f t="shared" si="335"/>
        <v>0.42374541261458593</v>
      </c>
      <c r="W75" s="136">
        <f t="shared" ca="1" si="335"/>
        <v>0.24499999999999997</v>
      </c>
      <c r="X75" s="136">
        <f t="shared" ref="X75:AA75" ca="1" si="336">IFERROR(X73/X16,"n/a")</f>
        <v>0.33209565375032518</v>
      </c>
      <c r="Y75" s="136">
        <f t="shared" ca="1" si="336"/>
        <v>0.33209565375032518</v>
      </c>
      <c r="Z75" s="136">
        <f t="shared" ca="1" si="336"/>
        <v>0.33209565375032513</v>
      </c>
      <c r="AA75" s="136">
        <f t="shared" ca="1" si="336"/>
        <v>0.33209565375032507</v>
      </c>
      <c r="AB75" s="18"/>
      <c r="AC75" s="136">
        <f t="shared" ref="AC75:BD75" si="337">IFERROR(AC73/AC16,"n/a")</f>
        <v>-0.31729915541694181</v>
      </c>
      <c r="AD75" s="136">
        <f t="shared" si="337"/>
        <v>-0.23820951172107421</v>
      </c>
      <c r="AE75" s="136">
        <f t="shared" si="337"/>
        <v>0.10623126719312403</v>
      </c>
      <c r="AF75" s="136">
        <f t="shared" si="337"/>
        <v>-6.143274888987838E-3</v>
      </c>
      <c r="AG75" s="136">
        <f t="shared" si="337"/>
        <v>-1.6681892203201175E-2</v>
      </c>
      <c r="AH75" s="136">
        <f t="shared" si="337"/>
        <v>0.25480434501327776</v>
      </c>
      <c r="AI75" s="136">
        <f t="shared" si="337"/>
        <v>0.40685822943196204</v>
      </c>
      <c r="AJ75" s="136">
        <f t="shared" si="337"/>
        <v>0.30015978974624147</v>
      </c>
      <c r="AK75" s="136">
        <f t="shared" si="337"/>
        <v>0.32539155553054605</v>
      </c>
      <c r="AL75" s="136">
        <f t="shared" si="337"/>
        <v>0.38513013260577106</v>
      </c>
      <c r="AM75" s="136">
        <f t="shared" si="337"/>
        <v>0.33389951337445362</v>
      </c>
      <c r="AN75" s="136">
        <f t="shared" si="337"/>
        <v>0.38037207571182452</v>
      </c>
      <c r="AO75" s="136">
        <f t="shared" si="337"/>
        <v>0.28738562666107625</v>
      </c>
      <c r="AP75" s="136">
        <f t="shared" si="337"/>
        <v>0.14311218530860143</v>
      </c>
      <c r="AQ75" s="136">
        <f t="shared" si="337"/>
        <v>8.2597914681290061E-2</v>
      </c>
      <c r="AR75" s="136">
        <f t="shared" si="337"/>
        <v>0.13101066611412043</v>
      </c>
      <c r="AS75" s="136">
        <f t="shared" si="337"/>
        <v>0.13067481374283105</v>
      </c>
      <c r="AT75" s="136">
        <f t="shared" si="337"/>
        <v>0.27212947984153252</v>
      </c>
      <c r="AU75" s="136">
        <f t="shared" si="337"/>
        <v>0.33792295645390558</v>
      </c>
      <c r="AV75" s="136">
        <f t="shared" si="337"/>
        <v>0.28877521525669392</v>
      </c>
      <c r="AW75" s="136">
        <f t="shared" si="337"/>
        <v>0.32238474311139109</v>
      </c>
      <c r="AX75" s="136">
        <f t="shared" si="337"/>
        <v>0.34958487743375077</v>
      </c>
      <c r="AY75" s="136">
        <f t="shared" si="337"/>
        <v>0.1861365950090941</v>
      </c>
      <c r="AZ75" s="136">
        <f t="shared" si="337"/>
        <v>0.29215486686050818</v>
      </c>
      <c r="BA75" s="136">
        <f t="shared" si="337"/>
        <v>0.14689292438647825</v>
      </c>
      <c r="BB75" s="136">
        <f t="shared" si="337"/>
        <v>0.21019617579764957</v>
      </c>
      <c r="BC75" s="136">
        <f t="shared" si="337"/>
        <v>0.2330719384790742</v>
      </c>
      <c r="BD75" s="136">
        <f t="shared" ca="1" si="337"/>
        <v>0.34834916163524876</v>
      </c>
      <c r="BE75" s="136">
        <f t="shared" ref="BE75" ca="1" si="338">IFERROR(BE73/BE16,"n/a")</f>
        <v>0.33209565375032513</v>
      </c>
      <c r="BF75" s="18"/>
      <c r="BG75" s="18"/>
      <c r="BH75" s="18"/>
      <c r="BI75" s="18"/>
      <c r="BJ75" s="18"/>
      <c r="BK75" s="18"/>
    </row>
    <row r="76" spans="1:63" s="54" customFormat="1" ht="11.25" customHeight="1">
      <c r="A76" s="31"/>
      <c r="B76" s="135" t="s">
        <v>261</v>
      </c>
      <c r="C76" s="31"/>
      <c r="D76" s="136">
        <f>IFERROR(D70/D$16,"n/a")</f>
        <v>0.2207167474535659</v>
      </c>
      <c r="E76" s="136">
        <f t="shared" ref="E76:W76" si="339">IFERROR(E70/E$16,"n/a")</f>
        <v>0.2280449562336343</v>
      </c>
      <c r="F76" s="136">
        <f t="shared" si="339"/>
        <v>0.26578573330708311</v>
      </c>
      <c r="G76" s="136">
        <f t="shared" si="339"/>
        <v>0.26993103732622881</v>
      </c>
      <c r="H76" s="136">
        <f t="shared" si="339"/>
        <v>0.27841377435730769</v>
      </c>
      <c r="I76" s="136">
        <f t="shared" si="339"/>
        <v>0.27893688204785877</v>
      </c>
      <c r="J76" s="136">
        <f t="shared" si="339"/>
        <v>0.2581013870778554</v>
      </c>
      <c r="K76" s="136">
        <f t="shared" si="339"/>
        <v>0.25254609933360628</v>
      </c>
      <c r="L76" s="136">
        <f t="shared" si="339"/>
        <v>0.2262420251299945</v>
      </c>
      <c r="M76" s="136">
        <f t="shared" si="339"/>
        <v>0.21197594024682714</v>
      </c>
      <c r="N76" s="136">
        <f t="shared" si="339"/>
        <v>0.17181154177013561</v>
      </c>
      <c r="O76" s="136">
        <f t="shared" si="339"/>
        <v>0.17198484282498616</v>
      </c>
      <c r="P76" s="136">
        <f t="shared" si="339"/>
        <v>0.21690099906283503</v>
      </c>
      <c r="Q76" s="136">
        <f t="shared" si="339"/>
        <v>0.25775450623044915</v>
      </c>
      <c r="R76" s="136">
        <f t="shared" si="339"/>
        <v>0.26938389523021777</v>
      </c>
      <c r="S76" s="136">
        <f t="shared" si="339"/>
        <v>0.24083295320841352</v>
      </c>
      <c r="T76" s="136">
        <f t="shared" si="339"/>
        <v>0.2683279440373702</v>
      </c>
      <c r="U76" s="136">
        <f t="shared" ref="U76" si="340">IFERROR(U70/U$16,"n/a")</f>
        <v>0.24523163218660618</v>
      </c>
      <c r="V76" s="136">
        <f t="shared" si="339"/>
        <v>0.22144369033766317</v>
      </c>
      <c r="W76" s="136">
        <f t="shared" ca="1" si="339"/>
        <v>0.23</v>
      </c>
      <c r="X76" s="136">
        <f t="shared" ref="X76:AA76" ca="1" si="341">IFERROR(X70/X$16,"n/a")</f>
        <v>0.22788441751905331</v>
      </c>
      <c r="Y76" s="136">
        <f t="shared" ca="1" si="341"/>
        <v>0.22788441751905331</v>
      </c>
      <c r="Z76" s="136">
        <f t="shared" ca="1" si="341"/>
        <v>0.22788441751905331</v>
      </c>
      <c r="AA76" s="136">
        <f t="shared" ca="1" si="341"/>
        <v>0.22788441751905331</v>
      </c>
      <c r="AB76" s="169"/>
      <c r="AC76" s="136">
        <f>IFERROR(AC70/AC$16,"n/a")</f>
        <v>0.22268764085869738</v>
      </c>
      <c r="AD76" s="136">
        <f t="shared" ref="AD76:AT76" si="342">IFERROR(AD70/AD$16,"n/a")</f>
        <v>0.30333981198683119</v>
      </c>
      <c r="AE76" s="136">
        <f t="shared" si="342"/>
        <v>0.29311453871104609</v>
      </c>
      <c r="AF76" s="136">
        <f t="shared" si="342"/>
        <v>0.24937724882369219</v>
      </c>
      <c r="AG76" s="136">
        <f t="shared" si="342"/>
        <v>0.43947253445605117</v>
      </c>
      <c r="AH76" s="136">
        <f t="shared" si="342"/>
        <v>0.40049660815398558</v>
      </c>
      <c r="AI76" s="136">
        <f t="shared" si="342"/>
        <v>0.34069961625048645</v>
      </c>
      <c r="AJ76" s="136">
        <f t="shared" si="342"/>
        <v>0.27144040153491461</v>
      </c>
      <c r="AK76" s="136">
        <f t="shared" si="342"/>
        <v>0.28379194567929023</v>
      </c>
      <c r="AL76" s="136">
        <f t="shared" si="342"/>
        <v>0.23224125491876363</v>
      </c>
      <c r="AM76" s="136">
        <f t="shared" si="342"/>
        <v>0.24797755943340669</v>
      </c>
      <c r="AN76" s="136">
        <f t="shared" si="342"/>
        <v>0.24466469362884877</v>
      </c>
      <c r="AO76" s="136">
        <f t="shared" si="342"/>
        <v>0.27326182956766371</v>
      </c>
      <c r="AP76" s="136">
        <f t="shared" si="342"/>
        <v>0.20930166039786621</v>
      </c>
      <c r="AQ76" s="136">
        <f t="shared" si="342"/>
        <v>0.25213484093181388</v>
      </c>
      <c r="AR76" s="136">
        <f t="shared" si="342"/>
        <v>0.2592013734718645</v>
      </c>
      <c r="AS76" s="136">
        <f t="shared" si="342"/>
        <v>0.26160087366672025</v>
      </c>
      <c r="AT76" s="136">
        <f t="shared" si="342"/>
        <v>0.26252022139311959</v>
      </c>
      <c r="AU76" s="136">
        <f t="shared" ref="AU76:BD76" si="343">IFERROR(AU70/AU$16,"n/a")</f>
        <v>0.26378991270864033</v>
      </c>
      <c r="AV76" s="136">
        <f t="shared" si="343"/>
        <v>0.23612092773999988</v>
      </c>
      <c r="AW76" s="136">
        <f t="shared" si="343"/>
        <v>0.26614537668027011</v>
      </c>
      <c r="AX76" s="136">
        <f t="shared" si="343"/>
        <v>0.28361948594286646</v>
      </c>
      <c r="AY76" s="136">
        <f t="shared" si="343"/>
        <v>0.26811953427613344</v>
      </c>
      <c r="AZ76" s="136">
        <f t="shared" si="343"/>
        <v>0.24769371539707691</v>
      </c>
      <c r="BA76" s="136">
        <f t="shared" si="343"/>
        <v>0.2660898316789726</v>
      </c>
      <c r="BB76" s="136">
        <f t="shared" si="343"/>
        <v>0.19314266614529652</v>
      </c>
      <c r="BC76" s="136">
        <f t="shared" si="343"/>
        <v>0.24618686093028938</v>
      </c>
      <c r="BD76" s="136">
        <f t="shared" ca="1" si="343"/>
        <v>0.23916987289628028</v>
      </c>
      <c r="BE76" s="136">
        <f t="shared" ref="BE76" ca="1" si="344">IFERROR(BE70/BE$16,"n/a")</f>
        <v>0.22788441751905328</v>
      </c>
      <c r="BF76" s="31"/>
      <c r="BG76" s="31"/>
      <c r="BH76" s="31"/>
      <c r="BI76" s="31"/>
      <c r="BJ76" s="31"/>
      <c r="BK76" s="31"/>
    </row>
    <row r="77" spans="1:63" s="54" customFormat="1" ht="11.25" customHeight="1">
      <c r="A77" s="31"/>
      <c r="B77" s="135" t="s">
        <v>725</v>
      </c>
      <c r="C77" s="31"/>
      <c r="D77" s="136">
        <f>IFERROR(D72/D$16,"n/a")</f>
        <v>0.61996698791695093</v>
      </c>
      <c r="E77" s="136">
        <f t="shared" ref="E77:W77" si="345">IFERROR(E72/E$16,"n/a")</f>
        <v>0.40765336453650031</v>
      </c>
      <c r="F77" s="136">
        <f t="shared" si="345"/>
        <v>0.27861587864622878</v>
      </c>
      <c r="G77" s="136">
        <f t="shared" si="345"/>
        <v>0.2453428049333074</v>
      </c>
      <c r="H77" s="136">
        <f t="shared" si="345"/>
        <v>0.68438741367758837</v>
      </c>
      <c r="I77" s="136">
        <f t="shared" si="345"/>
        <v>0.44867174155785389</v>
      </c>
      <c r="J77" s="136">
        <f t="shared" si="345"/>
        <v>0.45491554148361296</v>
      </c>
      <c r="K77" s="136">
        <f t="shared" si="345"/>
        <v>0.53756674746416566</v>
      </c>
      <c r="L77" s="136">
        <f t="shared" si="345"/>
        <v>0.53379735069981737</v>
      </c>
      <c r="M77" s="136">
        <f t="shared" si="345"/>
        <v>0.40761349205882053</v>
      </c>
      <c r="N77" s="136">
        <f t="shared" si="345"/>
        <v>0.43378153462056074</v>
      </c>
      <c r="O77" s="136">
        <f t="shared" si="345"/>
        <v>0.53849214921213251</v>
      </c>
      <c r="P77" s="136">
        <f t="shared" si="345"/>
        <v>0.59472943371290254</v>
      </c>
      <c r="Q77" s="136">
        <f t="shared" si="345"/>
        <v>0.52103266497179546</v>
      </c>
      <c r="R77" s="136">
        <f t="shared" si="345"/>
        <v>0.4145059842929697</v>
      </c>
      <c r="S77" s="136">
        <f t="shared" si="345"/>
        <v>0.27202575087584069</v>
      </c>
      <c r="T77" s="136">
        <f t="shared" si="345"/>
        <v>0.30592554469287719</v>
      </c>
      <c r="U77" s="136">
        <f t="shared" ref="U77" si="346">IFERROR(U72/U$16,"n/a")</f>
        <v>0.30537623190213509</v>
      </c>
      <c r="V77" s="136">
        <f t="shared" si="345"/>
        <v>0.27258283620203977</v>
      </c>
      <c r="W77" s="136">
        <f t="shared" ca="1" si="345"/>
        <v>0.46</v>
      </c>
      <c r="X77" s="136">
        <f t="shared" ref="X77:AA77" ca="1" si="347">IFERROR(X72/X$16,"n/a")</f>
        <v>0.34999999999999992</v>
      </c>
      <c r="Y77" s="136">
        <f t="shared" ca="1" si="347"/>
        <v>0.35</v>
      </c>
      <c r="Z77" s="136">
        <f t="shared" ca="1" si="347"/>
        <v>0.35</v>
      </c>
      <c r="AA77" s="136">
        <f t="shared" ca="1" si="347"/>
        <v>0.35</v>
      </c>
      <c r="AB77" s="169"/>
      <c r="AC77" s="136">
        <f>IFERROR(AC72/AC$16,"n/a")</f>
        <v>0.87982334327406841</v>
      </c>
      <c r="AD77" s="136">
        <f t="shared" ref="AD77:AT77" si="348">IFERROR(AD72/AD$16,"n/a")</f>
        <v>0.81539804053786047</v>
      </c>
      <c r="AE77" s="136">
        <f t="shared" si="348"/>
        <v>0.52670836355673567</v>
      </c>
      <c r="AF77" s="136">
        <f t="shared" si="348"/>
        <v>0.6243276092371749</v>
      </c>
      <c r="AG77" s="136">
        <f t="shared" si="348"/>
        <v>0.55765976883663648</v>
      </c>
      <c r="AH77" s="136">
        <f t="shared" si="348"/>
        <v>0.34032445887579255</v>
      </c>
      <c r="AI77" s="136">
        <f t="shared" si="348"/>
        <v>0.186559407281881</v>
      </c>
      <c r="AJ77" s="136">
        <f t="shared" si="348"/>
        <v>0.31528344212773068</v>
      </c>
      <c r="AK77" s="136">
        <f t="shared" si="348"/>
        <v>0.29966049556393376</v>
      </c>
      <c r="AL77" s="136">
        <f t="shared" si="348"/>
        <v>0.24806321221649175</v>
      </c>
      <c r="AM77" s="136">
        <f t="shared" si="348"/>
        <v>0.26036326442054369</v>
      </c>
      <c r="AN77" s="136">
        <f t="shared" si="348"/>
        <v>0.17776250307661828</v>
      </c>
      <c r="AO77" s="136">
        <f t="shared" si="348"/>
        <v>0.2968296691034753</v>
      </c>
      <c r="AP77" s="136">
        <f t="shared" si="348"/>
        <v>0.44559491631270587</v>
      </c>
      <c r="AQ77" s="136">
        <f t="shared" si="348"/>
        <v>0.50098927369749524</v>
      </c>
      <c r="AR77" s="136">
        <f t="shared" si="348"/>
        <v>0.48572161540814413</v>
      </c>
      <c r="AS77" s="136">
        <f t="shared" si="348"/>
        <v>0.48171430294259532</v>
      </c>
      <c r="AT77" s="136">
        <f t="shared" si="348"/>
        <v>0.37826131414802716</v>
      </c>
      <c r="AU77" s="136">
        <f t="shared" ref="AU77:BD77" si="349">IFERROR(AU72/AU$16,"n/a")</f>
        <v>0.30529687716731657</v>
      </c>
      <c r="AV77" s="136">
        <f t="shared" si="349"/>
        <v>0.34606166226061202</v>
      </c>
      <c r="AW77" s="136">
        <f t="shared" si="349"/>
        <v>0.33821578049756157</v>
      </c>
      <c r="AX77" s="136">
        <f t="shared" si="349"/>
        <v>0.30595258391098046</v>
      </c>
      <c r="AY77" s="136">
        <f t="shared" si="349"/>
        <v>0.43030678675173906</v>
      </c>
      <c r="AZ77" s="136">
        <f t="shared" si="349"/>
        <v>0.37874719271775681</v>
      </c>
      <c r="BA77" s="136">
        <f t="shared" si="349"/>
        <v>0.5286556952276118</v>
      </c>
      <c r="BB77" s="136">
        <f t="shared" si="349"/>
        <v>0.47823497701761553</v>
      </c>
      <c r="BC77" s="136">
        <f t="shared" si="349"/>
        <v>0.43937696369954521</v>
      </c>
      <c r="BD77" s="136">
        <f t="shared" ca="1" si="349"/>
        <v>0.34298147479052493</v>
      </c>
      <c r="BE77" s="136">
        <f t="shared" ref="BE77" ca="1" si="350">IFERROR(BE72/BE$16,"n/a")</f>
        <v>0.35</v>
      </c>
      <c r="BF77" s="31"/>
      <c r="BG77" s="31"/>
      <c r="BH77" s="31"/>
      <c r="BI77" s="31"/>
      <c r="BJ77" s="31"/>
      <c r="BK77" s="31"/>
    </row>
    <row r="78" spans="1:63" ht="11.25" customHeight="1">
      <c r="A78" s="2"/>
      <c r="B78" s="35"/>
      <c r="C78" s="2"/>
      <c r="D78" s="67"/>
      <c r="E78" s="67"/>
      <c r="F78" s="67"/>
      <c r="G78" s="67"/>
      <c r="H78" s="67"/>
      <c r="I78" s="67"/>
      <c r="J78" s="67"/>
      <c r="K78" s="67"/>
      <c r="L78" s="67"/>
      <c r="M78" s="67"/>
      <c r="N78" s="67"/>
      <c r="O78" s="67"/>
      <c r="P78" s="67"/>
      <c r="Q78" s="67"/>
      <c r="R78" s="67"/>
      <c r="S78" s="67"/>
      <c r="T78" s="67"/>
      <c r="U78" s="67"/>
      <c r="V78" s="67"/>
      <c r="W78" s="67"/>
      <c r="X78" s="67"/>
      <c r="Y78" s="67"/>
      <c r="Z78" s="67"/>
      <c r="AA78" s="67"/>
      <c r="AB78" s="2"/>
      <c r="AC78" s="2"/>
      <c r="AD78" s="2"/>
      <c r="AE78" s="2"/>
      <c r="AF78" s="2"/>
      <c r="AG78" s="2"/>
      <c r="AH78" s="2"/>
      <c r="AI78" s="2"/>
      <c r="AJ78" s="2"/>
      <c r="AK78" s="2"/>
      <c r="AL78" s="2"/>
      <c r="AM78" s="2"/>
      <c r="AN78" s="2"/>
      <c r="AO78" s="2"/>
      <c r="AP78" s="2"/>
      <c r="AQ78" s="2"/>
      <c r="AR78" s="2"/>
      <c r="AS78" s="2"/>
      <c r="AT78" s="2"/>
      <c r="AU78" s="2"/>
      <c r="AV78" s="67"/>
      <c r="AW78" s="67"/>
      <c r="AX78" s="67"/>
      <c r="AY78" s="67"/>
      <c r="AZ78" s="67"/>
      <c r="BA78" s="67"/>
      <c r="BB78" s="67"/>
      <c r="BC78" s="67"/>
      <c r="BD78" s="67"/>
      <c r="BE78" s="67"/>
      <c r="BF78" s="2"/>
      <c r="BG78" s="2"/>
      <c r="BH78" s="2"/>
      <c r="BI78" s="2"/>
      <c r="BJ78" s="2"/>
      <c r="BK78" s="2"/>
    </row>
    <row r="79" spans="1:63" ht="11.25" customHeight="1">
      <c r="A79" s="2"/>
      <c r="B79" s="30" t="s">
        <v>280</v>
      </c>
      <c r="C79" s="2"/>
      <c r="D79" s="56">
        <f>D56</f>
        <v>2.4580000000000002</v>
      </c>
      <c r="E79" s="56">
        <f t="shared" ref="E79:W79" si="351">E56</f>
        <v>2.0699999999999998</v>
      </c>
      <c r="F79" s="56">
        <f t="shared" si="351"/>
        <v>1.524</v>
      </c>
      <c r="G79" s="56">
        <f t="shared" si="351"/>
        <v>0.88500000000000001</v>
      </c>
      <c r="H79" s="56">
        <f t="shared" si="351"/>
        <v>0.68899999999999995</v>
      </c>
      <c r="I79" s="56">
        <f t="shared" si="351"/>
        <v>0.29399999999999998</v>
      </c>
      <c r="J79" s="56">
        <f t="shared" si="351"/>
        <v>2.3E-2</v>
      </c>
      <c r="K79" s="56">
        <f t="shared" si="351"/>
        <v>-0.71199999999999997</v>
      </c>
      <c r="L79" s="56">
        <f t="shared" si="351"/>
        <v>-0.46700000000000003</v>
      </c>
      <c r="M79" s="56">
        <f t="shared" si="351"/>
        <v>0.64200000000000002</v>
      </c>
      <c r="N79" s="56">
        <f t="shared" si="351"/>
        <v>3.2450000000000001</v>
      </c>
      <c r="O79" s="56">
        <f t="shared" si="351"/>
        <v>7.2519999999999998</v>
      </c>
      <c r="P79" s="56">
        <f t="shared" si="351"/>
        <v>10.654</v>
      </c>
      <c r="Q79" s="56">
        <f t="shared" si="351"/>
        <v>10.667</v>
      </c>
      <c r="R79" s="56">
        <f t="shared" si="351"/>
        <v>12.483000000000001</v>
      </c>
      <c r="S79" s="56">
        <f t="shared" si="351"/>
        <v>14.49</v>
      </c>
      <c r="T79" s="56">
        <f t="shared" si="351"/>
        <v>16.661000000000001</v>
      </c>
      <c r="U79" s="56">
        <f t="shared" ref="U79" si="352">U56</f>
        <v>18.341000000000001</v>
      </c>
      <c r="V79" s="56">
        <f t="shared" si="351"/>
        <v>19.966000000000001</v>
      </c>
      <c r="W79" s="56">
        <f t="shared" si="351"/>
        <v>22.580677962169123</v>
      </c>
      <c r="X79" s="56">
        <f t="shared" ref="X79:AA79" ca="1" si="353">X56</f>
        <v>25.72078113900108</v>
      </c>
      <c r="Y79" s="56">
        <f t="shared" ca="1" si="353"/>
        <v>29.948846735723162</v>
      </c>
      <c r="Z79" s="56">
        <f t="shared" ca="1" si="353"/>
        <v>34.35963729938247</v>
      </c>
      <c r="AA79" s="56">
        <f t="shared" ca="1" si="353"/>
        <v>39.592024720766588</v>
      </c>
      <c r="AB79" s="18"/>
      <c r="AC79" s="56">
        <f>AC56</f>
        <v>-4.505600000000004E-2</v>
      </c>
      <c r="AD79" s="56">
        <f t="shared" ref="AD79:AS79" si="354">AD56</f>
        <v>-0.41536799999999996</v>
      </c>
      <c r="AE79" s="56">
        <f t="shared" si="354"/>
        <v>-0.60691100000000009</v>
      </c>
      <c r="AF79" s="56">
        <f t="shared" si="354"/>
        <v>-0.28273700000000007</v>
      </c>
      <c r="AG79" s="56">
        <f t="shared" si="354"/>
        <v>-0.58591099999999985</v>
      </c>
      <c r="AH79" s="56">
        <f t="shared" si="354"/>
        <v>-1.111788</v>
      </c>
      <c r="AI79" s="56">
        <f t="shared" si="354"/>
        <v>-0.75696600000000014</v>
      </c>
      <c r="AJ79" s="56">
        <f t="shared" si="354"/>
        <v>0.40960900000000017</v>
      </c>
      <c r="AK79" s="56">
        <f t="shared" si="354"/>
        <v>0.34040999999999938</v>
      </c>
      <c r="AL79" s="56">
        <f t="shared" si="354"/>
        <v>3.6509999999999998</v>
      </c>
      <c r="AM79" s="56">
        <f t="shared" si="354"/>
        <v>4.8094580000000002</v>
      </c>
      <c r="AN79" s="56">
        <f t="shared" si="354"/>
        <v>4.7588350000000004</v>
      </c>
      <c r="AO79" s="56">
        <f t="shared" si="354"/>
        <v>2.2094459999999998</v>
      </c>
      <c r="AP79" s="56">
        <f t="shared" si="354"/>
        <v>1.2398370000000001</v>
      </c>
      <c r="AQ79" s="56">
        <f t="shared" si="354"/>
        <v>0.85278899999999991</v>
      </c>
      <c r="AR79" s="56">
        <f t="shared" si="354"/>
        <v>0.624614</v>
      </c>
      <c r="AS79" s="56">
        <f t="shared" si="354"/>
        <v>-0.81100000000000005</v>
      </c>
      <c r="AT79" s="56">
        <f t="shared" ref="AT79:BE79" si="355">AT56</f>
        <v>-0.50600000000000001</v>
      </c>
      <c r="AU79" s="56">
        <f t="shared" si="355"/>
        <v>0.93899999999999995</v>
      </c>
      <c r="AV79" s="56">
        <f t="shared" si="355"/>
        <v>3.0110000000000001</v>
      </c>
      <c r="AW79" s="56">
        <f t="shared" si="355"/>
        <v>6.1340000000000003</v>
      </c>
      <c r="AX79" s="56">
        <f t="shared" si="355"/>
        <v>11.643000000000001</v>
      </c>
      <c r="AY79" s="56">
        <f t="shared" si="355"/>
        <v>12.939</v>
      </c>
      <c r="AZ79" s="56">
        <f t="shared" si="355"/>
        <v>6.9370000000000003</v>
      </c>
      <c r="BA79" s="56">
        <f t="shared" si="355"/>
        <v>0.29399999999999998</v>
      </c>
      <c r="BB79" s="56">
        <f t="shared" si="355"/>
        <v>10.672000000000001</v>
      </c>
      <c r="BC79" s="56">
        <f t="shared" si="355"/>
        <v>48.293999999999997</v>
      </c>
      <c r="BD79" s="56">
        <f t="shared" si="355"/>
        <v>77.548677962169123</v>
      </c>
      <c r="BE79" s="56">
        <f t="shared" ca="1" si="355"/>
        <v>129.62128989487331</v>
      </c>
      <c r="BF79" s="2"/>
      <c r="BG79" s="84"/>
      <c r="BH79" s="84"/>
      <c r="BI79" s="84"/>
      <c r="BJ79" s="84"/>
      <c r="BK79" s="84"/>
    </row>
    <row r="80" spans="1:63" ht="13.5" customHeight="1">
      <c r="A80" s="2"/>
      <c r="B80" s="30" t="s">
        <v>254</v>
      </c>
      <c r="C80" s="2"/>
      <c r="D80" s="24">
        <f>-D59</f>
        <v>-19.822077450000005</v>
      </c>
      <c r="E80" s="24">
        <f t="shared" ref="E80:BD80" si="356">-E59</f>
        <v>-20.474755049999999</v>
      </c>
      <c r="F80" s="24">
        <f t="shared" si="356"/>
        <v>-23.268630600000005</v>
      </c>
      <c r="G80" s="24">
        <f t="shared" si="356"/>
        <v>-24.151058550000009</v>
      </c>
      <c r="H80" s="24">
        <f t="shared" si="356"/>
        <v>-23.259634500000008</v>
      </c>
      <c r="I80" s="24">
        <f t="shared" si="356"/>
        <v>-22.408668299999999</v>
      </c>
      <c r="J80" s="24">
        <f t="shared" si="356"/>
        <v>-26.077706849999995</v>
      </c>
      <c r="K80" s="24">
        <f t="shared" si="356"/>
        <v>-27.722895899999997</v>
      </c>
      <c r="L80" s="24">
        <f t="shared" si="356"/>
        <v>-34.024780950000007</v>
      </c>
      <c r="M80" s="24">
        <f t="shared" si="356"/>
        <v>-39.899671200000022</v>
      </c>
      <c r="N80" s="24">
        <f t="shared" si="356"/>
        <v>-47.503761449999978</v>
      </c>
      <c r="O80" s="24">
        <f t="shared" si="356"/>
        <v>-50.200480200000008</v>
      </c>
      <c r="P80" s="24">
        <f t="shared" si="356"/>
        <v>-36.641245949999991</v>
      </c>
      <c r="Q80" s="24">
        <f t="shared" si="356"/>
        <v>-32.201288099999999</v>
      </c>
      <c r="R80" s="24">
        <f t="shared" si="356"/>
        <v>-36.290963699999992</v>
      </c>
      <c r="S80" s="24">
        <f t="shared" si="356"/>
        <v>-41.742152249999997</v>
      </c>
      <c r="T80" s="24">
        <f t="shared" si="356"/>
        <v>-39.98148015000001</v>
      </c>
      <c r="U80" s="24">
        <f t="shared" si="356"/>
        <v>-45.946676549999985</v>
      </c>
      <c r="V80" s="24">
        <f t="shared" si="356"/>
        <v>-57.628050000000002</v>
      </c>
      <c r="W80" s="24">
        <f t="shared" ca="1" si="356"/>
        <v>-65.009081721712576</v>
      </c>
      <c r="X80" s="24">
        <f t="shared" ref="X80:AA80" ca="1" si="357">-X59</f>
        <v>-58.604072316851052</v>
      </c>
      <c r="Y80" s="24">
        <f t="shared" ca="1" si="357"/>
        <v>-59.795447617144276</v>
      </c>
      <c r="Z80" s="24">
        <f t="shared" ca="1" si="357"/>
        <v>-67.533609235847919</v>
      </c>
      <c r="AA80" s="24">
        <f t="shared" ca="1" si="357"/>
        <v>-76.64885607171486</v>
      </c>
      <c r="AB80" s="18"/>
      <c r="AC80" s="24">
        <f t="shared" si="356"/>
        <v>-2.2991999999999999</v>
      </c>
      <c r="AD80" s="24">
        <f t="shared" si="356"/>
        <v>-1.8995999999999993</v>
      </c>
      <c r="AE80" s="24">
        <f t="shared" si="356"/>
        <v>-3.5485499999999983</v>
      </c>
      <c r="AF80" s="24">
        <f t="shared" si="356"/>
        <v>-9.5853000000000002</v>
      </c>
      <c r="AG80" s="24">
        <f t="shared" si="356"/>
        <v>-1.618050000000002</v>
      </c>
      <c r="AH80" s="24">
        <f t="shared" si="356"/>
        <v>-4.0832999999999977</v>
      </c>
      <c r="AI80" s="24">
        <f t="shared" si="356"/>
        <v>-7.6768500000000017</v>
      </c>
      <c r="AJ80" s="24">
        <f t="shared" si="356"/>
        <v>-13.7949</v>
      </c>
      <c r="AK80" s="24">
        <f t="shared" si="356"/>
        <v>-14.139600000000002</v>
      </c>
      <c r="AL80" s="24">
        <f t="shared" si="356"/>
        <v>-20.004299999999994</v>
      </c>
      <c r="AM80" s="24">
        <f t="shared" si="356"/>
        <v>-18.246299999999998</v>
      </c>
      <c r="AN80" s="24">
        <f t="shared" si="356"/>
        <v>-16.720800000000004</v>
      </c>
      <c r="AO80" s="24">
        <f t="shared" si="356"/>
        <v>-14.319450000000003</v>
      </c>
      <c r="AP80" s="24">
        <f t="shared" si="356"/>
        <v>-25.540500000000002</v>
      </c>
      <c r="AQ80" s="24">
        <f t="shared" si="356"/>
        <v>-21.772200000000002</v>
      </c>
      <c r="AR80" s="24">
        <f t="shared" si="356"/>
        <v>-27.251342099999999</v>
      </c>
      <c r="AS80" s="24">
        <f t="shared" si="356"/>
        <v>-32.323049999999995</v>
      </c>
      <c r="AT80" s="24">
        <f t="shared" si="356"/>
        <v>-45.311850000000007</v>
      </c>
      <c r="AU80" s="24">
        <f t="shared" si="356"/>
        <v>-52.564349999999997</v>
      </c>
      <c r="AV80" s="24">
        <f t="shared" si="356"/>
        <v>-57.893849999999986</v>
      </c>
      <c r="AW80" s="24">
        <f t="shared" si="356"/>
        <v>-59.419949999999986</v>
      </c>
      <c r="AX80" s="24">
        <f t="shared" si="356"/>
        <v>-59.626433550000002</v>
      </c>
      <c r="AY80" s="24">
        <f t="shared" si="356"/>
        <v>-58.476817200000021</v>
      </c>
      <c r="AZ80" s="24">
        <f t="shared" si="356"/>
        <v>-87.716521650000033</v>
      </c>
      <c r="BA80" s="24">
        <f t="shared" si="356"/>
        <v>-99.468905550000002</v>
      </c>
      <c r="BB80" s="24">
        <f t="shared" si="356"/>
        <v>-171.62869380000004</v>
      </c>
      <c r="BC80" s="24">
        <f t="shared" si="356"/>
        <v>-146.87564999999998</v>
      </c>
      <c r="BD80" s="24">
        <f t="shared" ca="1" si="356"/>
        <v>-208.56528842171258</v>
      </c>
      <c r="BE80" s="24">
        <f t="shared" ref="BE80" ca="1" si="358">-BE59</f>
        <v>-262.58198524155813</v>
      </c>
      <c r="BF80" s="2"/>
      <c r="BG80" s="84"/>
      <c r="BH80" s="84"/>
      <c r="BI80" s="84"/>
      <c r="BJ80" s="84"/>
      <c r="BK80" s="84"/>
    </row>
    <row r="81" spans="1:67" ht="11.25" customHeight="1">
      <c r="A81" s="5"/>
      <c r="B81" s="204" t="s">
        <v>31</v>
      </c>
      <c r="C81" s="147"/>
      <c r="D81" s="206">
        <f t="shared" ref="D81:W81" si="359">D73+SUM(D79:D80)</f>
        <v>-12.847894449999963</v>
      </c>
      <c r="E81" s="206">
        <f t="shared" si="359"/>
        <v>56.966611950000008</v>
      </c>
      <c r="F81" s="206">
        <f t="shared" si="359"/>
        <v>123.73057340000007</v>
      </c>
      <c r="G81" s="206">
        <f t="shared" si="359"/>
        <v>142.64099845000007</v>
      </c>
      <c r="H81" s="206">
        <f t="shared" si="359"/>
        <v>-19.161404499999943</v>
      </c>
      <c r="I81" s="206">
        <f t="shared" si="359"/>
        <v>60.386453700000011</v>
      </c>
      <c r="J81" s="206">
        <f t="shared" si="359"/>
        <v>63.335672150000001</v>
      </c>
      <c r="K81" s="206">
        <f t="shared" si="359"/>
        <v>29.44441009999996</v>
      </c>
      <c r="L81" s="206">
        <f t="shared" si="359"/>
        <v>38.265092050000035</v>
      </c>
      <c r="M81" s="206">
        <f t="shared" si="359"/>
        <v>118.36813680000004</v>
      </c>
      <c r="N81" s="206">
        <f t="shared" si="359"/>
        <v>105.4409815499998</v>
      </c>
      <c r="O81" s="206">
        <f t="shared" si="359"/>
        <v>52.83038780000004</v>
      </c>
      <c r="P81" s="206">
        <f t="shared" si="359"/>
        <v>13.074727049999918</v>
      </c>
      <c r="Q81" s="206">
        <f t="shared" si="359"/>
        <v>53.828965899999986</v>
      </c>
      <c r="R81" s="206">
        <f t="shared" si="359"/>
        <v>124.91379429999995</v>
      </c>
      <c r="S81" s="206">
        <f t="shared" si="359"/>
        <v>213.44086274999992</v>
      </c>
      <c r="T81" s="206">
        <f t="shared" si="359"/>
        <v>203.41572085000004</v>
      </c>
      <c r="U81" s="206">
        <f t="shared" si="359"/>
        <v>218.44250044999995</v>
      </c>
      <c r="V81" s="206">
        <f t="shared" si="359"/>
        <v>284.25394999999997</v>
      </c>
      <c r="W81" s="206">
        <f t="shared" ca="1" si="359"/>
        <v>168.55182924243917</v>
      </c>
      <c r="X81" s="206">
        <f t="shared" ref="X81:AA81" ca="1" si="360">X73+SUM(X79:X80)</f>
        <v>232.81636937493613</v>
      </c>
      <c r="Y81" s="206">
        <f t="shared" ca="1" si="360"/>
        <v>238.55716216455352</v>
      </c>
      <c r="Z81" s="206">
        <f t="shared" ca="1" si="360"/>
        <v>269.57452173020499</v>
      </c>
      <c r="AA81" s="206">
        <f t="shared" ca="1" si="360"/>
        <v>306.12170778630559</v>
      </c>
      <c r="AB81" s="54"/>
      <c r="AC81" s="206">
        <f t="shared" ref="AC81:BD81" si="361">AC73+SUM(AC79:AC80)</f>
        <v>-16.282256000000004</v>
      </c>
      <c r="AD81" s="206">
        <f t="shared" si="361"/>
        <v>-14.325968000000003</v>
      </c>
      <c r="AE81" s="206">
        <f t="shared" si="361"/>
        <v>3.6065389999999953</v>
      </c>
      <c r="AF81" s="206">
        <f t="shared" si="361"/>
        <v>-10.889037000000002</v>
      </c>
      <c r="AG81" s="206">
        <f t="shared" si="361"/>
        <v>-4.3039609999999815</v>
      </c>
      <c r="AH81" s="206">
        <f t="shared" si="361"/>
        <v>36.159911999999991</v>
      </c>
      <c r="AI81" s="206">
        <f t="shared" si="361"/>
        <v>74.157184000000001</v>
      </c>
      <c r="AJ81" s="206">
        <f t="shared" si="361"/>
        <v>63.81970900000001</v>
      </c>
      <c r="AK81" s="206">
        <f t="shared" si="361"/>
        <v>72.938810000000018</v>
      </c>
      <c r="AL81" s="206">
        <f t="shared" si="361"/>
        <v>105.88969999999998</v>
      </c>
      <c r="AM81" s="206">
        <f t="shared" si="361"/>
        <v>94.289157999999972</v>
      </c>
      <c r="AN81" s="206">
        <f t="shared" si="361"/>
        <v>114.76203500000003</v>
      </c>
      <c r="AO81" s="206">
        <f t="shared" si="361"/>
        <v>72.881996000000015</v>
      </c>
      <c r="AP81" s="206">
        <f t="shared" si="361"/>
        <v>35.740337000000025</v>
      </c>
      <c r="AQ81" s="206">
        <f t="shared" si="361"/>
        <v>14.356589000000039</v>
      </c>
      <c r="AR81" s="206">
        <f t="shared" si="361"/>
        <v>39.762271899999959</v>
      </c>
      <c r="AS81" s="206">
        <f t="shared" si="361"/>
        <v>44.881949999999968</v>
      </c>
      <c r="AT81" s="206">
        <f t="shared" si="361"/>
        <v>161.76415000000003</v>
      </c>
      <c r="AU81" s="206">
        <f t="shared" si="361"/>
        <v>233.41164999999998</v>
      </c>
      <c r="AV81" s="206">
        <f t="shared" si="361"/>
        <v>218.85814999999994</v>
      </c>
      <c r="AW81" s="206">
        <f t="shared" si="361"/>
        <v>261.82804999999985</v>
      </c>
      <c r="AX81" s="206">
        <f t="shared" si="361"/>
        <v>312.60412344999997</v>
      </c>
      <c r="AY81" s="206">
        <f t="shared" si="361"/>
        <v>153.62563080000012</v>
      </c>
      <c r="AZ81" s="206">
        <f t="shared" si="361"/>
        <v>310.49028935000001</v>
      </c>
      <c r="BA81" s="206">
        <f t="shared" si="361"/>
        <v>134.00513144999951</v>
      </c>
      <c r="BB81" s="206">
        <f t="shared" si="361"/>
        <v>314.90459820000001</v>
      </c>
      <c r="BC81" s="206">
        <f t="shared" si="361"/>
        <v>405.25834999999995</v>
      </c>
      <c r="BD81" s="206">
        <f t="shared" ca="1" si="361"/>
        <v>874.66400054243991</v>
      </c>
      <c r="BE81" s="206">
        <f t="shared" ref="BE81" ca="1" si="362">BE73+SUM(BE79:BE80)</f>
        <v>1047.0697610560003</v>
      </c>
      <c r="BF81" s="5"/>
      <c r="BG81" s="84">
        <f>ROUND(AZ81-SUM(D81:G81),1)</f>
        <v>0</v>
      </c>
      <c r="BH81" s="84">
        <f>ROUND(BA81-SUM(H81:K81),1)</f>
        <v>0</v>
      </c>
      <c r="BI81" s="84">
        <f>ROUND(BB81-SUM(L81:O81),1)</f>
        <v>0</v>
      </c>
      <c r="BJ81" s="84">
        <f>ROUND(BC81-SUM(P81:S81),1)</f>
        <v>0</v>
      </c>
      <c r="BK81" s="84">
        <f ca="1">ROUND(BD81-SUM(T81:W81),1)</f>
        <v>0</v>
      </c>
    </row>
    <row r="82" spans="1:67" s="54" customFormat="1" ht="11.25" customHeight="1">
      <c r="A82" s="18"/>
      <c r="B82" s="36" t="s">
        <v>249</v>
      </c>
      <c r="C82" s="18"/>
      <c r="D82" s="18"/>
      <c r="E82" s="18"/>
      <c r="F82" s="67"/>
      <c r="G82" s="67"/>
      <c r="H82" s="67" t="str">
        <f>IF(AND(H81&gt;0,D81&gt;0),H81/D81-1,"n/m")</f>
        <v>n/m</v>
      </c>
      <c r="I82" s="67">
        <f t="shared" ref="I82:W82" si="363">IF(AND(I81&gt;0,E81&gt;0),I81/E81-1,"n/m")</f>
        <v>6.003238797142485E-2</v>
      </c>
      <c r="J82" s="67">
        <f t="shared" si="363"/>
        <v>-0.4881162318286002</v>
      </c>
      <c r="K82" s="67">
        <f t="shared" si="363"/>
        <v>-0.79357680877198078</v>
      </c>
      <c r="L82" s="67" t="str">
        <f t="shared" si="363"/>
        <v>n/m</v>
      </c>
      <c r="M82" s="67">
        <f t="shared" si="363"/>
        <v>0.9601769858527065</v>
      </c>
      <c r="N82" s="67">
        <f t="shared" si="363"/>
        <v>0.66479612469068594</v>
      </c>
      <c r="O82" s="67">
        <f t="shared" si="363"/>
        <v>0.79424167849095784</v>
      </c>
      <c r="P82" s="67">
        <f t="shared" si="363"/>
        <v>-0.65831188821091824</v>
      </c>
      <c r="Q82" s="67">
        <f t="shared" si="363"/>
        <v>-0.54524108129747995</v>
      </c>
      <c r="R82" s="67">
        <f t="shared" si="363"/>
        <v>0.18467973707894769</v>
      </c>
      <c r="S82" s="67">
        <f t="shared" si="363"/>
        <v>3.040115388855801</v>
      </c>
      <c r="T82" s="67">
        <f t="shared" si="363"/>
        <v>14.55793249618938</v>
      </c>
      <c r="U82" s="67">
        <f t="shared" si="363"/>
        <v>3.0580846538238999</v>
      </c>
      <c r="V82" s="67">
        <f t="shared" si="363"/>
        <v>1.2756009581881709</v>
      </c>
      <c r="W82" s="67">
        <f t="shared" ca="1" si="363"/>
        <v>-0.21031133836887927</v>
      </c>
      <c r="X82" s="67">
        <f t="shared" ref="X82" ca="1" si="364">IF(AND(X81&gt;0,T81&gt;0),X81/T81-1,"n/m")</f>
        <v>0.14453479014346349</v>
      </c>
      <c r="Y82" s="67">
        <f t="shared" ref="Y82" ca="1" si="365">IF(AND(Y81&gt;0,U81&gt;0),Y81/U81-1,"n/m")</f>
        <v>9.2082180313430628E-2</v>
      </c>
      <c r="Z82" s="67">
        <f t="shared" ref="Z82" ca="1" si="366">IF(AND(Z81&gt;0,V81&gt;0),Z81/V81-1,"n/m")</f>
        <v>-5.1641949988012414E-2</v>
      </c>
      <c r="AA82" s="67">
        <f t="shared" ref="AA82" ca="1" si="367">IF(AND(AA81&gt;0,W81&gt;0),AA81/W81-1,"n/m")</f>
        <v>0.81618739566445542</v>
      </c>
      <c r="AB82"/>
      <c r="AC82" s="67" t="str">
        <f>IF(AND(AC81&gt;0,AB81&gt;0),AC81/AB81-1,"n/m")</f>
        <v>n/m</v>
      </c>
      <c r="AD82" s="67" t="str">
        <f t="shared" ref="AD82:AS82" si="368">IF(AND(AD81&gt;0,AC81&gt;0),AD81/AC81-1,"n/m")</f>
        <v>n/m</v>
      </c>
      <c r="AE82" s="67" t="str">
        <f t="shared" si="368"/>
        <v>n/m</v>
      </c>
      <c r="AF82" s="67" t="str">
        <f t="shared" si="368"/>
        <v>n/m</v>
      </c>
      <c r="AG82" s="67" t="str">
        <f t="shared" si="368"/>
        <v>n/m</v>
      </c>
      <c r="AH82" s="67" t="str">
        <f t="shared" si="368"/>
        <v>n/m</v>
      </c>
      <c r="AI82" s="67">
        <f t="shared" si="368"/>
        <v>1.0508120705603492</v>
      </c>
      <c r="AJ82" s="67">
        <f t="shared" si="368"/>
        <v>-0.13939950848187532</v>
      </c>
      <c r="AK82" s="67">
        <f t="shared" si="368"/>
        <v>0.14288847666165339</v>
      </c>
      <c r="AL82" s="67">
        <f t="shared" si="368"/>
        <v>0.45176072930172495</v>
      </c>
      <c r="AM82" s="67">
        <f t="shared" si="368"/>
        <v>-0.10955307267845704</v>
      </c>
      <c r="AN82" s="67">
        <f t="shared" si="368"/>
        <v>0.21712864378320207</v>
      </c>
      <c r="AO82" s="67">
        <f t="shared" si="368"/>
        <v>-0.36492938627308236</v>
      </c>
      <c r="AP82" s="67">
        <f t="shared" si="368"/>
        <v>-0.50961363626759049</v>
      </c>
      <c r="AQ82" s="67">
        <f t="shared" si="368"/>
        <v>-0.59830851622915504</v>
      </c>
      <c r="AR82" s="67">
        <f t="shared" si="368"/>
        <v>1.7696183195047133</v>
      </c>
      <c r="AS82" s="67">
        <f t="shared" si="368"/>
        <v>0.12875718250898061</v>
      </c>
      <c r="AT82" s="67">
        <f t="shared" ref="AT82:BD82" si="369">IF(AND(AT81&gt;0,AS81&gt;0),AT81/AS81-1,"n/m")</f>
        <v>2.6042139434672547</v>
      </c>
      <c r="AU82" s="67">
        <f t="shared" si="369"/>
        <v>0.44291334019311401</v>
      </c>
      <c r="AV82" s="67">
        <f t="shared" si="369"/>
        <v>-6.2351215117154801E-2</v>
      </c>
      <c r="AW82" s="67">
        <f t="shared" si="369"/>
        <v>0.19633675967744368</v>
      </c>
      <c r="AX82" s="67">
        <f t="shared" si="369"/>
        <v>0.19392908227365302</v>
      </c>
      <c r="AY82" s="67">
        <f t="shared" si="369"/>
        <v>-0.50856172623528417</v>
      </c>
      <c r="AZ82" s="67">
        <f t="shared" si="369"/>
        <v>1.0210839020359601</v>
      </c>
      <c r="BA82" s="67">
        <f t="shared" si="369"/>
        <v>-0.56840797910126484</v>
      </c>
      <c r="BB82" s="67">
        <f t="shared" si="369"/>
        <v>1.3499443252103998</v>
      </c>
      <c r="BC82" s="67">
        <f t="shared" si="369"/>
        <v>0.28692420598639568</v>
      </c>
      <c r="BD82" s="67">
        <f t="shared" ca="1" si="369"/>
        <v>1.1582874246574808</v>
      </c>
      <c r="BE82" s="67">
        <f ca="1">IF(AND(BE81&gt;0,BD81&gt;0),BE81/BD81-1,"n/m")</f>
        <v>0.1971108453150463</v>
      </c>
      <c r="BF82" s="18"/>
      <c r="BG82" s="18"/>
      <c r="BH82" s="18"/>
      <c r="BI82" s="18"/>
      <c r="BJ82" s="18"/>
      <c r="BK82" s="18"/>
    </row>
    <row r="83" spans="1:67" ht="11.25" customHeight="1">
      <c r="A83" s="2"/>
      <c r="B83" s="41"/>
      <c r="C83" s="2"/>
      <c r="E83" s="2"/>
      <c r="F83" s="47"/>
      <c r="G83" s="47"/>
      <c r="H83" s="47"/>
      <c r="I83" s="47"/>
      <c r="J83" s="47"/>
      <c r="K83" s="47"/>
      <c r="L83" s="47"/>
      <c r="M83" s="47"/>
      <c r="N83" s="47"/>
      <c r="O83" s="47"/>
      <c r="P83" s="47"/>
      <c r="Q83" s="47"/>
      <c r="R83" s="47"/>
      <c r="S83" s="47"/>
      <c r="T83" s="47"/>
      <c r="U83" s="47"/>
      <c r="V83" s="47"/>
      <c r="W83" s="47"/>
      <c r="X83" s="47"/>
      <c r="Y83" s="47"/>
      <c r="Z83" s="47"/>
      <c r="AA83" s="47"/>
      <c r="AB83" s="2"/>
      <c r="AC83" s="2"/>
      <c r="AD83" s="2"/>
      <c r="AE83" s="2"/>
      <c r="AF83" s="2"/>
      <c r="AG83" s="2"/>
      <c r="AH83" s="2"/>
      <c r="AI83" s="2"/>
      <c r="AJ83" s="2"/>
      <c r="AK83" s="2"/>
      <c r="AL83" s="2"/>
      <c r="AM83" s="2"/>
      <c r="AN83" s="2"/>
      <c r="AO83" s="2"/>
      <c r="AP83" s="2"/>
      <c r="AQ83" s="2"/>
      <c r="AR83" s="2"/>
      <c r="AS83" s="2"/>
      <c r="AT83" s="2"/>
      <c r="AU83" s="2"/>
      <c r="AV83" s="47"/>
      <c r="AW83" s="47"/>
      <c r="AX83" s="47"/>
      <c r="AY83" s="47"/>
      <c r="AZ83" s="47"/>
      <c r="BA83" s="47"/>
      <c r="BB83" s="47"/>
      <c r="BC83" s="47"/>
      <c r="BD83" s="47"/>
      <c r="BE83" s="47"/>
      <c r="BF83" s="2"/>
      <c r="BG83" s="2"/>
      <c r="BH83" s="2"/>
      <c r="BI83" s="2"/>
      <c r="BJ83" s="2"/>
      <c r="BK83" s="2"/>
    </row>
    <row r="84" spans="1:67" s="54" customFormat="1" ht="11.25" customHeight="1">
      <c r="A84" s="18"/>
      <c r="B84" s="30" t="s">
        <v>32</v>
      </c>
      <c r="C84" s="18"/>
      <c r="D84" s="56">
        <f>D495</f>
        <v>1.41E-3</v>
      </c>
      <c r="E84" s="56">
        <f t="shared" ref="E84:T84" si="370">E495</f>
        <v>2.9865899999999999E-3</v>
      </c>
      <c r="F84" s="56">
        <f t="shared" si="370"/>
        <v>4.8686034100000001E-3</v>
      </c>
      <c r="G84" s="56">
        <f t="shared" si="370"/>
        <v>-2.6531934100000008E-3</v>
      </c>
      <c r="H84" s="56">
        <f t="shared" si="370"/>
        <v>1.704E-3</v>
      </c>
      <c r="I84" s="56">
        <f t="shared" si="370"/>
        <v>3.4522960000000001E-3</v>
      </c>
      <c r="J84" s="56">
        <f t="shared" si="370"/>
        <v>6.0018437039999996E-3</v>
      </c>
      <c r="K84" s="56">
        <f t="shared" si="370"/>
        <v>-3.3701397039999992E-3</v>
      </c>
      <c r="L84" s="56">
        <f t="shared" si="370"/>
        <v>2.7452999999999998E-2</v>
      </c>
      <c r="M84" s="56">
        <f t="shared" si="370"/>
        <v>0.14177354699999997</v>
      </c>
      <c r="N84" s="56">
        <f t="shared" si="370"/>
        <v>0.22192177345300002</v>
      </c>
      <c r="O84" s="56">
        <f t="shared" si="370"/>
        <v>-8.8800320452999959E-2</v>
      </c>
      <c r="P84" s="56">
        <f t="shared" si="370"/>
        <v>0.100772</v>
      </c>
      <c r="Q84" s="56">
        <f t="shared" si="370"/>
        <v>0.228251228</v>
      </c>
      <c r="R84" s="56">
        <f t="shared" si="370"/>
        <v>0.35537197677200005</v>
      </c>
      <c r="S84" s="56">
        <f t="shared" si="370"/>
        <v>-0.20134520477200007</v>
      </c>
      <c r="T84" s="56">
        <f t="shared" si="370"/>
        <v>0.18183099999999999</v>
      </c>
      <c r="U84" s="56">
        <f t="shared" ref="U84:V84" si="371">U495</f>
        <v>0.41260516899999999</v>
      </c>
      <c r="V84" s="56">
        <f t="shared" si="371"/>
        <v>0.46540179607107568</v>
      </c>
      <c r="W84" s="209">
        <v>0</v>
      </c>
      <c r="X84" s="209">
        <v>0</v>
      </c>
      <c r="Y84" s="209">
        <v>0</v>
      </c>
      <c r="Z84" s="209">
        <v>0</v>
      </c>
      <c r="AA84" s="209">
        <v>0</v>
      </c>
      <c r="AB84" s="18"/>
      <c r="AC84" s="56">
        <f>AC495</f>
        <v>0</v>
      </c>
      <c r="AD84" s="56">
        <f t="shared" ref="AD84:AT84" si="372">AD495</f>
        <v>0</v>
      </c>
      <c r="AE84" s="56">
        <f t="shared" si="372"/>
        <v>0</v>
      </c>
      <c r="AF84" s="56">
        <f t="shared" si="372"/>
        <v>0</v>
      </c>
      <c r="AG84" s="56">
        <f t="shared" si="372"/>
        <v>0</v>
      </c>
      <c r="AH84" s="56">
        <f t="shared" si="372"/>
        <v>0</v>
      </c>
      <c r="AI84" s="56">
        <f t="shared" si="372"/>
        <v>0</v>
      </c>
      <c r="AJ84" s="56">
        <f t="shared" si="372"/>
        <v>0</v>
      </c>
      <c r="AK84" s="56">
        <f t="shared" si="372"/>
        <v>0</v>
      </c>
      <c r="AL84" s="56">
        <f t="shared" si="372"/>
        <v>0</v>
      </c>
      <c r="AM84" s="56">
        <f t="shared" si="372"/>
        <v>0</v>
      </c>
      <c r="AN84" s="56">
        <f t="shared" si="372"/>
        <v>0</v>
      </c>
      <c r="AO84" s="56">
        <f t="shared" si="372"/>
        <v>0</v>
      </c>
      <c r="AP84" s="56">
        <f t="shared" si="372"/>
        <v>0</v>
      </c>
      <c r="AQ84" s="56">
        <f t="shared" si="372"/>
        <v>0</v>
      </c>
      <c r="AR84" s="56">
        <f t="shared" si="372"/>
        <v>6.1999999999999998E-3</v>
      </c>
      <c r="AS84" s="56">
        <f t="shared" si="372"/>
        <v>5.3E-3</v>
      </c>
      <c r="AT84" s="56">
        <f t="shared" si="372"/>
        <v>0</v>
      </c>
      <c r="AU84" s="56">
        <f t="shared" ref="AU84:BB84" si="373">AU495</f>
        <v>0</v>
      </c>
      <c r="AV84" s="56">
        <f t="shared" si="373"/>
        <v>0</v>
      </c>
      <c r="AW84" s="56">
        <f t="shared" si="373"/>
        <v>0</v>
      </c>
      <c r="AX84" s="56">
        <f t="shared" si="373"/>
        <v>0</v>
      </c>
      <c r="AY84" s="56">
        <f t="shared" si="373"/>
        <v>2.8180000000000002E-3</v>
      </c>
      <c r="AZ84" s="56">
        <f t="shared" si="373"/>
        <v>6.6119999999999998E-3</v>
      </c>
      <c r="BA84" s="56">
        <f t="shared" si="373"/>
        <v>7.7880000000000007E-3</v>
      </c>
      <c r="BB84" s="56">
        <f t="shared" si="373"/>
        <v>0.30234800000000001</v>
      </c>
      <c r="BC84" s="56">
        <f>BC495</f>
        <v>0.48305000000000003</v>
      </c>
      <c r="BD84" s="56">
        <f>SUM(T84:W84)</f>
        <v>1.0598379650710756</v>
      </c>
      <c r="BE84" s="56">
        <f t="shared" ref="BE84:BE87" si="374">+SUM(X84:AA84)</f>
        <v>0</v>
      </c>
      <c r="BF84" s="18"/>
      <c r="BG84" s="162"/>
      <c r="BH84" s="162"/>
      <c r="BI84" s="162"/>
      <c r="BJ84" s="162"/>
      <c r="BK84" s="162"/>
    </row>
    <row r="85" spans="1:67" s="54" customFormat="1" ht="11.25" customHeight="1">
      <c r="A85" s="18"/>
      <c r="B85" s="30" t="s">
        <v>765</v>
      </c>
      <c r="C85" s="18"/>
      <c r="D85" s="259">
        <f>D345</f>
        <v>4.4329999999999998</v>
      </c>
      <c r="E85" s="56">
        <f>E471</f>
        <v>-15.281000000000002</v>
      </c>
      <c r="F85" s="56">
        <f t="shared" ref="F85:W85" si="375">F471</f>
        <v>-37.321000000000012</v>
      </c>
      <c r="G85" s="56">
        <f t="shared" si="375"/>
        <v>25.105999999999984</v>
      </c>
      <c r="H85" s="56">
        <f t="shared" si="375"/>
        <v>4.9429999999999907</v>
      </c>
      <c r="I85" s="56">
        <f t="shared" si="375"/>
        <v>-47.951999999999956</v>
      </c>
      <c r="J85" s="56">
        <f t="shared" si="375"/>
        <v>-23.845000000000027</v>
      </c>
      <c r="K85" s="56">
        <f t="shared" si="375"/>
        <v>42.065000000000012</v>
      </c>
      <c r="L85" s="56">
        <f t="shared" si="375"/>
        <v>42.771999999999977</v>
      </c>
      <c r="M85" s="56">
        <f t="shared" si="375"/>
        <v>-26.805999999999969</v>
      </c>
      <c r="N85" s="56">
        <f t="shared" si="375"/>
        <v>37.244999999999969</v>
      </c>
      <c r="O85" s="56">
        <f>O471</f>
        <v>111.13600000000002</v>
      </c>
      <c r="P85" s="56">
        <f t="shared" si="375"/>
        <v>81.131000000000043</v>
      </c>
      <c r="Q85" s="56">
        <f t="shared" si="375"/>
        <v>-115.88300000000001</v>
      </c>
      <c r="R85" s="56">
        <f t="shared" si="375"/>
        <v>2.3860000000000383</v>
      </c>
      <c r="S85" s="56">
        <f t="shared" si="375"/>
        <v>12.839999999999947</v>
      </c>
      <c r="T85" s="56">
        <f t="shared" si="375"/>
        <v>117.006</v>
      </c>
      <c r="U85" s="56">
        <f t="shared" ref="U85:V85" si="376">U471</f>
        <v>-23.392000000000017</v>
      </c>
      <c r="V85" s="56">
        <f t="shared" si="376"/>
        <v>-68.780999999999963</v>
      </c>
      <c r="W85" s="56">
        <f t="shared" ca="1" si="375"/>
        <v>9.2539277785241865</v>
      </c>
      <c r="X85" s="56">
        <f t="shared" ref="X85:AA85" ca="1" si="377">X471</f>
        <v>2.7629384762587108</v>
      </c>
      <c r="Y85" s="56">
        <f t="shared" si="377"/>
        <v>6.7253026820516908</v>
      </c>
      <c r="Z85" s="56">
        <f t="shared" si="377"/>
        <v>19.336810211383337</v>
      </c>
      <c r="AA85" s="56">
        <f t="shared" ca="1" si="377"/>
        <v>16.1281601085863</v>
      </c>
      <c r="AB85" s="18"/>
      <c r="AC85" s="56">
        <f>AC471</f>
        <v>-2.6844090000000009</v>
      </c>
      <c r="AD85" s="56">
        <f t="shared" ref="AD85:AT85" si="378">AD471</f>
        <v>3.4030000000000005</v>
      </c>
      <c r="AE85" s="56">
        <f t="shared" si="378"/>
        <v>-7.4550000000000001</v>
      </c>
      <c r="AF85" s="56">
        <f t="shared" si="378"/>
        <v>-18.483000000000004</v>
      </c>
      <c r="AG85" s="56">
        <f t="shared" si="378"/>
        <v>11.358000000000001</v>
      </c>
      <c r="AH85" s="56">
        <f t="shared" si="378"/>
        <v>1.4689999999999968</v>
      </c>
      <c r="AI85" s="56">
        <f t="shared" si="378"/>
        <v>-10.247999999999999</v>
      </c>
      <c r="AJ85" s="56">
        <f t="shared" si="378"/>
        <v>-4.9980000000000011</v>
      </c>
      <c r="AK85" s="56">
        <f t="shared" si="378"/>
        <v>-6.2180000000000035</v>
      </c>
      <c r="AL85" s="56">
        <f t="shared" si="378"/>
        <v>6.4990000000000059</v>
      </c>
      <c r="AM85" s="56">
        <f t="shared" si="378"/>
        <v>3.33</v>
      </c>
      <c r="AN85" s="56">
        <f t="shared" si="378"/>
        <v>32.237000000000002</v>
      </c>
      <c r="AO85" s="56">
        <f t="shared" si="378"/>
        <v>-14.163999999999998</v>
      </c>
      <c r="AP85" s="56">
        <f t="shared" si="378"/>
        <v>-16.721999999999994</v>
      </c>
      <c r="AQ85" s="56">
        <f t="shared" si="378"/>
        <v>7.8069999999999915</v>
      </c>
      <c r="AR85" s="56">
        <f t="shared" si="378"/>
        <v>-6.9469999999999956</v>
      </c>
      <c r="AS85" s="56">
        <f t="shared" si="378"/>
        <v>1.7870000000000097</v>
      </c>
      <c r="AT85" s="56">
        <f t="shared" si="378"/>
        <v>-22.945000000000022</v>
      </c>
      <c r="AU85" s="56">
        <f t="shared" ref="AU85:BC85" si="379">AU471</f>
        <v>14.410999999999998</v>
      </c>
      <c r="AV85" s="56">
        <f t="shared" si="379"/>
        <v>10.753</v>
      </c>
      <c r="AW85" s="56">
        <f t="shared" si="379"/>
        <v>-0.42599999999998417</v>
      </c>
      <c r="AX85" s="56">
        <f t="shared" si="379"/>
        <v>-55.715000000000032</v>
      </c>
      <c r="AY85" s="56">
        <f t="shared" si="379"/>
        <v>13.529000000000035</v>
      </c>
      <c r="AZ85" s="56">
        <f t="shared" si="379"/>
        <v>7.0419999999999519</v>
      </c>
      <c r="BA85" s="56">
        <f t="shared" si="379"/>
        <v>-24.788999999999973</v>
      </c>
      <c r="BB85" s="56">
        <f t="shared" si="379"/>
        <v>164.34700000000001</v>
      </c>
      <c r="BC85" s="56">
        <f t="shared" si="379"/>
        <v>-19.525999999999996</v>
      </c>
      <c r="BD85" s="56">
        <f t="shared" ref="BD85" ca="1" si="380">SUM(T85:W85)</f>
        <v>34.086927778524199</v>
      </c>
      <c r="BE85" s="56">
        <f t="shared" ca="1" si="374"/>
        <v>44.953211478280039</v>
      </c>
      <c r="BF85" s="18"/>
      <c r="BG85" s="162"/>
      <c r="BH85" s="162"/>
      <c r="BI85" s="162"/>
      <c r="BJ85" s="162"/>
      <c r="BK85" s="162"/>
    </row>
    <row r="86" spans="1:67" ht="13.5" customHeight="1">
      <c r="A86" s="2"/>
      <c r="B86" s="13" t="s">
        <v>19</v>
      </c>
      <c r="C86" s="2"/>
      <c r="D86" s="24">
        <f t="shared" ref="D86:U86" si="381">D87-SUM(D84:D85)-D81</f>
        <v>21.340484449999956</v>
      </c>
      <c r="E86" s="24">
        <f t="shared" si="381"/>
        <v>4.0184014600000069</v>
      </c>
      <c r="F86" s="24">
        <f t="shared" si="381"/>
        <v>5.9755579965899557</v>
      </c>
      <c r="G86" s="24">
        <f t="shared" si="381"/>
        <v>3.5966547434099141</v>
      </c>
      <c r="H86" s="24">
        <f t="shared" si="381"/>
        <v>-5.3072995000000134</v>
      </c>
      <c r="I86" s="24">
        <f t="shared" si="381"/>
        <v>8.3240940039999387</v>
      </c>
      <c r="J86" s="24">
        <f t="shared" si="381"/>
        <v>90.592326006296048</v>
      </c>
      <c r="K86" s="24">
        <f t="shared" si="381"/>
        <v>70.425960039703966</v>
      </c>
      <c r="L86" s="24">
        <f t="shared" si="381"/>
        <v>28.503454949999949</v>
      </c>
      <c r="M86" s="24">
        <f t="shared" si="381"/>
        <v>30.06408965299984</v>
      </c>
      <c r="N86" s="24">
        <f t="shared" si="381"/>
        <v>7.065096676547185</v>
      </c>
      <c r="O86" s="24">
        <f t="shared" si="381"/>
        <v>-6.5865874795470063</v>
      </c>
      <c r="P86" s="24">
        <f t="shared" si="381"/>
        <v>-0.90649904999993325</v>
      </c>
      <c r="Q86" s="24">
        <f t="shared" si="381"/>
        <v>-10.793217127999952</v>
      </c>
      <c r="R86" s="24">
        <f t="shared" si="381"/>
        <v>-47.151166276772003</v>
      </c>
      <c r="S86" s="24">
        <f t="shared" si="381"/>
        <v>13.079482454772091</v>
      </c>
      <c r="T86" s="24">
        <f t="shared" si="381"/>
        <v>-48.936551850000029</v>
      </c>
      <c r="U86" s="24">
        <f t="shared" si="381"/>
        <v>-5.128105618999939</v>
      </c>
      <c r="V86" s="24">
        <f t="shared" ref="V86" si="382">V87-SUM(V84:V85)-V81</f>
        <v>-11.058351796071122</v>
      </c>
      <c r="W86" s="166">
        <f t="shared" ref="W86" si="383">V86</f>
        <v>-11.058351796071122</v>
      </c>
      <c r="X86" s="166">
        <f t="shared" ref="X86" si="384">W86</f>
        <v>-11.058351796071122</v>
      </c>
      <c r="Y86" s="166">
        <f t="shared" ref="Y86" si="385">X86</f>
        <v>-11.058351796071122</v>
      </c>
      <c r="Z86" s="166">
        <f t="shared" ref="Z86" si="386">Y86</f>
        <v>-11.058351796071122</v>
      </c>
      <c r="AA86" s="166">
        <f t="shared" ref="AA86" si="387">Z86</f>
        <v>-11.058351796071122</v>
      </c>
      <c r="AB86" s="2"/>
      <c r="AC86" s="24">
        <f t="shared" ref="AC86:BC86" si="388">AC87-SUM(AC84:AC85)-AC81</f>
        <v>4.9126089999999998</v>
      </c>
      <c r="AD86" s="24">
        <f t="shared" si="388"/>
        <v>1.4206000000000056</v>
      </c>
      <c r="AE86" s="24">
        <f t="shared" si="388"/>
        <v>5.4265500000000069</v>
      </c>
      <c r="AF86" s="24">
        <f t="shared" si="388"/>
        <v>18.740300000000001</v>
      </c>
      <c r="AG86" s="24">
        <f t="shared" si="388"/>
        <v>-2.022950000000014</v>
      </c>
      <c r="AH86" s="24">
        <f t="shared" si="388"/>
        <v>4.531300000000023</v>
      </c>
      <c r="AI86" s="24">
        <f t="shared" si="388"/>
        <v>13.499849999999995</v>
      </c>
      <c r="AJ86" s="24">
        <f t="shared" si="388"/>
        <v>13.643900000000009</v>
      </c>
      <c r="AK86" s="24">
        <f t="shared" si="388"/>
        <v>10.753599999999992</v>
      </c>
      <c r="AL86" s="24">
        <f t="shared" si="388"/>
        <v>17.522300000000044</v>
      </c>
      <c r="AM86" s="24">
        <f t="shared" si="388"/>
        <v>6.9553000000000225</v>
      </c>
      <c r="AN86" s="24">
        <f t="shared" si="388"/>
        <v>20.030799999999999</v>
      </c>
      <c r="AO86" s="24">
        <f t="shared" si="388"/>
        <v>15.672449999999998</v>
      </c>
      <c r="AP86" s="24">
        <f t="shared" si="388"/>
        <v>24.753499999999981</v>
      </c>
      <c r="AQ86" s="24">
        <f t="shared" si="388"/>
        <v>12.313199999999966</v>
      </c>
      <c r="AR86" s="24">
        <f t="shared" si="388"/>
        <v>6.6291421000000028</v>
      </c>
      <c r="AS86" s="24">
        <f t="shared" si="388"/>
        <v>12.302749999999975</v>
      </c>
      <c r="AT86" s="24">
        <f t="shared" si="388"/>
        <v>-6.3411500000000274</v>
      </c>
      <c r="AU86" s="24">
        <f t="shared" si="388"/>
        <v>25.478350000000063</v>
      </c>
      <c r="AV86" s="24">
        <f t="shared" si="388"/>
        <v>-14.810149999999936</v>
      </c>
      <c r="AW86" s="24">
        <f t="shared" si="388"/>
        <v>-0.53804999999988468</v>
      </c>
      <c r="AX86" s="24">
        <f t="shared" si="388"/>
        <v>13.125876550000044</v>
      </c>
      <c r="AY86" s="24">
        <f t="shared" si="388"/>
        <v>0.49855119999980957</v>
      </c>
      <c r="AZ86" s="24">
        <f t="shared" si="388"/>
        <v>4.8260986500002332</v>
      </c>
      <c r="BA86" s="24">
        <f t="shared" si="388"/>
        <v>164.03508055000026</v>
      </c>
      <c r="BB86" s="24">
        <f t="shared" si="388"/>
        <v>59.045053800000119</v>
      </c>
      <c r="BC86" s="24">
        <f t="shared" si="388"/>
        <v>-45.771399999999858</v>
      </c>
      <c r="BD86" s="70">
        <f>SUM(T86:W86)</f>
        <v>-76.181361061142212</v>
      </c>
      <c r="BE86" s="70">
        <f t="shared" si="374"/>
        <v>-44.233407184284488</v>
      </c>
      <c r="BF86" s="2"/>
      <c r="BG86" s="84"/>
      <c r="BH86" s="84"/>
      <c r="BI86" s="84"/>
      <c r="BJ86" s="84"/>
      <c r="BK86" s="84"/>
    </row>
    <row r="87" spans="1:67" s="54" customFormat="1" ht="11.25" customHeight="1">
      <c r="A87" s="18"/>
      <c r="B87" s="129" t="s">
        <v>33</v>
      </c>
      <c r="C87" s="18"/>
      <c r="D87" s="117">
        <f t="shared" ref="D87:U87" si="389">D346+D352+D312</f>
        <v>12.926999999999994</v>
      </c>
      <c r="E87" s="117">
        <f t="shared" si="389"/>
        <v>45.707000000000015</v>
      </c>
      <c r="F87" s="117">
        <f t="shared" si="389"/>
        <v>92.390000000000029</v>
      </c>
      <c r="G87" s="117">
        <f t="shared" si="389"/>
        <v>171.34099999999995</v>
      </c>
      <c r="H87" s="117">
        <f t="shared" si="389"/>
        <v>-19.523999999999965</v>
      </c>
      <c r="I87" s="117">
        <f t="shared" si="389"/>
        <v>20.76199999999999</v>
      </c>
      <c r="J87" s="117">
        <f t="shared" si="389"/>
        <v>130.08900000000003</v>
      </c>
      <c r="K87" s="117">
        <f t="shared" si="389"/>
        <v>141.93199999999993</v>
      </c>
      <c r="L87" s="117">
        <f t="shared" si="389"/>
        <v>109.56799999999997</v>
      </c>
      <c r="M87" s="117">
        <f t="shared" si="389"/>
        <v>121.76799999999992</v>
      </c>
      <c r="N87" s="117">
        <f t="shared" si="389"/>
        <v>149.97299999999996</v>
      </c>
      <c r="O87" s="117">
        <f t="shared" si="389"/>
        <v>157.29100000000005</v>
      </c>
      <c r="P87" s="117">
        <f t="shared" si="389"/>
        <v>93.400000000000034</v>
      </c>
      <c r="Q87" s="117">
        <f t="shared" si="389"/>
        <v>-72.618999999999971</v>
      </c>
      <c r="R87" s="117">
        <f t="shared" si="389"/>
        <v>80.503999999999991</v>
      </c>
      <c r="S87" s="117">
        <f t="shared" si="389"/>
        <v>239.15899999999996</v>
      </c>
      <c r="T87" s="117">
        <f t="shared" si="389"/>
        <v>271.66700000000003</v>
      </c>
      <c r="U87" s="117">
        <f t="shared" si="389"/>
        <v>190.33500000000001</v>
      </c>
      <c r="V87" s="117">
        <f t="shared" ref="V87" si="390">V346+V352+V312</f>
        <v>204.88</v>
      </c>
      <c r="W87" s="117">
        <f ca="1">W81+SUM(W84:W86)</f>
        <v>166.74740522489225</v>
      </c>
      <c r="X87" s="117">
        <f t="shared" ref="X87:AA87" ca="1" si="391">X81+SUM(X84:X86)</f>
        <v>224.52095605512372</v>
      </c>
      <c r="Y87" s="117">
        <f t="shared" ca="1" si="391"/>
        <v>234.22411305053407</v>
      </c>
      <c r="Z87" s="117">
        <f t="shared" ca="1" si="391"/>
        <v>277.85298014551722</v>
      </c>
      <c r="AA87" s="117">
        <f t="shared" ca="1" si="391"/>
        <v>311.19151609882078</v>
      </c>
      <c r="AB87" s="18"/>
      <c r="AC87" s="117">
        <f t="shared" ref="AC87:BC87" si="392">AC346+AC352+AC312</f>
        <v>-14.054056000000005</v>
      </c>
      <c r="AD87" s="117">
        <f t="shared" si="392"/>
        <v>-9.502367999999997</v>
      </c>
      <c r="AE87" s="117">
        <f t="shared" si="392"/>
        <v>1.5780890000000021</v>
      </c>
      <c r="AF87" s="117">
        <f t="shared" si="392"/>
        <v>-10.631737000000005</v>
      </c>
      <c r="AG87" s="117">
        <f t="shared" si="392"/>
        <v>5.031089000000005</v>
      </c>
      <c r="AH87" s="117">
        <f t="shared" si="392"/>
        <v>42.160212000000008</v>
      </c>
      <c r="AI87" s="117">
        <f t="shared" si="392"/>
        <v>77.409033999999991</v>
      </c>
      <c r="AJ87" s="117">
        <f t="shared" si="392"/>
        <v>72.465609000000015</v>
      </c>
      <c r="AK87" s="117">
        <f t="shared" si="392"/>
        <v>77.474410000000006</v>
      </c>
      <c r="AL87" s="117">
        <f t="shared" si="392"/>
        <v>129.91100000000003</v>
      </c>
      <c r="AM87" s="117">
        <f t="shared" si="392"/>
        <v>104.57445799999999</v>
      </c>
      <c r="AN87" s="117">
        <f t="shared" si="392"/>
        <v>167.02983500000002</v>
      </c>
      <c r="AO87" s="117">
        <f t="shared" si="392"/>
        <v>74.390446000000011</v>
      </c>
      <c r="AP87" s="117">
        <f t="shared" si="392"/>
        <v>43.771837000000012</v>
      </c>
      <c r="AQ87" s="117">
        <f t="shared" si="392"/>
        <v>34.476788999999997</v>
      </c>
      <c r="AR87" s="117">
        <f t="shared" si="392"/>
        <v>39.450613999999966</v>
      </c>
      <c r="AS87" s="117">
        <f t="shared" si="392"/>
        <v>58.976999999999954</v>
      </c>
      <c r="AT87" s="117">
        <f t="shared" si="392"/>
        <v>132.47799999999998</v>
      </c>
      <c r="AU87" s="117">
        <f t="shared" si="392"/>
        <v>273.30100000000004</v>
      </c>
      <c r="AV87" s="117">
        <f t="shared" si="392"/>
        <v>214.80100000000002</v>
      </c>
      <c r="AW87" s="117">
        <f t="shared" si="392"/>
        <v>260.86399999999998</v>
      </c>
      <c r="AX87" s="117">
        <f t="shared" si="392"/>
        <v>270.01499999999999</v>
      </c>
      <c r="AY87" s="117">
        <f t="shared" si="392"/>
        <v>167.65599999999998</v>
      </c>
      <c r="AZ87" s="117">
        <f t="shared" si="392"/>
        <v>322.36500000000018</v>
      </c>
      <c r="BA87" s="117">
        <f t="shared" si="392"/>
        <v>273.25899999999979</v>
      </c>
      <c r="BB87" s="117">
        <f t="shared" si="392"/>
        <v>538.59900000000016</v>
      </c>
      <c r="BC87" s="117">
        <f t="shared" si="392"/>
        <v>340.44400000000007</v>
      </c>
      <c r="BD87" s="117">
        <f ca="1">SUM(BD84:BD86)+BD81</f>
        <v>833.62940522489293</v>
      </c>
      <c r="BE87" s="117">
        <f t="shared" ca="1" si="374"/>
        <v>1047.7895653499959</v>
      </c>
      <c r="BF87" s="18"/>
      <c r="BG87" s="162">
        <f>ROUND(AZ87-SUM(D87:G87),1)</f>
        <v>0</v>
      </c>
      <c r="BH87" s="162">
        <f>ROUND(BA87-SUM(H87:K87),1)</f>
        <v>0</v>
      </c>
      <c r="BI87" s="162">
        <f>ROUND(BB87-SUM(L87:O87),1)</f>
        <v>0</v>
      </c>
      <c r="BJ87" s="162">
        <f>ROUND(BC87-SUM(P87:S87),1)</f>
        <v>0</v>
      </c>
      <c r="BK87" s="162">
        <f ca="1">ROUND(BD87-SUM(T87:W87),1)</f>
        <v>0</v>
      </c>
      <c r="BO87" s="694">
        <f>+SUM(S87:V87)</f>
        <v>906.04100000000005</v>
      </c>
    </row>
    <row r="88" spans="1:67" ht="11.25" customHeight="1">
      <c r="A88" s="2"/>
      <c r="B88" s="110"/>
      <c r="C88" s="2"/>
      <c r="D88" s="44"/>
      <c r="E88" s="67"/>
      <c r="F88" s="67"/>
      <c r="G88" s="67"/>
      <c r="H88" s="67"/>
      <c r="I88" s="67"/>
      <c r="J88" s="67"/>
      <c r="K88" s="67"/>
      <c r="L88" s="67"/>
      <c r="M88" s="67"/>
      <c r="N88" s="67"/>
      <c r="O88" s="67"/>
      <c r="P88" s="67"/>
      <c r="Q88" s="67"/>
      <c r="R88" s="67"/>
      <c r="S88" s="66"/>
      <c r="T88" s="66"/>
      <c r="U88" s="66"/>
      <c r="V88" s="66"/>
      <c r="W88" s="66"/>
      <c r="X88" s="66"/>
      <c r="Y88" s="66"/>
      <c r="Z88" s="66"/>
      <c r="AA88" s="66"/>
      <c r="AB88" s="2"/>
      <c r="AC88" s="2"/>
      <c r="AD88" s="2"/>
      <c r="AE88" s="2"/>
      <c r="AF88" s="2"/>
      <c r="AG88" s="2"/>
      <c r="AH88" s="2"/>
      <c r="AI88" s="2"/>
      <c r="AJ88" s="2"/>
      <c r="AK88" s="2"/>
      <c r="AL88" s="2"/>
      <c r="AM88" s="2"/>
      <c r="AN88" s="2"/>
      <c r="AO88" s="2"/>
      <c r="AP88" s="2"/>
      <c r="AQ88" s="2"/>
      <c r="AR88" s="2"/>
      <c r="AS88" s="2"/>
      <c r="AT88" s="2"/>
      <c r="AU88" s="2"/>
      <c r="AV88" s="44"/>
      <c r="AW88" s="44"/>
      <c r="AX88" s="44"/>
      <c r="AY88" s="44"/>
      <c r="AZ88" s="44"/>
      <c r="BA88" s="44"/>
      <c r="BB88" s="44"/>
      <c r="BC88" s="44"/>
      <c r="BD88" s="44"/>
      <c r="BE88" s="44"/>
      <c r="BF88" s="2"/>
      <c r="BG88" s="84"/>
      <c r="BH88" s="84"/>
      <c r="BI88" s="84"/>
      <c r="BJ88" s="84"/>
      <c r="BK88" s="84"/>
    </row>
    <row r="89" spans="1:67" ht="11.25" customHeight="1">
      <c r="A89" s="2"/>
      <c r="B89" s="78" t="s">
        <v>35</v>
      </c>
      <c r="C89" s="2"/>
      <c r="D89" s="44"/>
      <c r="E89" s="2"/>
      <c r="F89" s="47"/>
      <c r="G89" s="47"/>
      <c r="H89" s="47"/>
      <c r="I89" s="47"/>
      <c r="J89" s="47"/>
      <c r="K89" s="47"/>
      <c r="L89" s="47"/>
      <c r="M89" s="47"/>
      <c r="N89" s="47"/>
      <c r="O89" s="47"/>
      <c r="P89" s="47"/>
      <c r="Q89" s="47"/>
      <c r="R89" s="47"/>
      <c r="S89" s="47"/>
      <c r="T89" s="47"/>
      <c r="U89" s="47"/>
      <c r="V89" s="47"/>
      <c r="W89" s="47"/>
      <c r="X89" s="47"/>
      <c r="Y89" s="47"/>
      <c r="Z89" s="47"/>
      <c r="AA89" s="47"/>
      <c r="AB89" s="2"/>
      <c r="AC89" s="2"/>
      <c r="AD89" s="2"/>
      <c r="AE89" s="2"/>
      <c r="AF89" s="2"/>
      <c r="AG89" s="2"/>
      <c r="AH89" s="2"/>
      <c r="AI89" s="2"/>
      <c r="AJ89" s="2"/>
      <c r="AK89" s="2"/>
      <c r="AL89" s="2"/>
      <c r="AM89" s="2"/>
      <c r="AN89" s="2"/>
      <c r="AO89" s="2"/>
      <c r="AP89" s="2"/>
      <c r="AQ89" s="2"/>
      <c r="AR89" s="2"/>
      <c r="AS89" s="2"/>
      <c r="AT89" s="2"/>
      <c r="AU89" s="2"/>
      <c r="AV89" s="44"/>
      <c r="AW89" s="44"/>
      <c r="AX89" s="44"/>
      <c r="AY89" s="44"/>
      <c r="AZ89" s="44"/>
      <c r="BA89" s="44"/>
      <c r="BB89" s="44"/>
      <c r="BC89" s="63"/>
      <c r="BD89" s="47"/>
      <c r="BE89" s="47"/>
      <c r="BF89" s="2"/>
      <c r="BG89" s="2"/>
      <c r="BH89" s="2"/>
      <c r="BI89" s="2"/>
      <c r="BJ89" s="2"/>
      <c r="BK89" s="2"/>
    </row>
    <row r="90" spans="1:67" ht="11.25" customHeight="1">
      <c r="A90" s="2"/>
      <c r="B90" s="201" t="s">
        <v>702</v>
      </c>
      <c r="C90" s="2"/>
      <c r="D90" s="177">
        <f>D354+D355+D357+D359+D360</f>
        <v>6.6000000000000003E-2</v>
      </c>
      <c r="E90" s="177">
        <f t="shared" ref="E90:U90" si="393">E354+E355+E357+E359+E360</f>
        <v>0.11600000000000001</v>
      </c>
      <c r="F90" s="177">
        <f t="shared" si="393"/>
        <v>0.224</v>
      </c>
      <c r="G90" s="177">
        <f t="shared" si="393"/>
        <v>0.20100000000000001</v>
      </c>
      <c r="H90" s="177">
        <f t="shared" si="393"/>
        <v>5.8000000000000003E-2</v>
      </c>
      <c r="I90" s="177">
        <f t="shared" si="393"/>
        <v>5.8999999999999997E-2</v>
      </c>
      <c r="J90" s="177">
        <f t="shared" si="393"/>
        <v>9.7000000000000003E-2</v>
      </c>
      <c r="K90" s="177">
        <f t="shared" si="393"/>
        <v>0.17599999999999999</v>
      </c>
      <c r="L90" s="177">
        <f t="shared" si="393"/>
        <v>0.60899999999999999</v>
      </c>
      <c r="M90" s="177">
        <f t="shared" si="393"/>
        <v>6.4000000000000001E-2</v>
      </c>
      <c r="N90" s="177">
        <f t="shared" si="393"/>
        <v>0.128</v>
      </c>
      <c r="O90" s="177">
        <f t="shared" si="393"/>
        <v>0.182</v>
      </c>
      <c r="P90" s="177">
        <f t="shared" si="393"/>
        <v>7.2999999999999995E-2</v>
      </c>
      <c r="Q90" s="177">
        <f t="shared" si="393"/>
        <v>0.17</v>
      </c>
      <c r="R90" s="177">
        <f t="shared" si="393"/>
        <v>0.14899999999999999</v>
      </c>
      <c r="S90" s="177">
        <f t="shared" si="393"/>
        <v>0.312</v>
      </c>
      <c r="T90" s="177">
        <f t="shared" si="393"/>
        <v>0.33700000000000002</v>
      </c>
      <c r="U90" s="177">
        <f t="shared" si="393"/>
        <v>0.156</v>
      </c>
      <c r="V90" s="177">
        <f t="shared" ref="V90" si="394">V354+V355+V357+V359+V360</f>
        <v>0.14599999999999999</v>
      </c>
      <c r="W90" s="209">
        <v>0</v>
      </c>
      <c r="X90" s="209">
        <v>0</v>
      </c>
      <c r="Y90" s="209">
        <v>0</v>
      </c>
      <c r="Z90" s="209">
        <v>0</v>
      </c>
      <c r="AA90" s="209">
        <v>0</v>
      </c>
      <c r="AB90" s="2"/>
      <c r="AC90" s="144">
        <f>SUM(AC563:AC574)-AC568-AC563-AC566-AC571</f>
        <v>-0.67600000000000549</v>
      </c>
      <c r="AD90" s="144">
        <f t="shared" ref="AD90:AQ90" si="395">SUM(AD563:AD574)-AD568-AD563-AD566-AD571</f>
        <v>-1.5470000000000037</v>
      </c>
      <c r="AE90" s="144">
        <f t="shared" si="395"/>
        <v>-9.6700000000000017</v>
      </c>
      <c r="AF90" s="144">
        <f t="shared" si="395"/>
        <v>-1.7420000000000044</v>
      </c>
      <c r="AG90" s="144">
        <f t="shared" si="395"/>
        <v>-4.8200000000000029</v>
      </c>
      <c r="AH90" s="144">
        <f t="shared" si="395"/>
        <v>-2.6960000000000006</v>
      </c>
      <c r="AI90" s="144">
        <f t="shared" si="395"/>
        <v>-1.2349999999999959</v>
      </c>
      <c r="AJ90" s="144">
        <f t="shared" si="395"/>
        <v>-21.241000000000021</v>
      </c>
      <c r="AK90" s="144">
        <f t="shared" si="395"/>
        <v>-3.6600000000000028</v>
      </c>
      <c r="AL90" s="144">
        <f t="shared" si="395"/>
        <v>-2.4799999999999898</v>
      </c>
      <c r="AM90" s="144">
        <f t="shared" si="395"/>
        <v>-6.244000000000014</v>
      </c>
      <c r="AN90" s="144">
        <f t="shared" si="395"/>
        <v>-0.125</v>
      </c>
      <c r="AO90" s="144">
        <f t="shared" si="395"/>
        <v>-0.20900000000001029</v>
      </c>
      <c r="AP90" s="144">
        <f t="shared" si="395"/>
        <v>-7.6969999999999672</v>
      </c>
      <c r="AQ90" s="144">
        <f t="shared" si="395"/>
        <v>0.52000000000001023</v>
      </c>
      <c r="AR90" s="177">
        <f t="shared" ref="AR90:BC90" si="396">AR354+AR355+AR357+AR359+AR360</f>
        <v>0.45399999999999996</v>
      </c>
      <c r="AS90" s="177">
        <f t="shared" si="396"/>
        <v>0.215</v>
      </c>
      <c r="AT90" s="177">
        <f>AT354+AT355+AT357+AT359+AT360</f>
        <v>3.7370000000000001</v>
      </c>
      <c r="AU90" s="177">
        <f t="shared" si="396"/>
        <v>3.7719999999999998</v>
      </c>
      <c r="AV90" s="177">
        <f t="shared" si="396"/>
        <v>-0.27600000000000002</v>
      </c>
      <c r="AW90" s="177">
        <f t="shared" si="396"/>
        <v>-0.92899999999999983</v>
      </c>
      <c r="AX90" s="177">
        <f t="shared" si="396"/>
        <v>0.18099999999999999</v>
      </c>
      <c r="AY90" s="177">
        <f t="shared" si="396"/>
        <v>0.28699999999999998</v>
      </c>
      <c r="AZ90" s="177">
        <f t="shared" si="396"/>
        <v>0.60699999999999998</v>
      </c>
      <c r="BA90" s="177">
        <f t="shared" si="396"/>
        <v>0.39</v>
      </c>
      <c r="BB90" s="177">
        <f t="shared" si="396"/>
        <v>0.98299999999999998</v>
      </c>
      <c r="BC90" s="177">
        <f t="shared" si="396"/>
        <v>0.70399999999999996</v>
      </c>
      <c r="BD90" s="29">
        <f>SUM(T90:W90)</f>
        <v>0.63900000000000001</v>
      </c>
      <c r="BE90" s="56">
        <f t="shared" ref="BE90:BE94" si="397">+SUM(X90:AA90)</f>
        <v>0</v>
      </c>
      <c r="BF90" s="2"/>
      <c r="BG90" s="170"/>
      <c r="BH90" s="170"/>
      <c r="BI90" s="170"/>
      <c r="BJ90" s="170"/>
      <c r="BK90" s="170"/>
    </row>
    <row r="91" spans="1:67" ht="11.25" customHeight="1">
      <c r="A91" s="2"/>
      <c r="B91" s="201" t="s">
        <v>422</v>
      </c>
      <c r="C91" s="2"/>
      <c r="D91" s="177">
        <f>D374+D375</f>
        <v>0</v>
      </c>
      <c r="E91" s="177">
        <f t="shared" ref="E91:U91" si="398">E374+E375</f>
        <v>0</v>
      </c>
      <c r="F91" s="177">
        <f t="shared" si="398"/>
        <v>0</v>
      </c>
      <c r="G91" s="177">
        <f t="shared" si="398"/>
        <v>0</v>
      </c>
      <c r="H91" s="177">
        <f t="shared" si="398"/>
        <v>0</v>
      </c>
      <c r="I91" s="177">
        <f t="shared" si="398"/>
        <v>0</v>
      </c>
      <c r="J91" s="177">
        <f t="shared" si="398"/>
        <v>0</v>
      </c>
      <c r="K91" s="177">
        <f t="shared" si="398"/>
        <v>0</v>
      </c>
      <c r="L91" s="177">
        <f t="shared" si="398"/>
        <v>-0.872</v>
      </c>
      <c r="M91" s="177">
        <f t="shared" si="398"/>
        <v>0</v>
      </c>
      <c r="N91" s="177">
        <f t="shared" si="398"/>
        <v>0</v>
      </c>
      <c r="O91" s="177">
        <f t="shared" si="398"/>
        <v>0</v>
      </c>
      <c r="P91" s="177">
        <f t="shared" si="398"/>
        <v>0</v>
      </c>
      <c r="Q91" s="177">
        <f t="shared" si="398"/>
        <v>0</v>
      </c>
      <c r="R91" s="177">
        <f t="shared" si="398"/>
        <v>0</v>
      </c>
      <c r="S91" s="177">
        <f t="shared" si="398"/>
        <v>0</v>
      </c>
      <c r="T91" s="177">
        <f t="shared" si="398"/>
        <v>0</v>
      </c>
      <c r="U91" s="177">
        <f t="shared" si="398"/>
        <v>-3.089</v>
      </c>
      <c r="V91" s="177">
        <f t="shared" ref="V91" si="399">V374+V375</f>
        <v>0</v>
      </c>
      <c r="W91" s="209">
        <v>0</v>
      </c>
      <c r="X91" s="209">
        <v>0</v>
      </c>
      <c r="Y91" s="209">
        <v>0</v>
      </c>
      <c r="Z91" s="209">
        <v>0</v>
      </c>
      <c r="AA91" s="209">
        <v>0</v>
      </c>
      <c r="AB91" s="2"/>
      <c r="AC91" s="144">
        <f>SUM(AC581,AC586)</f>
        <v>0</v>
      </c>
      <c r="AD91" s="144">
        <f t="shared" ref="AD91:AQ91" si="400">SUM(AD581,AD586)</f>
        <v>0</v>
      </c>
      <c r="AE91" s="144">
        <f t="shared" si="400"/>
        <v>0</v>
      </c>
      <c r="AF91" s="144">
        <f t="shared" si="400"/>
        <v>0</v>
      </c>
      <c r="AG91" s="144">
        <f t="shared" si="400"/>
        <v>0</v>
      </c>
      <c r="AH91" s="144">
        <f t="shared" si="400"/>
        <v>0</v>
      </c>
      <c r="AI91" s="144">
        <f t="shared" si="400"/>
        <v>0</v>
      </c>
      <c r="AJ91" s="144">
        <f t="shared" si="400"/>
        <v>-7.056</v>
      </c>
      <c r="AK91" s="144">
        <f t="shared" si="400"/>
        <v>0.27100000000000002</v>
      </c>
      <c r="AL91" s="144">
        <f t="shared" si="400"/>
        <v>0.57499999999999996</v>
      </c>
      <c r="AM91" s="144">
        <f t="shared" si="400"/>
        <v>-44.975999999999999</v>
      </c>
      <c r="AN91" s="144">
        <f t="shared" si="400"/>
        <v>-33.254000000000005</v>
      </c>
      <c r="AO91" s="144">
        <f t="shared" si="400"/>
        <v>0.26100000000000001</v>
      </c>
      <c r="AP91" s="144">
        <f t="shared" si="400"/>
        <v>0.245</v>
      </c>
      <c r="AQ91" s="144">
        <f t="shared" si="400"/>
        <v>0.14600000000000002</v>
      </c>
      <c r="AR91" s="177">
        <f t="shared" ref="AR91:BC91" si="401">AR374+AR375</f>
        <v>0.24199999999999999</v>
      </c>
      <c r="AS91" s="177">
        <f t="shared" si="401"/>
        <v>0.125</v>
      </c>
      <c r="AT91" s="177">
        <f t="shared" si="401"/>
        <v>4.7E-2</v>
      </c>
      <c r="AU91" s="177">
        <f t="shared" si="401"/>
        <v>3.4000000000000002E-2</v>
      </c>
      <c r="AV91" s="177">
        <f t="shared" si="401"/>
        <v>0</v>
      </c>
      <c r="AW91" s="177">
        <f t="shared" si="401"/>
        <v>0</v>
      </c>
      <c r="AX91" s="177">
        <f t="shared" si="401"/>
        <v>0</v>
      </c>
      <c r="AY91" s="177">
        <f t="shared" si="401"/>
        <v>0</v>
      </c>
      <c r="AZ91" s="177">
        <f t="shared" si="401"/>
        <v>0</v>
      </c>
      <c r="BA91" s="177">
        <f t="shared" si="401"/>
        <v>0</v>
      </c>
      <c r="BB91" s="177">
        <f t="shared" si="401"/>
        <v>-0.872</v>
      </c>
      <c r="BC91" s="177">
        <f t="shared" si="401"/>
        <v>0</v>
      </c>
      <c r="BD91" s="29">
        <f t="shared" ref="BD91:BD94" si="402">SUM(T91:W91)</f>
        <v>-3.089</v>
      </c>
      <c r="BE91" s="56">
        <f t="shared" si="397"/>
        <v>0</v>
      </c>
      <c r="BF91" s="2"/>
      <c r="BG91" s="170"/>
      <c r="BH91" s="170"/>
      <c r="BI91" s="170"/>
      <c r="BJ91" s="170"/>
      <c r="BK91" s="170"/>
    </row>
    <row r="92" spans="1:67" ht="11.25" customHeight="1">
      <c r="A92" s="2"/>
      <c r="B92" s="201" t="s">
        <v>423</v>
      </c>
      <c r="C92" s="2"/>
      <c r="D92" s="177">
        <f>SUM(D365:D372)</f>
        <v>21.770999999999997</v>
      </c>
      <c r="E92" s="177">
        <f t="shared" ref="E92:U92" si="403">SUM(E365:E372)</f>
        <v>68.012</v>
      </c>
      <c r="F92" s="177">
        <f t="shared" si="403"/>
        <v>118.79299999999999</v>
      </c>
      <c r="G92" s="177">
        <f t="shared" si="403"/>
        <v>-37.002999999999993</v>
      </c>
      <c r="H92" s="177">
        <f t="shared" si="403"/>
        <v>69.799000000000007</v>
      </c>
      <c r="I92" s="177">
        <f t="shared" si="403"/>
        <v>139.989</v>
      </c>
      <c r="J92" s="177">
        <f t="shared" si="403"/>
        <v>29.574999999999996</v>
      </c>
      <c r="K92" s="177">
        <f t="shared" si="403"/>
        <v>154.464</v>
      </c>
      <c r="L92" s="177">
        <f t="shared" si="403"/>
        <v>49.025000000000006</v>
      </c>
      <c r="M92" s="177">
        <f t="shared" si="403"/>
        <v>78.81</v>
      </c>
      <c r="N92" s="177">
        <f t="shared" si="403"/>
        <v>-58.198999999999998</v>
      </c>
      <c r="O92" s="177">
        <f t="shared" si="403"/>
        <v>-8.9000000000000412E-2</v>
      </c>
      <c r="P92" s="177">
        <f t="shared" si="403"/>
        <v>5.0990000000000002</v>
      </c>
      <c r="Q92" s="177">
        <f t="shared" si="403"/>
        <v>42.367000000000004</v>
      </c>
      <c r="R92" s="177">
        <f t="shared" si="403"/>
        <v>25.634999999999994</v>
      </c>
      <c r="S92" s="177">
        <f t="shared" si="403"/>
        <v>3.2920000000000007</v>
      </c>
      <c r="T92" s="177">
        <f t="shared" si="403"/>
        <v>0.39000000000000234</v>
      </c>
      <c r="U92" s="177">
        <f t="shared" si="403"/>
        <v>4.3160000000000007</v>
      </c>
      <c r="V92" s="177">
        <f t="shared" ref="V92" si="404">SUM(V365:V372)</f>
        <v>6.8250000000000011</v>
      </c>
      <c r="W92" s="209">
        <v>0</v>
      </c>
      <c r="X92" s="209">
        <v>0</v>
      </c>
      <c r="Y92" s="209">
        <v>0</v>
      </c>
      <c r="Z92" s="209">
        <v>0</v>
      </c>
      <c r="AA92" s="209">
        <v>0</v>
      </c>
      <c r="AB92" s="2"/>
      <c r="AC92" s="144">
        <f>SUM(AC579,AC580,AC583)</f>
        <v>11.246</v>
      </c>
      <c r="AD92" s="144">
        <f t="shared" ref="AD92:AQ92" si="405">SUM(AD579,AD580,AD583)</f>
        <v>7.38</v>
      </c>
      <c r="AE92" s="144">
        <f t="shared" si="405"/>
        <v>8.5129999999999999</v>
      </c>
      <c r="AF92" s="144">
        <f t="shared" si="405"/>
        <v>11.978999999999999</v>
      </c>
      <c r="AG92" s="144">
        <f t="shared" si="405"/>
        <v>0.126</v>
      </c>
      <c r="AH92" s="144">
        <f t="shared" si="405"/>
        <v>4.1820000000000004</v>
      </c>
      <c r="AI92" s="144">
        <f t="shared" si="405"/>
        <v>-4.6310000000000002</v>
      </c>
      <c r="AJ92" s="144">
        <f t="shared" si="405"/>
        <v>-5.351</v>
      </c>
      <c r="AK92" s="144">
        <f t="shared" si="405"/>
        <v>-8.016</v>
      </c>
      <c r="AL92" s="144">
        <f t="shared" si="405"/>
        <v>0.92100000000000004</v>
      </c>
      <c r="AM92" s="144">
        <f t="shared" si="405"/>
        <v>-8.5739999999999998</v>
      </c>
      <c r="AN92" s="144">
        <f t="shared" si="405"/>
        <v>-0.75900000000000001</v>
      </c>
      <c r="AO92" s="144">
        <f t="shared" si="405"/>
        <v>-8.4779999999999998</v>
      </c>
      <c r="AP92" s="144">
        <f t="shared" si="405"/>
        <v>30.980999999999998</v>
      </c>
      <c r="AQ92" s="144">
        <f t="shared" si="405"/>
        <v>12.371</v>
      </c>
      <c r="AR92" s="177">
        <f t="shared" ref="AR92:BC92" si="406">SUM(AR365:AR372)</f>
        <v>66.34899999999999</v>
      </c>
      <c r="AS92" s="177">
        <f t="shared" si="406"/>
        <v>110.505</v>
      </c>
      <c r="AT92" s="177">
        <f t="shared" si="406"/>
        <v>15.371</v>
      </c>
      <c r="AU92" s="177">
        <f t="shared" si="406"/>
        <v>-1.7000000000000348E-2</v>
      </c>
      <c r="AV92" s="177">
        <f t="shared" si="406"/>
        <v>-7.8140000000000001</v>
      </c>
      <c r="AW92" s="177">
        <f t="shared" si="406"/>
        <v>-31.220000000000002</v>
      </c>
      <c r="AX92" s="177">
        <f t="shared" si="406"/>
        <v>-37.335000000000001</v>
      </c>
      <c r="AY92" s="177">
        <f t="shared" si="406"/>
        <v>-6.6929999999999996</v>
      </c>
      <c r="AZ92" s="177">
        <f t="shared" si="406"/>
        <v>171.57299999999998</v>
      </c>
      <c r="BA92" s="177">
        <f t="shared" si="406"/>
        <v>393.827</v>
      </c>
      <c r="BB92" s="177">
        <f t="shared" si="406"/>
        <v>69.547000000000011</v>
      </c>
      <c r="BC92" s="177">
        <f t="shared" si="406"/>
        <v>76.393000000000001</v>
      </c>
      <c r="BD92" s="29">
        <f t="shared" si="402"/>
        <v>11.531000000000004</v>
      </c>
      <c r="BE92" s="56">
        <f t="shared" si="397"/>
        <v>0</v>
      </c>
      <c r="BF92" s="2"/>
      <c r="BG92" s="170"/>
      <c r="BH92" s="170"/>
      <c r="BI92" s="170"/>
      <c r="BJ92" s="170"/>
      <c r="BK92" s="170"/>
    </row>
    <row r="93" spans="1:67" ht="11.25" customHeight="1">
      <c r="A93" s="2"/>
      <c r="B93" s="201" t="s">
        <v>277</v>
      </c>
      <c r="C93" s="2"/>
      <c r="D93" s="177">
        <f>D373</f>
        <v>-64.825999999999993</v>
      </c>
      <c r="E93" s="177">
        <f t="shared" ref="E93:U93" si="407">E373</f>
        <v>-64.825999999999993</v>
      </c>
      <c r="F93" s="177">
        <f t="shared" si="407"/>
        <v>-64.825999999999993</v>
      </c>
      <c r="G93" s="177">
        <f t="shared" si="407"/>
        <v>-64.825999999999993</v>
      </c>
      <c r="H93" s="177">
        <f t="shared" si="407"/>
        <v>-64.825999999999993</v>
      </c>
      <c r="I93" s="177">
        <f t="shared" si="407"/>
        <v>-64.825999999999993</v>
      </c>
      <c r="J93" s="177">
        <f t="shared" si="407"/>
        <v>-64.825999999999993</v>
      </c>
      <c r="K93" s="177">
        <f t="shared" si="407"/>
        <v>-71.308000000000007</v>
      </c>
      <c r="L93" s="177">
        <f t="shared" si="407"/>
        <v>-71.308000000000007</v>
      </c>
      <c r="M93" s="177">
        <f t="shared" si="407"/>
        <v>-71.308999999999997</v>
      </c>
      <c r="N93" s="177">
        <f t="shared" si="407"/>
        <v>-71.308999999999997</v>
      </c>
      <c r="O93" s="177">
        <f t="shared" si="407"/>
        <v>-71.308000000000007</v>
      </c>
      <c r="P93" s="177">
        <f t="shared" si="407"/>
        <v>-71.308000000000007</v>
      </c>
      <c r="Q93" s="177">
        <f t="shared" si="407"/>
        <v>-71.308999999999997</v>
      </c>
      <c r="R93" s="177">
        <f t="shared" si="407"/>
        <v>-71.308999999999997</v>
      </c>
      <c r="S93" s="177">
        <f t="shared" si="407"/>
        <v>-77.796000000000006</v>
      </c>
      <c r="T93" s="177">
        <f t="shared" si="407"/>
        <v>-77.796000000000006</v>
      </c>
      <c r="U93" s="177">
        <f t="shared" si="407"/>
        <v>-90.762</v>
      </c>
      <c r="V93" s="177">
        <f t="shared" ref="V93" si="408">V373</f>
        <v>-90.763000000000005</v>
      </c>
      <c r="W93" s="209">
        <v>0</v>
      </c>
      <c r="X93" s="209">
        <v>0</v>
      </c>
      <c r="Y93" s="209">
        <v>0</v>
      </c>
      <c r="Z93" s="209">
        <v>0</v>
      </c>
      <c r="AA93" s="209">
        <v>0</v>
      </c>
      <c r="AB93" s="2"/>
      <c r="AC93" s="144">
        <f>SUM(AC584,AC585)</f>
        <v>0</v>
      </c>
      <c r="AD93" s="144">
        <f t="shared" ref="AD93:AQ93" si="409">SUM(AD584,AD585)</f>
        <v>0</v>
      </c>
      <c r="AE93" s="144">
        <f t="shared" si="409"/>
        <v>0</v>
      </c>
      <c r="AF93" s="144">
        <f t="shared" si="409"/>
        <v>0</v>
      </c>
      <c r="AG93" s="144">
        <f t="shared" si="409"/>
        <v>-0.45500000000000002</v>
      </c>
      <c r="AH93" s="144">
        <f t="shared" si="409"/>
        <v>-0.45500000000000002</v>
      </c>
      <c r="AI93" s="144">
        <f t="shared" si="409"/>
        <v>-0.45500000000000002</v>
      </c>
      <c r="AJ93" s="144">
        <f t="shared" si="409"/>
        <v>-12.321</v>
      </c>
      <c r="AK93" s="144">
        <f t="shared" si="409"/>
        <v>-46.42</v>
      </c>
      <c r="AL93" s="144">
        <f t="shared" si="409"/>
        <v>-61.743000000000002</v>
      </c>
      <c r="AM93" s="144">
        <f t="shared" si="409"/>
        <v>-77.387</v>
      </c>
      <c r="AN93" s="144">
        <f t="shared" si="409"/>
        <v>-76.778999999999996</v>
      </c>
      <c r="AO93" s="144">
        <f t="shared" si="409"/>
        <v>-76.876000000000005</v>
      </c>
      <c r="AP93" s="144">
        <f t="shared" si="409"/>
        <v>-77.707999999999998</v>
      </c>
      <c r="AQ93" s="144">
        <f t="shared" si="409"/>
        <v>-77.73</v>
      </c>
      <c r="AR93" s="177">
        <f t="shared" ref="AR93:BC93" si="410">AR373</f>
        <v>-77.748999999999995</v>
      </c>
      <c r="AS93" s="177">
        <f t="shared" si="410"/>
        <v>-77.772999999999996</v>
      </c>
      <c r="AT93" s="177">
        <f>AT373</f>
        <v>-77.786000000000001</v>
      </c>
      <c r="AU93" s="177">
        <f t="shared" si="410"/>
        <v>-116.68300000000001</v>
      </c>
      <c r="AV93" s="177">
        <f t="shared" si="410"/>
        <v>-155.58199999999999</v>
      </c>
      <c r="AW93" s="177">
        <f t="shared" si="410"/>
        <v>-181.51300000000001</v>
      </c>
      <c r="AX93" s="177">
        <f t="shared" si="410"/>
        <v>-207.44300000000001</v>
      </c>
      <c r="AY93" s="177">
        <f t="shared" si="410"/>
        <v>-259.30399999999997</v>
      </c>
      <c r="AZ93" s="177">
        <f t="shared" si="410"/>
        <v>-259.30399999999997</v>
      </c>
      <c r="BA93" s="177">
        <f t="shared" si="410"/>
        <v>-265.786</v>
      </c>
      <c r="BB93" s="177">
        <f t="shared" si="410"/>
        <v>-285.23399999999998</v>
      </c>
      <c r="BC93" s="177">
        <f t="shared" si="410"/>
        <v>-291.72199999999998</v>
      </c>
      <c r="BD93" s="29">
        <f t="shared" si="402"/>
        <v>-259.32100000000003</v>
      </c>
      <c r="BE93" s="56">
        <f t="shared" si="397"/>
        <v>0</v>
      </c>
      <c r="BF93" s="2"/>
      <c r="BG93" s="170"/>
      <c r="BH93" s="170"/>
      <c r="BI93" s="170"/>
      <c r="BJ93" s="170"/>
      <c r="BK93" s="170"/>
    </row>
    <row r="94" spans="1:67" ht="11.25" customHeight="1">
      <c r="A94" s="2"/>
      <c r="B94" s="201" t="s">
        <v>19</v>
      </c>
      <c r="C94" s="2"/>
      <c r="D94" s="177">
        <f t="shared" ref="D94:U94" si="411">D381-D87-D90-D91-D92-D93</f>
        <v>5.4400000000000119</v>
      </c>
      <c r="E94" s="177">
        <f t="shared" si="411"/>
        <v>-12.171999999999969</v>
      </c>
      <c r="F94" s="177">
        <f t="shared" si="411"/>
        <v>-10</v>
      </c>
      <c r="G94" s="177">
        <f t="shared" si="411"/>
        <v>-13.736999999999966</v>
      </c>
      <c r="H94" s="177">
        <f t="shared" si="411"/>
        <v>19.049999999999962</v>
      </c>
      <c r="I94" s="177">
        <f t="shared" si="411"/>
        <v>-12.730000000000004</v>
      </c>
      <c r="J94" s="177">
        <f t="shared" si="411"/>
        <v>10.89500000000001</v>
      </c>
      <c r="K94" s="177">
        <f t="shared" si="411"/>
        <v>-14.086000000000013</v>
      </c>
      <c r="L94" s="177">
        <f t="shared" si="411"/>
        <v>-0.42200000000001125</v>
      </c>
      <c r="M94" s="177">
        <f t="shared" si="411"/>
        <v>-27.73399999999998</v>
      </c>
      <c r="N94" s="177">
        <f t="shared" si="411"/>
        <v>22.230999999999995</v>
      </c>
      <c r="O94" s="177">
        <f t="shared" si="411"/>
        <v>-39.275000000000006</v>
      </c>
      <c r="P94" s="177">
        <f t="shared" si="411"/>
        <v>15.155000000000001</v>
      </c>
      <c r="Q94" s="177">
        <f t="shared" si="411"/>
        <v>-7.1179999999999808</v>
      </c>
      <c r="R94" s="177">
        <f t="shared" si="411"/>
        <v>0.1039999999999992</v>
      </c>
      <c r="S94" s="177">
        <f t="shared" si="411"/>
        <v>-11.345999999999975</v>
      </c>
      <c r="T94" s="177">
        <f t="shared" si="411"/>
        <v>38.17</v>
      </c>
      <c r="U94" s="177">
        <f t="shared" si="411"/>
        <v>-2.5000000000005684E-2</v>
      </c>
      <c r="V94" s="177">
        <f t="shared" ref="V94" si="412">V381-V87-V90-V91-V92-V93</f>
        <v>-33.43400000000004</v>
      </c>
      <c r="W94" s="209">
        <v>0</v>
      </c>
      <c r="X94" s="209">
        <v>0</v>
      </c>
      <c r="Y94" s="209">
        <v>0</v>
      </c>
      <c r="Z94" s="209">
        <v>0</v>
      </c>
      <c r="AA94" s="209">
        <v>0</v>
      </c>
      <c r="AB94" s="2"/>
      <c r="AC94" s="144">
        <f t="shared" ref="AC94:BC94" si="413">AC381-AC87-AC90-AC91-AC92-AC93</f>
        <v>-2.4459439999999901</v>
      </c>
      <c r="AD94" s="144">
        <f t="shared" si="413"/>
        <v>0.53236800000000084</v>
      </c>
      <c r="AE94" s="144">
        <f t="shared" si="413"/>
        <v>7.5439109999999996</v>
      </c>
      <c r="AF94" s="144">
        <f t="shared" si="413"/>
        <v>9.7167370000000091</v>
      </c>
      <c r="AG94" s="144">
        <f t="shared" si="413"/>
        <v>-1.1660890000000017</v>
      </c>
      <c r="AH94" s="144">
        <f t="shared" si="413"/>
        <v>-12.957212000000006</v>
      </c>
      <c r="AI94" s="144">
        <f t="shared" si="413"/>
        <v>-35.889033999999995</v>
      </c>
      <c r="AJ94" s="144">
        <f t="shared" si="413"/>
        <v>-55.183609000000004</v>
      </c>
      <c r="AK94" s="144">
        <f t="shared" si="413"/>
        <v>2.532589999999999</v>
      </c>
      <c r="AL94" s="144">
        <f t="shared" si="413"/>
        <v>-45.831000000000039</v>
      </c>
      <c r="AM94" s="144">
        <f t="shared" si="413"/>
        <v>9.7555420000000197</v>
      </c>
      <c r="AN94" s="144">
        <f t="shared" si="413"/>
        <v>43.515164999999982</v>
      </c>
      <c r="AO94" s="144">
        <f t="shared" si="413"/>
        <v>-12.426446000000013</v>
      </c>
      <c r="AP94" s="144">
        <f t="shared" si="413"/>
        <v>-12.981837000000041</v>
      </c>
      <c r="AQ94" s="144">
        <f t="shared" si="413"/>
        <v>25.801210999999995</v>
      </c>
      <c r="AR94" s="177">
        <f t="shared" si="413"/>
        <v>-28.807614000000086</v>
      </c>
      <c r="AS94" s="177">
        <f t="shared" si="413"/>
        <v>7.2349999999999852</v>
      </c>
      <c r="AT94" s="177">
        <f t="shared" si="413"/>
        <v>41.906999999999968</v>
      </c>
      <c r="AU94" s="177">
        <f t="shared" si="413"/>
        <v>43.833000000000013</v>
      </c>
      <c r="AV94" s="177">
        <f t="shared" si="413"/>
        <v>-72.563999999999908</v>
      </c>
      <c r="AW94" s="177">
        <f t="shared" si="413"/>
        <v>-35.063999999999965</v>
      </c>
      <c r="AX94" s="177">
        <f t="shared" si="413"/>
        <v>-0.99500000000006139</v>
      </c>
      <c r="AY94" s="177">
        <f t="shared" si="413"/>
        <v>-24.362000000000023</v>
      </c>
      <c r="AZ94" s="177">
        <f t="shared" si="413"/>
        <v>-30.468999999999937</v>
      </c>
      <c r="BA94" s="177">
        <f t="shared" si="413"/>
        <v>3.1290000000000759</v>
      </c>
      <c r="BB94" s="177">
        <f t="shared" si="413"/>
        <v>-45.199000000000126</v>
      </c>
      <c r="BC94" s="177">
        <f t="shared" si="413"/>
        <v>-3.2049999999999841</v>
      </c>
      <c r="BD94" s="29">
        <f t="shared" si="402"/>
        <v>4.7109999999999559</v>
      </c>
      <c r="BE94" s="56">
        <f t="shared" si="397"/>
        <v>0</v>
      </c>
      <c r="BF94" s="2"/>
      <c r="BG94" s="170"/>
      <c r="BH94" s="170"/>
      <c r="BI94" s="170"/>
      <c r="BJ94" s="170"/>
      <c r="BK94" s="170"/>
    </row>
    <row r="95" spans="1:67" ht="11.25" customHeight="1">
      <c r="A95" s="2"/>
      <c r="B95" s="79"/>
      <c r="C95" s="2"/>
      <c r="D95" s="29"/>
      <c r="E95" s="2"/>
      <c r="F95" s="47"/>
      <c r="G95" s="47"/>
      <c r="H95" s="47"/>
      <c r="I95" s="47"/>
      <c r="J95" s="47"/>
      <c r="K95" s="47"/>
      <c r="L95" s="47"/>
      <c r="M95" s="47"/>
      <c r="N95" s="47"/>
      <c r="O95" s="47"/>
      <c r="P95" s="47"/>
      <c r="Q95" s="47"/>
      <c r="R95" s="47"/>
      <c r="S95" s="47"/>
      <c r="T95" s="47"/>
      <c r="U95" s="47"/>
      <c r="V95" s="47"/>
      <c r="W95" s="47"/>
      <c r="X95" s="47"/>
      <c r="Y95" s="47"/>
      <c r="Z95" s="47"/>
      <c r="AA95" s="47"/>
      <c r="AB95" s="2"/>
      <c r="AC95" s="2"/>
      <c r="AD95" s="2"/>
      <c r="AE95" s="2"/>
      <c r="AF95" s="2"/>
      <c r="AG95" s="2"/>
      <c r="AH95" s="2"/>
      <c r="AI95" s="2"/>
      <c r="AJ95" s="2"/>
      <c r="AK95" s="2"/>
      <c r="AL95" s="2"/>
      <c r="AM95" s="2"/>
      <c r="AN95" s="2"/>
      <c r="AO95" s="2"/>
      <c r="AP95" s="2"/>
      <c r="AQ95" s="2"/>
      <c r="AR95" s="2"/>
      <c r="AS95" s="2"/>
      <c r="AT95" s="19"/>
      <c r="AU95" s="2"/>
      <c r="AV95" s="29"/>
      <c r="AW95" s="29"/>
      <c r="AX95" s="29"/>
      <c r="AY95" s="29"/>
      <c r="AZ95" s="29"/>
      <c r="BA95" s="29"/>
      <c r="BB95" s="29"/>
      <c r="BC95" s="29"/>
      <c r="BD95" s="47"/>
      <c r="BE95" s="47"/>
      <c r="BF95" s="2"/>
      <c r="BG95" s="2"/>
      <c r="BH95" s="2"/>
      <c r="BI95" s="2"/>
      <c r="BJ95" s="2"/>
      <c r="BK95" s="2"/>
    </row>
    <row r="96" spans="1:67" ht="11.25" customHeight="1">
      <c r="A96" s="2"/>
      <c r="B96" s="80" t="s">
        <v>36</v>
      </c>
      <c r="C96" s="2"/>
      <c r="D96" s="29"/>
      <c r="E96" s="56"/>
      <c r="F96" s="56"/>
      <c r="G96" s="56"/>
      <c r="H96" s="56"/>
      <c r="I96" s="56"/>
      <c r="J96" s="56"/>
      <c r="K96" s="56"/>
      <c r="L96" s="56"/>
      <c r="M96" s="56"/>
      <c r="N96" s="56"/>
      <c r="O96" s="56"/>
      <c r="P96" s="56"/>
      <c r="Q96" s="56"/>
      <c r="R96" s="56"/>
      <c r="S96" s="56"/>
      <c r="T96" s="56"/>
      <c r="U96" s="56"/>
      <c r="V96" s="47"/>
      <c r="W96" s="47"/>
      <c r="X96" s="47"/>
      <c r="Y96" s="47"/>
      <c r="Z96" s="47"/>
      <c r="AA96" s="47"/>
      <c r="AB96" s="2"/>
      <c r="AC96" s="2"/>
      <c r="AD96" s="2"/>
      <c r="AE96" s="2"/>
      <c r="AF96" s="24"/>
      <c r="AG96" s="24"/>
      <c r="AH96" s="24"/>
      <c r="AI96" s="24"/>
      <c r="AJ96" s="24"/>
      <c r="AK96" s="24"/>
      <c r="AL96" s="24"/>
      <c r="AM96" s="24"/>
      <c r="AN96" s="24"/>
      <c r="AO96" s="24"/>
      <c r="AP96" s="24"/>
      <c r="AQ96" s="24"/>
      <c r="AR96" s="56">
        <f>AQ98+SUM(AR90:AR94)+AR87</f>
        <v>150.56099999999989</v>
      </c>
      <c r="AS96" s="56">
        <f t="shared" ref="AS96:AV96" si="414">AR98+SUM(AS90:AS94)+AS87</f>
        <v>250.20199999999994</v>
      </c>
      <c r="AT96" s="56">
        <f>AS98+SUM(AT90:AT94)+AT87</f>
        <v>361.09599999999989</v>
      </c>
      <c r="AU96" s="56">
        <f t="shared" si="414"/>
        <v>641.16399999999999</v>
      </c>
      <c r="AV96" s="56">
        <f t="shared" si="414"/>
        <v>564.72800000000018</v>
      </c>
      <c r="AW96" s="56"/>
      <c r="AX96" s="56"/>
      <c r="AY96" s="56"/>
      <c r="AZ96" s="56"/>
      <c r="BA96" s="56"/>
      <c r="BB96" s="56"/>
      <c r="BC96" s="56"/>
      <c r="BD96" s="47"/>
      <c r="BE96" s="47"/>
      <c r="BF96" s="2"/>
      <c r="BG96" s="2"/>
      <c r="BH96" s="2"/>
      <c r="BI96" s="2"/>
      <c r="BJ96" s="2"/>
      <c r="BK96" s="2"/>
    </row>
    <row r="97" spans="1:63" ht="11.25" customHeight="1">
      <c r="A97" s="2"/>
      <c r="B97" s="81" t="s">
        <v>406</v>
      </c>
      <c r="C97" s="2"/>
      <c r="D97" s="56">
        <f>D412+D417+D421</f>
        <v>198.58500000000001</v>
      </c>
      <c r="E97" s="56">
        <f t="shared" ref="E97:G97" si="415">E412+E417+E421</f>
        <v>264.786</v>
      </c>
      <c r="F97" s="56">
        <f t="shared" si="415"/>
        <v>385.02299999999997</v>
      </c>
      <c r="G97" s="56">
        <f t="shared" si="415"/>
        <v>345.26400000000001</v>
      </c>
      <c r="H97" s="56">
        <f t="shared" ref="H97:S97" si="416">H412+H417+H421</f>
        <v>413.96199999999999</v>
      </c>
      <c r="I97" s="56">
        <f t="shared" si="416"/>
        <v>549.846</v>
      </c>
      <c r="J97" s="56">
        <f t="shared" si="416"/>
        <v>578.577</v>
      </c>
      <c r="K97" s="56">
        <f t="shared" si="416"/>
        <v>729.55899999999997</v>
      </c>
      <c r="L97" s="56">
        <f t="shared" si="416"/>
        <v>790.99299999999994</v>
      </c>
      <c r="M97" s="56">
        <f t="shared" si="416"/>
        <v>886.53399999999999</v>
      </c>
      <c r="N97" s="56">
        <f t="shared" si="416"/>
        <v>865.81399999999996</v>
      </c>
      <c r="O97" s="56">
        <f t="shared" si="416"/>
        <v>853.65</v>
      </c>
      <c r="P97" s="56">
        <f t="shared" si="416"/>
        <v>856.678</v>
      </c>
      <c r="Q97" s="56">
        <f t="shared" si="416"/>
        <v>909.83600000000001</v>
      </c>
      <c r="R97" s="56">
        <f t="shared" si="416"/>
        <v>939.899</v>
      </c>
      <c r="S97" s="56">
        <f t="shared" si="416"/>
        <v>923.19299999999998</v>
      </c>
      <c r="T97" s="56">
        <f>T412+T417+T421</f>
        <v>968.04</v>
      </c>
      <c r="U97" s="56">
        <f t="shared" ref="U97:V97" si="417">U412+U417+U421</f>
        <v>988.39</v>
      </c>
      <c r="V97" s="56">
        <f t="shared" si="417"/>
        <v>968.5089999999999</v>
      </c>
      <c r="W97" s="56">
        <f t="shared" ref="W97" si="418">V97+W92</f>
        <v>968.5089999999999</v>
      </c>
      <c r="X97" s="56">
        <f t="shared" ref="X97" si="419">W97+X92</f>
        <v>968.5089999999999</v>
      </c>
      <c r="Y97" s="56">
        <f t="shared" ref="Y97" si="420">X97+Y92</f>
        <v>968.5089999999999</v>
      </c>
      <c r="Z97" s="56">
        <f t="shared" ref="Z97" si="421">Y97+Z92</f>
        <v>968.5089999999999</v>
      </c>
      <c r="AA97" s="56">
        <f t="shared" ref="AA97" si="422">Z97+AA92</f>
        <v>968.5089999999999</v>
      </c>
      <c r="AB97" s="2"/>
      <c r="AC97" s="56">
        <f>AC412+AC417+AC421</f>
        <v>12.233000000000001</v>
      </c>
      <c r="AD97" s="56">
        <f t="shared" ref="AD97:AS97" si="423">AD412+AD417+AD421</f>
        <v>22.931000000000001</v>
      </c>
      <c r="AE97" s="56">
        <f>AE412+AE417+AE421</f>
        <v>20</v>
      </c>
      <c r="AF97" s="56">
        <f t="shared" si="423"/>
        <v>32.884999999999998</v>
      </c>
      <c r="AG97" s="56">
        <f t="shared" si="423"/>
        <v>35.268999999999998</v>
      </c>
      <c r="AH97" s="56">
        <f t="shared" si="423"/>
        <v>47.838000000000001</v>
      </c>
      <c r="AI97" s="56">
        <f t="shared" si="423"/>
        <v>35.408000000000001</v>
      </c>
      <c r="AJ97" s="56">
        <f t="shared" si="423"/>
        <v>30.382999999999999</v>
      </c>
      <c r="AK97" s="56">
        <f t="shared" si="423"/>
        <v>19.832999999999998</v>
      </c>
      <c r="AL97" s="56">
        <f t="shared" si="423"/>
        <v>19.503999999999998</v>
      </c>
      <c r="AM97" s="56">
        <f t="shared" si="423"/>
        <v>12.781000000000001</v>
      </c>
      <c r="AN97" s="56">
        <f t="shared" si="423"/>
        <v>12.722</v>
      </c>
      <c r="AO97" s="56">
        <f t="shared" si="423"/>
        <v>5.4489999999999998</v>
      </c>
      <c r="AP97" s="56">
        <f t="shared" si="423"/>
        <v>35.954999999999998</v>
      </c>
      <c r="AQ97" s="56">
        <f t="shared" si="423"/>
        <v>48.489999999999995</v>
      </c>
      <c r="AR97" s="56">
        <f>AR412+AR417+AR421</f>
        <v>114.843</v>
      </c>
      <c r="AS97" s="56">
        <f t="shared" si="423"/>
        <v>226.41300000000001</v>
      </c>
      <c r="AT97" s="56">
        <f t="shared" ref="AT97:BC97" si="424">AT412+AT417+AT421</f>
        <v>249.833</v>
      </c>
      <c r="AU97" s="56">
        <f t="shared" si="424"/>
        <v>254.95699999999999</v>
      </c>
      <c r="AV97" s="56">
        <f t="shared" si="424"/>
        <v>249.16199999999998</v>
      </c>
      <c r="AW97" s="56">
        <f t="shared" si="424"/>
        <v>213.96800000000002</v>
      </c>
      <c r="AX97" s="56">
        <f t="shared" si="424"/>
        <v>180.55500000000001</v>
      </c>
      <c r="AY97" s="56">
        <f t="shared" si="424"/>
        <v>175.422</v>
      </c>
      <c r="AZ97" s="56">
        <f t="shared" si="424"/>
        <v>345.26400000000001</v>
      </c>
      <c r="BA97" s="56">
        <f t="shared" si="424"/>
        <v>729.55899999999997</v>
      </c>
      <c r="BB97" s="56">
        <f t="shared" si="424"/>
        <v>853.65</v>
      </c>
      <c r="BC97" s="56">
        <f t="shared" si="424"/>
        <v>923.19299999999998</v>
      </c>
      <c r="BD97" s="56">
        <f>W97</f>
        <v>968.5089999999999</v>
      </c>
      <c r="BE97" s="56">
        <f>+AA97</f>
        <v>968.5089999999999</v>
      </c>
      <c r="BF97" s="2"/>
      <c r="BG97" s="86"/>
      <c r="BH97" s="86"/>
      <c r="BI97" s="86"/>
      <c r="BJ97" s="86"/>
      <c r="BK97" s="86"/>
    </row>
    <row r="98" spans="1:63" ht="13.5" customHeight="1">
      <c r="A98" s="2"/>
      <c r="B98" s="81" t="s">
        <v>278</v>
      </c>
      <c r="C98" s="2"/>
      <c r="D98" s="24">
        <f>D395+D396</f>
        <v>561.553</v>
      </c>
      <c r="E98" s="24">
        <f t="shared" ref="E98:G98" si="425">E395+E396</f>
        <v>605.01599999999996</v>
      </c>
      <c r="F98" s="24">
        <f t="shared" si="425"/>
        <v>742.42000000000007</v>
      </c>
      <c r="G98" s="24">
        <f t="shared" si="425"/>
        <v>791.47700000000009</v>
      </c>
      <c r="H98" s="24">
        <f t="shared" ref="H98:T98" si="426">H395+H396</f>
        <v>796.72199999999998</v>
      </c>
      <c r="I98" s="24">
        <f t="shared" si="426"/>
        <v>870.83499999999992</v>
      </c>
      <c r="J98" s="24">
        <f t="shared" si="426"/>
        <v>975.81899999999996</v>
      </c>
      <c r="K98" s="24">
        <f t="shared" si="426"/>
        <v>1188.4549999999999</v>
      </c>
      <c r="L98" s="24">
        <f t="shared" si="426"/>
        <v>1282.056</v>
      </c>
      <c r="M98" s="24">
        <f t="shared" si="426"/>
        <v>1425.568</v>
      </c>
      <c r="N98" s="24">
        <f t="shared" si="426"/>
        <v>1498.8739999999998</v>
      </c>
      <c r="O98" s="24">
        <f t="shared" si="426"/>
        <v>1561.4860000000001</v>
      </c>
      <c r="P98" s="24">
        <f t="shared" si="426"/>
        <v>1589.1849999999999</v>
      </c>
      <c r="Q98" s="24">
        <f t="shared" si="426"/>
        <v>1489.9559999999999</v>
      </c>
      <c r="R98" s="24">
        <f t="shared" si="426"/>
        <v>1551.3220000000001</v>
      </c>
      <c r="S98" s="24">
        <f t="shared" si="426"/>
        <v>1687.6450000000002</v>
      </c>
      <c r="T98" s="24">
        <f t="shared" si="426"/>
        <v>1922.6559999999999</v>
      </c>
      <c r="U98" s="24">
        <f t="shared" ref="U98:V98" si="427">U395+U396</f>
        <v>2048.6349999999998</v>
      </c>
      <c r="V98" s="24">
        <f t="shared" si="427"/>
        <v>2167.6</v>
      </c>
      <c r="W98" s="24">
        <f t="shared" ref="W98" ca="1" si="428">V98+W87+SUM(W90:W94)</f>
        <v>2334.3474052248921</v>
      </c>
      <c r="X98" s="24">
        <f t="shared" ref="X98" ca="1" si="429">W98+X87+SUM(X90:X94)</f>
        <v>2558.868361280016</v>
      </c>
      <c r="Y98" s="24">
        <f t="shared" ref="Y98" ca="1" si="430">X98+Y87+SUM(Y90:Y94)</f>
        <v>2793.09247433055</v>
      </c>
      <c r="Z98" s="24">
        <f t="shared" ref="Z98" ca="1" si="431">Y98+Z87+SUM(Z90:Z94)</f>
        <v>3070.9454544760674</v>
      </c>
      <c r="AA98" s="24">
        <f t="shared" ref="AA98" ca="1" si="432">Z98+AA87+SUM(AA90:AA94)</f>
        <v>3382.1369705748884</v>
      </c>
      <c r="AB98" s="2"/>
      <c r="AC98" s="24">
        <f>AC395+AC396</f>
        <v>17.862000000000002</v>
      </c>
      <c r="AD98" s="24">
        <f t="shared" ref="AD98:AS98" si="433">AD395+AD396</f>
        <v>15.585000000000001</v>
      </c>
      <c r="AE98" s="24">
        <f>AE395+AE396</f>
        <v>18.570999999999998</v>
      </c>
      <c r="AF98" s="24">
        <f>AF395+AF396</f>
        <v>41.192</v>
      </c>
      <c r="AG98" s="24">
        <f t="shared" si="433"/>
        <v>38.954000000000001</v>
      </c>
      <c r="AH98" s="24">
        <f t="shared" si="433"/>
        <v>67.960000000000008</v>
      </c>
      <c r="AI98" s="24">
        <f t="shared" si="433"/>
        <v>116.601</v>
      </c>
      <c r="AJ98" s="24">
        <f t="shared" si="433"/>
        <v>128.41</v>
      </c>
      <c r="AK98" s="24">
        <f t="shared" si="433"/>
        <v>143.88299999999998</v>
      </c>
      <c r="AL98" s="24">
        <f t="shared" si="433"/>
        <v>195.07900000000001</v>
      </c>
      <c r="AM98" s="24">
        <f t="shared" si="433"/>
        <v>174.834</v>
      </c>
      <c r="AN98" s="24">
        <f t="shared" si="433"/>
        <v>211.45</v>
      </c>
      <c r="AO98" s="24">
        <f t="shared" si="433"/>
        <v>195.79700000000003</v>
      </c>
      <c r="AP98" s="24">
        <f t="shared" si="433"/>
        <v>181.57400000000001</v>
      </c>
      <c r="AQ98" s="24">
        <f t="shared" si="433"/>
        <v>150.62200000000001</v>
      </c>
      <c r="AR98" s="24">
        <f t="shared" si="433"/>
        <v>150.91800000000001</v>
      </c>
      <c r="AS98" s="24">
        <f t="shared" si="433"/>
        <v>245.34199999999998</v>
      </c>
      <c r="AT98" s="24">
        <f>AT395+AT396</f>
        <v>436.92399999999998</v>
      </c>
      <c r="AU98" s="24">
        <f t="shared" ref="AU98:BC98" si="434">AU395+AU396</f>
        <v>586.16300000000001</v>
      </c>
      <c r="AV98" s="24">
        <f t="shared" si="434"/>
        <v>632.10900000000004</v>
      </c>
      <c r="AW98" s="24">
        <f t="shared" si="434"/>
        <v>649.35900000000004</v>
      </c>
      <c r="AX98" s="24">
        <f t="shared" si="434"/>
        <v>695.18200000000002</v>
      </c>
      <c r="AY98" s="24">
        <f t="shared" si="434"/>
        <v>583.44799999999998</v>
      </c>
      <c r="AZ98" s="24">
        <f t="shared" si="434"/>
        <v>791.47700000000009</v>
      </c>
      <c r="BA98" s="24">
        <f t="shared" si="434"/>
        <v>1188.4549999999999</v>
      </c>
      <c r="BB98" s="24">
        <f t="shared" si="434"/>
        <v>1561.4860000000001</v>
      </c>
      <c r="BC98" s="24">
        <f t="shared" si="434"/>
        <v>1687.6450000000002</v>
      </c>
      <c r="BD98" s="24">
        <f ca="1">W98</f>
        <v>2334.3474052248921</v>
      </c>
      <c r="BE98" s="24">
        <f t="shared" ref="BE98:BE99" ca="1" si="435">+AA98</f>
        <v>3382.1369705748884</v>
      </c>
      <c r="BF98" s="2"/>
      <c r="BG98" s="86"/>
      <c r="BH98" s="86"/>
      <c r="BI98" s="86"/>
      <c r="BJ98" s="86"/>
      <c r="BK98" s="86"/>
    </row>
    <row r="99" spans="1:63" ht="11.25" customHeight="1">
      <c r="A99" s="2"/>
      <c r="B99" s="214" t="s">
        <v>316</v>
      </c>
      <c r="C99" s="2"/>
      <c r="D99" s="56">
        <f>D97-D98</f>
        <v>-362.96799999999996</v>
      </c>
      <c r="E99" s="56">
        <f t="shared" ref="E99:G99" si="436">E97-E98</f>
        <v>-340.22999999999996</v>
      </c>
      <c r="F99" s="56">
        <f t="shared" si="436"/>
        <v>-357.39700000000011</v>
      </c>
      <c r="G99" s="56">
        <f t="shared" si="436"/>
        <v>-446.21300000000008</v>
      </c>
      <c r="H99" s="56">
        <f t="shared" ref="H99:U99" si="437">H97-H98</f>
        <v>-382.76</v>
      </c>
      <c r="I99" s="56">
        <f t="shared" si="437"/>
        <v>-320.98899999999992</v>
      </c>
      <c r="J99" s="56">
        <f t="shared" si="437"/>
        <v>-397.24199999999996</v>
      </c>
      <c r="K99" s="56">
        <f t="shared" si="437"/>
        <v>-458.89599999999996</v>
      </c>
      <c r="L99" s="56">
        <f t="shared" si="437"/>
        <v>-491.0630000000001</v>
      </c>
      <c r="M99" s="56">
        <f t="shared" si="437"/>
        <v>-539.03399999999999</v>
      </c>
      <c r="N99" s="56">
        <f t="shared" si="437"/>
        <v>-633.05999999999983</v>
      </c>
      <c r="O99" s="56">
        <f t="shared" si="437"/>
        <v>-707.83600000000013</v>
      </c>
      <c r="P99" s="56">
        <f t="shared" si="437"/>
        <v>-732.50699999999995</v>
      </c>
      <c r="Q99" s="56">
        <f t="shared" si="437"/>
        <v>-580.11999999999989</v>
      </c>
      <c r="R99" s="56">
        <f t="shared" si="437"/>
        <v>-611.42300000000012</v>
      </c>
      <c r="S99" s="56">
        <f t="shared" si="437"/>
        <v>-764.45200000000023</v>
      </c>
      <c r="T99" s="56">
        <f t="shared" si="437"/>
        <v>-954.61599999999999</v>
      </c>
      <c r="U99" s="56">
        <f t="shared" si="437"/>
        <v>-1060.2449999999999</v>
      </c>
      <c r="V99" s="56">
        <f t="shared" ref="V99" si="438">V97-V98</f>
        <v>-1199.0909999999999</v>
      </c>
      <c r="W99" s="56">
        <f t="shared" ref="W99" ca="1" si="439">W97-W98</f>
        <v>-1365.8384052248921</v>
      </c>
      <c r="X99" s="56">
        <f t="shared" ref="X99:AA99" ca="1" si="440">X97-X98</f>
        <v>-1590.3593612800159</v>
      </c>
      <c r="Y99" s="56">
        <f t="shared" ca="1" si="440"/>
        <v>-1824.58347433055</v>
      </c>
      <c r="Z99" s="56">
        <f t="shared" ca="1" si="440"/>
        <v>-2102.4364544760674</v>
      </c>
      <c r="AA99" s="56">
        <f t="shared" ca="1" si="440"/>
        <v>-2413.6279705748884</v>
      </c>
      <c r="AB99" s="2"/>
      <c r="AC99" s="56">
        <f t="shared" ref="AC99:AS99" si="441">AC97-AC98</f>
        <v>-5.6290000000000013</v>
      </c>
      <c r="AD99" s="56">
        <f t="shared" si="441"/>
        <v>7.3460000000000001</v>
      </c>
      <c r="AE99" s="56">
        <f t="shared" si="441"/>
        <v>1.429000000000002</v>
      </c>
      <c r="AF99" s="56">
        <f t="shared" si="441"/>
        <v>-8.3070000000000022</v>
      </c>
      <c r="AG99" s="56">
        <f t="shared" si="441"/>
        <v>-3.6850000000000023</v>
      </c>
      <c r="AH99" s="56">
        <f t="shared" si="441"/>
        <v>-20.122000000000007</v>
      </c>
      <c r="AI99" s="56">
        <f t="shared" si="441"/>
        <v>-81.192999999999998</v>
      </c>
      <c r="AJ99" s="56">
        <f t="shared" si="441"/>
        <v>-98.027000000000001</v>
      </c>
      <c r="AK99" s="56">
        <f t="shared" si="441"/>
        <v>-124.04999999999998</v>
      </c>
      <c r="AL99" s="56">
        <f t="shared" si="441"/>
        <v>-175.57500000000002</v>
      </c>
      <c r="AM99" s="56">
        <f t="shared" si="441"/>
        <v>-162.053</v>
      </c>
      <c r="AN99" s="56">
        <f t="shared" si="441"/>
        <v>-198.72799999999998</v>
      </c>
      <c r="AO99" s="56">
        <f t="shared" si="441"/>
        <v>-190.34800000000001</v>
      </c>
      <c r="AP99" s="56">
        <f t="shared" si="441"/>
        <v>-145.61900000000003</v>
      </c>
      <c r="AQ99" s="56">
        <f t="shared" si="441"/>
        <v>-102.13200000000002</v>
      </c>
      <c r="AR99" s="56">
        <f t="shared" si="441"/>
        <v>-36.075000000000003</v>
      </c>
      <c r="AS99" s="56">
        <f t="shared" si="441"/>
        <v>-18.928999999999974</v>
      </c>
      <c r="AT99" s="56">
        <f t="shared" ref="AT99:AZ99" si="442">AT97-AT98</f>
        <v>-187.09099999999998</v>
      </c>
      <c r="AU99" s="56">
        <f t="shared" si="442"/>
        <v>-331.20600000000002</v>
      </c>
      <c r="AV99" s="56">
        <f t="shared" si="442"/>
        <v>-382.94700000000006</v>
      </c>
      <c r="AW99" s="56">
        <f t="shared" si="442"/>
        <v>-435.39100000000002</v>
      </c>
      <c r="AX99" s="56">
        <f t="shared" si="442"/>
        <v>-514.62699999999995</v>
      </c>
      <c r="AY99" s="56">
        <f t="shared" si="442"/>
        <v>-408.02599999999995</v>
      </c>
      <c r="AZ99" s="56">
        <f t="shared" si="442"/>
        <v>-446.21300000000008</v>
      </c>
      <c r="BA99" s="56">
        <f t="shared" ref="BA99" si="443">BA97-BA98</f>
        <v>-458.89599999999996</v>
      </c>
      <c r="BB99" s="56">
        <f t="shared" ref="BB99" si="444">BB97-BB98</f>
        <v>-707.83600000000013</v>
      </c>
      <c r="BC99" s="56">
        <f t="shared" ref="BC99" si="445">BC97-BC98</f>
        <v>-764.45200000000023</v>
      </c>
      <c r="BD99" s="56">
        <f t="shared" ref="BD99" ca="1" si="446">BD97-BD98</f>
        <v>-1365.8384052248921</v>
      </c>
      <c r="BE99" s="56">
        <f t="shared" ca="1" si="435"/>
        <v>-2413.6279705748884</v>
      </c>
      <c r="BF99" s="2"/>
      <c r="BG99" s="86">
        <f>AZ99-G99</f>
        <v>0</v>
      </c>
      <c r="BH99" s="86">
        <f>BA99-K99</f>
        <v>0</v>
      </c>
      <c r="BI99" s="86">
        <f>BB99-O99</f>
        <v>0</v>
      </c>
      <c r="BJ99" s="86">
        <f>BC99-S99</f>
        <v>0</v>
      </c>
      <c r="BK99" s="86">
        <f ca="1">BD99-W99</f>
        <v>0</v>
      </c>
    </row>
    <row r="100" spans="1:63" ht="11.25" customHeight="1">
      <c r="A100" s="76"/>
      <c r="B100" s="36" t="s">
        <v>424</v>
      </c>
      <c r="C100" s="18"/>
      <c r="D100" s="18"/>
      <c r="E100" s="188"/>
      <c r="F100" s="188"/>
      <c r="G100" s="188">
        <f t="shared" ref="G100:W100" si="447">G99/SUM(D71:G71)</f>
        <v>-0.496615052114386</v>
      </c>
      <c r="H100" s="188">
        <f t="shared" si="447"/>
        <v>-0.40169136959795648</v>
      </c>
      <c r="I100" s="188">
        <f t="shared" si="447"/>
        <v>-0.32090119726071376</v>
      </c>
      <c r="J100" s="188">
        <f t="shared" si="447"/>
        <v>-0.38435727263325697</v>
      </c>
      <c r="K100" s="188">
        <f t="shared" si="447"/>
        <v>-0.42792451916752405</v>
      </c>
      <c r="L100" s="188">
        <f t="shared" si="447"/>
        <v>-0.42485757936238511</v>
      </c>
      <c r="M100" s="188">
        <f t="shared" si="447"/>
        <v>-0.42055966506762288</v>
      </c>
      <c r="N100" s="188">
        <f t="shared" si="447"/>
        <v>-0.4460224078033474</v>
      </c>
      <c r="O100" s="188">
        <f t="shared" si="447"/>
        <v>-0.45416803326136462</v>
      </c>
      <c r="P100" s="188">
        <f t="shared" si="447"/>
        <v>-0.46799506807807129</v>
      </c>
      <c r="Q100" s="188">
        <f t="shared" si="447"/>
        <v>-0.3827278108356223</v>
      </c>
      <c r="R100" s="188">
        <f t="shared" si="447"/>
        <v>-0.4144041426091627</v>
      </c>
      <c r="S100" s="188">
        <f t="shared" si="447"/>
        <v>-0.52588196527791653</v>
      </c>
      <c r="T100" s="188">
        <f t="shared" si="447"/>
        <v>-0.62798014706603855</v>
      </c>
      <c r="U100" s="188">
        <f t="shared" si="447"/>
        <v>-0.6441490767912561</v>
      </c>
      <c r="V100" s="188">
        <f t="shared" si="447"/>
        <v>-0.66630551721562703</v>
      </c>
      <c r="W100" s="188">
        <f t="shared" ca="1" si="447"/>
        <v>-0.68433414463191256</v>
      </c>
      <c r="X100" s="188">
        <f t="shared" ref="X100" ca="1" si="448">X99/SUM(U71:X71)</f>
        <v>-0.74540608133088648</v>
      </c>
      <c r="Y100" s="188">
        <f t="shared" ref="Y100" ca="1" si="449">Y99/SUM(V71:Y71)</f>
        <v>-0.81706177109321942</v>
      </c>
      <c r="Z100" s="188">
        <f t="shared" ref="Z100" ca="1" si="450">Z99/SUM(W71:Z71)</f>
        <v>-0.90391311116733131</v>
      </c>
      <c r="AA100" s="188">
        <f t="shared" ref="AA100" ca="1" si="451">AA99/SUM(X71:AA71)</f>
        <v>-0.99585251191213531</v>
      </c>
      <c r="AB100" s="18"/>
      <c r="AC100" s="188">
        <f t="shared" ref="AC100:BE100" si="452">AC99/AC71</f>
        <v>-0.2278025091056253</v>
      </c>
      <c r="AD100" s="188">
        <f t="shared" si="452"/>
        <v>0.25241384049754328</v>
      </c>
      <c r="AE100" s="188">
        <f t="shared" si="452"/>
        <v>3.0899301576318514E-2</v>
      </c>
      <c r="AF100" s="188">
        <f t="shared" si="452"/>
        <v>-8.0853797412912098E-2</v>
      </c>
      <c r="AG100" s="188">
        <f t="shared" si="452"/>
        <v>-5.4110806008722361E-2</v>
      </c>
      <c r="AH100" s="188">
        <f t="shared" si="452"/>
        <v>-0.20832384304793466</v>
      </c>
      <c r="AI100" s="188">
        <f t="shared" si="452"/>
        <v>-0.6740133818133518</v>
      </c>
      <c r="AJ100" s="188">
        <f t="shared" si="452"/>
        <v>-0.61924826279216671</v>
      </c>
      <c r="AK100" s="188">
        <f t="shared" si="452"/>
        <v>-0.74452186751651972</v>
      </c>
      <c r="AL100" s="188">
        <f t="shared" si="452"/>
        <v>-0.87359438750124419</v>
      </c>
      <c r="AM100" s="188">
        <f t="shared" si="452"/>
        <v>-0.84522785001590817</v>
      </c>
      <c r="AN100" s="188">
        <f t="shared" si="452"/>
        <v>-1.0687346394402704</v>
      </c>
      <c r="AO100" s="188">
        <f t="shared" si="452"/>
        <v>-1.1016975639118634</v>
      </c>
      <c r="AP100" s="188">
        <f t="shared" si="452"/>
        <v>-0.58958641213029139</v>
      </c>
      <c r="AQ100" s="188">
        <f t="shared" si="452"/>
        <v>-0.40977535618422478</v>
      </c>
      <c r="AR100" s="188">
        <f t="shared" si="452"/>
        <v>-0.11543039619103693</v>
      </c>
      <c r="AS100" s="188">
        <f t="shared" si="452"/>
        <v>-5.1773606373987584E-2</v>
      </c>
      <c r="AT100" s="188">
        <f t="shared" si="452"/>
        <v>-0.37710684065612882</v>
      </c>
      <c r="AU100" s="188">
        <f t="shared" si="452"/>
        <v>-0.61045720794612157</v>
      </c>
      <c r="AV100" s="188">
        <f t="shared" si="452"/>
        <v>-0.63635079579784193</v>
      </c>
      <c r="AW100" s="188">
        <f t="shared" si="452"/>
        <v>-0.6742909267742706</v>
      </c>
      <c r="AX100" s="188">
        <f t="shared" si="452"/>
        <v>-0.76109164435511545</v>
      </c>
      <c r="AY100" s="188">
        <f t="shared" si="452"/>
        <v>-0.61860976653930044</v>
      </c>
      <c r="AZ100" s="188">
        <f t="shared" si="452"/>
        <v>-0.49661505211438606</v>
      </c>
      <c r="BA100" s="188">
        <f t="shared" si="452"/>
        <v>-0.42792451916752422</v>
      </c>
      <c r="BB100" s="188">
        <f t="shared" si="452"/>
        <v>-0.45416803326136462</v>
      </c>
      <c r="BC100" s="188">
        <f t="shared" si="452"/>
        <v>-0.52588196527791653</v>
      </c>
      <c r="BD100" s="188">
        <f t="shared" ca="1" si="452"/>
        <v>-0.68433414463191233</v>
      </c>
      <c r="BE100" s="188">
        <f t="shared" ca="1" si="452"/>
        <v>-0.99585251191213531</v>
      </c>
      <c r="BF100" s="2"/>
      <c r="BG100" s="50"/>
      <c r="BH100" s="50"/>
      <c r="BI100" s="50"/>
      <c r="BJ100" s="50"/>
      <c r="BK100" s="50"/>
    </row>
    <row r="101" spans="1:63" ht="11.25" customHeight="1">
      <c r="A101" s="2"/>
      <c r="B101" s="2"/>
      <c r="C101" s="2"/>
      <c r="D101" s="2"/>
      <c r="E101" s="2"/>
      <c r="F101" s="47"/>
      <c r="G101" s="47"/>
      <c r="H101" s="47"/>
      <c r="I101" s="47"/>
      <c r="J101" s="47"/>
      <c r="K101" s="47"/>
      <c r="L101" s="47"/>
      <c r="M101" s="47"/>
      <c r="N101" s="47"/>
      <c r="O101" s="47"/>
      <c r="P101" s="47"/>
      <c r="Q101" s="47"/>
      <c r="R101" s="47"/>
      <c r="S101" s="47"/>
      <c r="T101" s="47"/>
      <c r="U101" s="47"/>
      <c r="V101" s="47"/>
      <c r="W101" s="47"/>
      <c r="X101" s="47"/>
      <c r="Y101" s="47"/>
      <c r="Z101" s="47"/>
      <c r="AA101" s="47"/>
      <c r="AB101" s="2"/>
      <c r="AC101" s="2"/>
      <c r="AD101" s="2"/>
      <c r="AE101" s="2"/>
      <c r="AF101" s="2"/>
      <c r="AG101" s="2"/>
      <c r="AH101" s="2"/>
      <c r="AI101" s="2"/>
      <c r="AJ101" s="2"/>
      <c r="AK101" s="2"/>
      <c r="AL101" s="2"/>
      <c r="AM101" s="2"/>
      <c r="AN101" s="2"/>
      <c r="AO101" s="2"/>
      <c r="AP101" s="2"/>
      <c r="AQ101" s="2"/>
      <c r="AR101" s="2"/>
      <c r="AS101" s="2"/>
      <c r="AT101" s="2"/>
      <c r="AU101" s="2"/>
      <c r="AV101" s="47"/>
      <c r="AW101" s="47"/>
      <c r="AX101" s="47"/>
      <c r="AY101" s="47"/>
      <c r="BD101" s="47"/>
      <c r="BE101" s="47"/>
      <c r="BF101" s="2"/>
      <c r="BG101" s="2"/>
      <c r="BH101" s="2"/>
      <c r="BI101" s="2"/>
      <c r="BJ101" s="2"/>
      <c r="BK101" s="2"/>
    </row>
    <row r="102" spans="1:63" ht="11.25" customHeight="1">
      <c r="A102" s="2"/>
      <c r="B102" s="11" t="s">
        <v>451</v>
      </c>
      <c r="C102" s="10"/>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row>
    <row r="103" spans="1:63" ht="11.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row>
    <row r="104" spans="1:63" ht="11.25" customHeight="1">
      <c r="A104" s="2"/>
      <c r="B104" s="65" t="s">
        <v>247</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row>
    <row r="105" spans="1:63" ht="11.25" customHeight="1">
      <c r="A105" s="2"/>
      <c r="B105" s="2" t="s">
        <v>242</v>
      </c>
      <c r="C105" s="2"/>
      <c r="D105" s="16">
        <v>151.93127699999999</v>
      </c>
      <c r="E105" s="16">
        <v>145.84387599999999</v>
      </c>
      <c r="F105" s="16">
        <v>163.49123800000001</v>
      </c>
      <c r="G105" s="20">
        <f t="shared" ref="G105:G110" si="453">AZ105-SUM(D105:F105)</f>
        <v>184.03722200000004</v>
      </c>
      <c r="H105" s="16">
        <v>163.207797</v>
      </c>
      <c r="I105" s="16">
        <v>157.74489499999999</v>
      </c>
      <c r="J105" s="16">
        <v>180.649835</v>
      </c>
      <c r="K105" s="20">
        <f t="shared" ref="K105:K110" si="454">BA105-SUM(H105:J105)</f>
        <v>193.48866400000003</v>
      </c>
      <c r="L105" s="16">
        <v>195.99989400000001</v>
      </c>
      <c r="M105" s="16">
        <v>201.55575899999999</v>
      </c>
      <c r="N105" s="16">
        <v>251.06957199999999</v>
      </c>
      <c r="O105" s="20">
        <f t="shared" ref="O105:O110" si="455">BB105-SUM(L105:N105)</f>
        <v>240.25402499999996</v>
      </c>
      <c r="P105" s="16">
        <v>174.372275</v>
      </c>
      <c r="Q105" s="16">
        <v>159.366872</v>
      </c>
      <c r="R105" s="16">
        <v>212.00117699999998</v>
      </c>
      <c r="S105" s="20">
        <f t="shared" ref="S105:S110" si="456">BC105-SUM(P105:R105)</f>
        <v>269.173676</v>
      </c>
      <c r="T105" s="16">
        <v>225.032139</v>
      </c>
      <c r="U105" s="16">
        <v>222.54336999999998</v>
      </c>
      <c r="V105" s="56">
        <f>+V135*V$111</f>
        <v>258.29528000000005</v>
      </c>
      <c r="W105" s="56">
        <f ca="1">V105/V122*W122</f>
        <v>292.51434617135783</v>
      </c>
      <c r="X105" s="56"/>
      <c r="Y105" s="56"/>
      <c r="Z105" s="56"/>
      <c r="AA105" s="56"/>
      <c r="AB105" s="2"/>
      <c r="AC105" s="2"/>
      <c r="AD105" s="2"/>
      <c r="AE105" s="2"/>
      <c r="AF105" s="2"/>
      <c r="AG105" s="2"/>
      <c r="AH105" s="2"/>
      <c r="AI105" s="2"/>
      <c r="AJ105" s="2"/>
      <c r="AK105" s="2"/>
      <c r="AL105" s="2"/>
      <c r="AM105" s="2"/>
      <c r="AN105" s="2"/>
      <c r="AO105" s="2"/>
      <c r="AP105" s="2"/>
      <c r="AQ105" s="2"/>
      <c r="AR105" s="16"/>
      <c r="AS105" s="16"/>
      <c r="AT105" s="16"/>
      <c r="AU105" s="16"/>
      <c r="AV105" s="16"/>
      <c r="AW105" s="16">
        <v>504.17500000000001</v>
      </c>
      <c r="AX105" s="16">
        <v>466.45228000000003</v>
      </c>
      <c r="AY105" s="16">
        <v>523.61286300000006</v>
      </c>
      <c r="AZ105" s="16">
        <v>645.30361300000004</v>
      </c>
      <c r="BA105" s="16">
        <v>695.09119099999998</v>
      </c>
      <c r="BB105" s="16">
        <v>888.87924999999996</v>
      </c>
      <c r="BC105" s="16">
        <v>814.91399999999999</v>
      </c>
      <c r="BD105" s="20">
        <f ca="1">SUM(T105:W105)</f>
        <v>998.38513517135789</v>
      </c>
      <c r="BE105" s="20"/>
      <c r="BF105" s="2"/>
      <c r="BG105" s="2"/>
      <c r="BH105" s="2"/>
      <c r="BI105" s="2"/>
      <c r="BJ105" s="2"/>
      <c r="BK105" s="2"/>
    </row>
    <row r="106" spans="1:63" ht="11.25" customHeight="1">
      <c r="A106" s="2"/>
      <c r="B106" s="2" t="s">
        <v>241</v>
      </c>
      <c r="C106" s="2"/>
      <c r="D106" s="16">
        <v>92.993610000000004</v>
      </c>
      <c r="E106" s="16">
        <v>104.115544</v>
      </c>
      <c r="F106" s="16">
        <v>130.40409299999999</v>
      </c>
      <c r="G106" s="20">
        <f t="shared" si="453"/>
        <v>112.29673700000001</v>
      </c>
      <c r="H106" s="16">
        <v>127.84338700000001</v>
      </c>
      <c r="I106" s="16">
        <v>143.39101399999998</v>
      </c>
      <c r="J106" s="16">
        <v>155.62973399999998</v>
      </c>
      <c r="K106" s="20">
        <f t="shared" si="454"/>
        <v>160.91600899999997</v>
      </c>
      <c r="L106" s="16">
        <v>202.24516200000002</v>
      </c>
      <c r="M106" s="16">
        <v>228.94067000000001</v>
      </c>
      <c r="N106" s="16">
        <v>238.23728599999998</v>
      </c>
      <c r="O106" s="20">
        <f t="shared" si="455"/>
        <v>262.96061100000009</v>
      </c>
      <c r="P106" s="16">
        <v>225.53203400000001</v>
      </c>
      <c r="Q106" s="16">
        <v>214.35934</v>
      </c>
      <c r="R106" s="16">
        <v>227.816587</v>
      </c>
      <c r="S106" s="20">
        <f t="shared" si="456"/>
        <v>267.06103899999994</v>
      </c>
      <c r="T106" s="16">
        <v>274.77297399999998</v>
      </c>
      <c r="U106" s="16">
        <v>351.39253000000002</v>
      </c>
      <c r="V106" s="56">
        <f t="shared" ref="V106:V110" si="457">+V136*V$111</f>
        <v>387.44292000000002</v>
      </c>
      <c r="W106" s="56">
        <f t="shared" ref="W106:W110" si="458">V106*(1+W127)</f>
        <v>445.55935799999997</v>
      </c>
      <c r="X106" s="56"/>
      <c r="Y106" s="56"/>
      <c r="Z106" s="56"/>
      <c r="AA106" s="56"/>
      <c r="AB106" s="2"/>
      <c r="AC106" s="2"/>
      <c r="AD106" s="2"/>
      <c r="AE106" s="2"/>
      <c r="AF106" s="2"/>
      <c r="AG106" s="2"/>
      <c r="AH106" s="2"/>
      <c r="AI106" s="2"/>
      <c r="AJ106" s="2"/>
      <c r="AK106" s="2"/>
      <c r="AL106" s="2"/>
      <c r="AM106" s="2"/>
      <c r="AN106" s="2"/>
      <c r="AO106" s="2"/>
      <c r="AP106" s="2"/>
      <c r="AQ106" s="2"/>
      <c r="AR106" s="16"/>
      <c r="AS106" s="16"/>
      <c r="AT106" s="16"/>
      <c r="AU106" s="16"/>
      <c r="AV106" s="16"/>
      <c r="AW106" s="16">
        <v>265.39400000000001</v>
      </c>
      <c r="AX106" s="16">
        <v>341.91019499999999</v>
      </c>
      <c r="AY106" s="16">
        <v>315.82231100000001</v>
      </c>
      <c r="AZ106" s="16">
        <v>439.80998399999999</v>
      </c>
      <c r="BA106" s="16">
        <v>587.78014399999995</v>
      </c>
      <c r="BB106" s="16">
        <v>932.38372900000002</v>
      </c>
      <c r="BC106" s="16">
        <v>934.76900000000001</v>
      </c>
      <c r="BD106" s="20">
        <f t="shared" ref="BD106:BD110" si="459">SUM(T106:W106)</f>
        <v>1459.167782</v>
      </c>
      <c r="BE106" s="20"/>
      <c r="BF106" s="2"/>
      <c r="BG106" s="2"/>
      <c r="BH106" s="2"/>
      <c r="BI106" s="2"/>
      <c r="BJ106" s="2"/>
      <c r="BK106" s="2"/>
    </row>
    <row r="107" spans="1:63" ht="11.25" customHeight="1">
      <c r="A107" s="2"/>
      <c r="B107" s="2" t="s">
        <v>243</v>
      </c>
      <c r="C107" s="2"/>
      <c r="D107" s="16">
        <v>26.595813</v>
      </c>
      <c r="E107" s="16">
        <v>25.365822999999999</v>
      </c>
      <c r="F107" s="16">
        <v>31.201283</v>
      </c>
      <c r="G107" s="20">
        <f t="shared" si="453"/>
        <v>27.192268999999996</v>
      </c>
      <c r="H107" s="16">
        <v>30.122730999999998</v>
      </c>
      <c r="I107" s="16">
        <v>29.391787000000001</v>
      </c>
      <c r="J107" s="16">
        <v>36.282240999999999</v>
      </c>
      <c r="K107" s="20">
        <f t="shared" si="454"/>
        <v>37.209220000000002</v>
      </c>
      <c r="L107" s="16">
        <v>39.045774999999999</v>
      </c>
      <c r="M107" s="16">
        <v>44.648550999999998</v>
      </c>
      <c r="N107" s="16">
        <v>59.410567</v>
      </c>
      <c r="O107" s="20">
        <f t="shared" si="455"/>
        <v>53.010093999999981</v>
      </c>
      <c r="P107" s="16">
        <v>42.72043</v>
      </c>
      <c r="Q107" s="16">
        <v>38.168913000000003</v>
      </c>
      <c r="R107" s="16">
        <v>47.409811000000005</v>
      </c>
      <c r="S107" s="20">
        <f t="shared" si="456"/>
        <v>33.617846000000014</v>
      </c>
      <c r="T107" s="16">
        <v>35.320949999999996</v>
      </c>
      <c r="U107" s="16">
        <v>37.346266999999997</v>
      </c>
      <c r="V107" s="56">
        <f t="shared" si="457"/>
        <v>53.178440000000009</v>
      </c>
      <c r="W107" s="56">
        <f t="shared" si="458"/>
        <v>58.496284000000017</v>
      </c>
      <c r="X107" s="56"/>
      <c r="Y107" s="56"/>
      <c r="Z107" s="56"/>
      <c r="AA107" s="56"/>
      <c r="AB107" s="2"/>
      <c r="AC107" s="2"/>
      <c r="AD107" s="2"/>
      <c r="AE107" s="2"/>
      <c r="AF107" s="2"/>
      <c r="AG107" s="2"/>
      <c r="AH107" s="2"/>
      <c r="AI107" s="2"/>
      <c r="AJ107" s="2"/>
      <c r="AK107" s="2"/>
      <c r="AL107" s="2"/>
      <c r="AM107" s="2"/>
      <c r="AN107" s="2"/>
      <c r="AO107" s="2"/>
      <c r="AP107" s="2"/>
      <c r="AQ107" s="2"/>
      <c r="AR107" s="16"/>
      <c r="AS107" s="16"/>
      <c r="AT107" s="16"/>
      <c r="AU107" s="16"/>
      <c r="AV107" s="16"/>
      <c r="AW107" s="16">
        <v>51.776000000000003</v>
      </c>
      <c r="AX107" s="16">
        <v>65.091313999999997</v>
      </c>
      <c r="AY107" s="16">
        <v>86.34270699999999</v>
      </c>
      <c r="AZ107" s="16">
        <v>110.355188</v>
      </c>
      <c r="BA107" s="16">
        <v>133.005979</v>
      </c>
      <c r="BB107" s="16">
        <v>196.11498699999999</v>
      </c>
      <c r="BC107" s="16">
        <v>161.917</v>
      </c>
      <c r="BD107" s="20">
        <f t="shared" si="459"/>
        <v>184.34194100000002</v>
      </c>
      <c r="BE107" s="20"/>
      <c r="BF107" s="2"/>
      <c r="BG107" s="2"/>
      <c r="BH107" s="2"/>
      <c r="BI107" s="2"/>
      <c r="BJ107" s="2"/>
      <c r="BK107" s="2"/>
    </row>
    <row r="108" spans="1:63" ht="11.25" customHeight="1">
      <c r="A108" s="2"/>
      <c r="B108" s="2" t="s">
        <v>244</v>
      </c>
      <c r="C108" s="2"/>
      <c r="D108" s="16">
        <v>13.061727000000001</v>
      </c>
      <c r="E108" s="16">
        <v>11.392379</v>
      </c>
      <c r="F108" s="16">
        <v>8.7911049999999999</v>
      </c>
      <c r="G108" s="20">
        <f t="shared" si="453"/>
        <v>11.122350999999995</v>
      </c>
      <c r="H108" s="16">
        <v>14.605540000000001</v>
      </c>
      <c r="I108" s="16">
        <v>16.395914000000001</v>
      </c>
      <c r="J108" s="16">
        <v>17.186114</v>
      </c>
      <c r="K108" s="20">
        <f t="shared" si="454"/>
        <v>18.888784999999999</v>
      </c>
      <c r="L108" s="16">
        <v>23.731218000000002</v>
      </c>
      <c r="M108" s="16">
        <v>27.041397</v>
      </c>
      <c r="N108" s="16">
        <v>31.203686000000001</v>
      </c>
      <c r="O108" s="20">
        <f t="shared" si="455"/>
        <v>34.404685999999984</v>
      </c>
      <c r="P108" s="16">
        <v>36.022649999999999</v>
      </c>
      <c r="Q108" s="16">
        <v>37.275506999999998</v>
      </c>
      <c r="R108" s="16">
        <v>28.338187999999999</v>
      </c>
      <c r="S108" s="20">
        <f t="shared" si="456"/>
        <v>32.017654999999991</v>
      </c>
      <c r="T108" s="16">
        <v>32.136633000000003</v>
      </c>
      <c r="U108" s="16">
        <v>33.747862999999995</v>
      </c>
      <c r="V108" s="56">
        <f t="shared" si="457"/>
        <v>37.9846</v>
      </c>
      <c r="W108" s="56">
        <f t="shared" si="458"/>
        <v>39.883830000000003</v>
      </c>
      <c r="X108" s="56"/>
      <c r="Y108" s="56"/>
      <c r="Z108" s="56"/>
      <c r="AA108" s="56"/>
      <c r="AB108" s="2"/>
      <c r="AC108" s="2"/>
      <c r="AD108" s="2"/>
      <c r="AE108" s="2"/>
      <c r="AF108" s="2"/>
      <c r="AG108" s="2"/>
      <c r="AH108" s="2"/>
      <c r="AI108" s="2"/>
      <c r="AJ108" s="2"/>
      <c r="AK108" s="2"/>
      <c r="AL108" s="2"/>
      <c r="AM108" s="2"/>
      <c r="AN108" s="2"/>
      <c r="AO108" s="2"/>
      <c r="AP108" s="2"/>
      <c r="AQ108" s="2"/>
      <c r="AR108" s="16"/>
      <c r="AS108" s="16"/>
      <c r="AT108" s="16"/>
      <c r="AU108" s="16"/>
      <c r="AV108" s="16"/>
      <c r="AW108" s="16">
        <v>43.871000000000002</v>
      </c>
      <c r="AX108" s="16">
        <v>51.709786999999999</v>
      </c>
      <c r="AY108" s="16">
        <v>47.914517999999994</v>
      </c>
      <c r="AZ108" s="16">
        <v>44.367562</v>
      </c>
      <c r="BA108" s="16">
        <v>67.076352999999997</v>
      </c>
      <c r="BB108" s="16">
        <v>116.38098699999999</v>
      </c>
      <c r="BC108" s="16">
        <v>133.654</v>
      </c>
      <c r="BD108" s="20">
        <f t="shared" si="459"/>
        <v>143.752926</v>
      </c>
      <c r="BE108" s="20"/>
      <c r="BF108" s="2"/>
      <c r="BG108" s="2"/>
      <c r="BH108" s="2"/>
      <c r="BI108" s="2"/>
      <c r="BJ108" s="2"/>
      <c r="BK108" s="2"/>
    </row>
    <row r="109" spans="1:63" ht="11.25" customHeight="1">
      <c r="A109" s="2"/>
      <c r="B109" s="2" t="s">
        <v>245</v>
      </c>
      <c r="C109" s="2"/>
      <c r="D109" s="16">
        <v>15.577838</v>
      </c>
      <c r="E109" s="16">
        <v>14.213141</v>
      </c>
      <c r="F109" s="16">
        <v>10.820057</v>
      </c>
      <c r="G109" s="20">
        <f t="shared" si="453"/>
        <v>13.944628999999999</v>
      </c>
      <c r="H109" s="16">
        <v>15.414084999999998</v>
      </c>
      <c r="I109" s="16">
        <v>13.540616</v>
      </c>
      <c r="J109" s="16">
        <v>13.204540999999999</v>
      </c>
      <c r="K109" s="20">
        <f t="shared" si="454"/>
        <v>13.417980999999997</v>
      </c>
      <c r="L109" s="16">
        <v>14.478835999999999</v>
      </c>
      <c r="M109" s="16">
        <v>15.245696000000001</v>
      </c>
      <c r="N109" s="16">
        <v>14.900562000000001</v>
      </c>
      <c r="O109" s="20">
        <f t="shared" si="455"/>
        <v>11.533677999999995</v>
      </c>
      <c r="P109" s="16">
        <v>10.929154</v>
      </c>
      <c r="Q109" s="16">
        <v>13.657808999999999</v>
      </c>
      <c r="R109" s="16">
        <v>13.570337</v>
      </c>
      <c r="S109" s="20">
        <f t="shared" si="456"/>
        <v>8.8427000000000007</v>
      </c>
      <c r="T109" s="16">
        <v>11.737785000000001</v>
      </c>
      <c r="U109" s="16">
        <v>14.119376000000001</v>
      </c>
      <c r="V109" s="56">
        <f t="shared" si="457"/>
        <v>7.5969199999999999</v>
      </c>
      <c r="W109" s="56">
        <f t="shared" si="458"/>
        <v>7.9767660000000005</v>
      </c>
      <c r="X109" s="56"/>
      <c r="Y109" s="56"/>
      <c r="Z109" s="56"/>
      <c r="AA109" s="56"/>
      <c r="AB109" s="2"/>
      <c r="AC109" s="2"/>
      <c r="AD109" s="2"/>
      <c r="AE109" s="2"/>
      <c r="AF109" s="2"/>
      <c r="AG109" s="2"/>
      <c r="AH109" s="2"/>
      <c r="AI109" s="2"/>
      <c r="AJ109" s="2"/>
      <c r="AK109" s="2"/>
      <c r="AL109" s="2"/>
      <c r="AM109" s="2"/>
      <c r="AN109" s="2"/>
      <c r="AO109" s="2"/>
      <c r="AP109" s="2"/>
      <c r="AQ109" s="2"/>
      <c r="AR109" s="16"/>
      <c r="AS109" s="16"/>
      <c r="AT109" s="16"/>
      <c r="AU109" s="16"/>
      <c r="AV109" s="16"/>
      <c r="AW109" s="16">
        <v>63.097000000000001</v>
      </c>
      <c r="AX109" s="16">
        <v>58.470178999999995</v>
      </c>
      <c r="AY109" s="16">
        <v>53.733394999999994</v>
      </c>
      <c r="AZ109" s="16">
        <v>54.555664999999998</v>
      </c>
      <c r="BA109" s="16">
        <v>55.577222999999996</v>
      </c>
      <c r="BB109" s="16">
        <v>56.158771999999999</v>
      </c>
      <c r="BC109" s="16">
        <v>47</v>
      </c>
      <c r="BD109" s="20">
        <f t="shared" si="459"/>
        <v>41.430847</v>
      </c>
      <c r="BE109" s="20"/>
      <c r="BF109" s="2"/>
      <c r="BG109" s="2"/>
      <c r="BH109" s="2"/>
      <c r="BI109" s="2"/>
      <c r="BJ109" s="2"/>
      <c r="BK109" s="2"/>
    </row>
    <row r="110" spans="1:63" ht="13.5" customHeight="1">
      <c r="A110" s="2"/>
      <c r="B110" s="2" t="s">
        <v>188</v>
      </c>
      <c r="C110" s="2"/>
      <c r="D110" s="17">
        <v>10.436918</v>
      </c>
      <c r="E110" s="17">
        <v>9.867604</v>
      </c>
      <c r="F110" s="17">
        <v>11.718427999999999</v>
      </c>
      <c r="G110" s="21">
        <f t="shared" si="453"/>
        <v>12.839849000000008</v>
      </c>
      <c r="H110" s="17">
        <v>11.21669</v>
      </c>
      <c r="I110" s="17">
        <v>11.680896000000001</v>
      </c>
      <c r="J110" s="17">
        <v>11.717914</v>
      </c>
      <c r="K110" s="21">
        <f t="shared" si="454"/>
        <v>14.268647000000001</v>
      </c>
      <c r="L110" s="17">
        <v>15.574987999999999</v>
      </c>
      <c r="M110" s="17">
        <v>16.708735000000001</v>
      </c>
      <c r="N110" s="17">
        <v>18.321069999999999</v>
      </c>
      <c r="O110" s="21">
        <f t="shared" si="455"/>
        <v>23.368773999999988</v>
      </c>
      <c r="P110" s="17">
        <v>19.056429999999999</v>
      </c>
      <c r="Q110" s="17">
        <v>18.012812999999998</v>
      </c>
      <c r="R110" s="17">
        <v>17.596657999999998</v>
      </c>
      <c r="S110" s="21">
        <f t="shared" si="456"/>
        <v>14.816099000000001</v>
      </c>
      <c r="T110" s="17">
        <v>13.64372</v>
      </c>
      <c r="U110" s="17">
        <v>14.360771000000002</v>
      </c>
      <c r="V110" s="24">
        <f t="shared" si="457"/>
        <v>15.19384</v>
      </c>
      <c r="W110" s="24">
        <f t="shared" si="458"/>
        <v>16.713224</v>
      </c>
      <c r="X110" s="24"/>
      <c r="Y110" s="24"/>
      <c r="Z110" s="24"/>
      <c r="AA110" s="24"/>
      <c r="AB110" s="2"/>
      <c r="AC110" s="2"/>
      <c r="AD110" s="2"/>
      <c r="AE110" s="2"/>
      <c r="AF110" s="2"/>
      <c r="AG110" s="2"/>
      <c r="AH110" s="2"/>
      <c r="AI110" s="2"/>
      <c r="AJ110" s="2"/>
      <c r="AK110" s="2"/>
      <c r="AL110" s="2"/>
      <c r="AM110" s="2"/>
      <c r="AN110" s="2"/>
      <c r="AO110" s="2"/>
      <c r="AP110" s="2"/>
      <c r="AQ110" s="2"/>
      <c r="AR110" s="17"/>
      <c r="AS110" s="17"/>
      <c r="AT110" s="17"/>
      <c r="AU110" s="17"/>
      <c r="AV110" s="17"/>
      <c r="AW110" s="17">
        <v>49.134</v>
      </c>
      <c r="AX110" s="17">
        <v>47.839802000000006</v>
      </c>
      <c r="AY110" s="17">
        <v>42.559654000000002</v>
      </c>
      <c r="AZ110" s="17">
        <v>44.862799000000003</v>
      </c>
      <c r="BA110" s="17">
        <v>48.884146999999999</v>
      </c>
      <c r="BB110" s="17">
        <v>73.973566999999989</v>
      </c>
      <c r="BC110" s="17">
        <v>69.481999999999999</v>
      </c>
      <c r="BD110" s="21">
        <f t="shared" si="459"/>
        <v>59.911555000000007</v>
      </c>
      <c r="BE110" s="21"/>
      <c r="BF110" s="2"/>
      <c r="BG110" s="2"/>
      <c r="BH110" s="2"/>
      <c r="BI110" s="2"/>
      <c r="BJ110" s="2"/>
      <c r="BK110" s="2"/>
    </row>
    <row r="111" spans="1:63" ht="11.25" customHeight="1">
      <c r="A111" s="2"/>
      <c r="B111" s="635" t="s">
        <v>897</v>
      </c>
      <c r="C111" s="2"/>
      <c r="D111" s="20">
        <f>SUM(D105:D110)</f>
        <v>310.59718300000003</v>
      </c>
      <c r="E111" s="20">
        <f t="shared" ref="E111:W111" si="460">SUM(E105:E110)</f>
        <v>310.79836699999998</v>
      </c>
      <c r="F111" s="20">
        <f t="shared" si="460"/>
        <v>356.42620400000004</v>
      </c>
      <c r="G111" s="20">
        <f t="shared" si="460"/>
        <v>361.43305700000008</v>
      </c>
      <c r="H111" s="20">
        <f t="shared" si="460"/>
        <v>362.41023000000007</v>
      </c>
      <c r="I111" s="20">
        <f t="shared" si="460"/>
        <v>372.14512200000001</v>
      </c>
      <c r="J111" s="20">
        <f t="shared" si="460"/>
        <v>414.67037899999997</v>
      </c>
      <c r="K111" s="20">
        <f t="shared" si="460"/>
        <v>438.18930599999999</v>
      </c>
      <c r="L111" s="20">
        <f t="shared" si="460"/>
        <v>491.07587300000006</v>
      </c>
      <c r="M111" s="20">
        <f t="shared" si="460"/>
        <v>534.14080800000011</v>
      </c>
      <c r="N111" s="20">
        <f t="shared" si="460"/>
        <v>613.14274299999988</v>
      </c>
      <c r="O111" s="20">
        <f t="shared" si="460"/>
        <v>625.53186800000003</v>
      </c>
      <c r="P111" s="20">
        <f t="shared" si="460"/>
        <v>508.63297299999999</v>
      </c>
      <c r="Q111" s="20">
        <f t="shared" si="460"/>
        <v>480.84125399999999</v>
      </c>
      <c r="R111" s="20">
        <f t="shared" si="460"/>
        <v>546.73275799999999</v>
      </c>
      <c r="S111" s="20">
        <f t="shared" si="460"/>
        <v>625.52901499999996</v>
      </c>
      <c r="T111" s="20">
        <f t="shared" si="460"/>
        <v>592.64420100000007</v>
      </c>
      <c r="U111" s="20">
        <f t="shared" ref="U111" si="461">SUM(U105:U110)</f>
        <v>673.51017699999989</v>
      </c>
      <c r="V111" s="20">
        <f>+V301</f>
        <v>759.69200000000001</v>
      </c>
      <c r="W111" s="20">
        <f t="shared" ca="1" si="460"/>
        <v>861.14380817135782</v>
      </c>
      <c r="X111" s="20">
        <f>+T111*(1+X120)</f>
        <v>800.06967135000014</v>
      </c>
      <c r="Y111" s="20">
        <f>+U111*(1+Y120)</f>
        <v>808.21221239999988</v>
      </c>
      <c r="Z111" s="20">
        <f>+V111*(1+Z120)</f>
        <v>911.63040000000001</v>
      </c>
      <c r="AA111" s="20">
        <f ca="1">+W111*(1+AA120)</f>
        <v>1033.3725698056294</v>
      </c>
      <c r="AB111" s="2"/>
      <c r="AC111" s="2"/>
      <c r="AD111" s="2"/>
      <c r="AE111" s="2"/>
      <c r="AF111" s="2"/>
      <c r="AG111" s="2"/>
      <c r="AH111" s="2"/>
      <c r="AI111" s="2"/>
      <c r="AJ111" s="2"/>
      <c r="AK111" s="2"/>
      <c r="AL111" s="2"/>
      <c r="AM111" s="2"/>
      <c r="AN111" s="2"/>
      <c r="AO111" s="2"/>
      <c r="AP111" s="2"/>
      <c r="AQ111" s="2"/>
      <c r="AR111" s="20"/>
      <c r="AS111" s="20"/>
      <c r="AT111" s="20"/>
      <c r="AU111" s="20"/>
      <c r="AV111" s="20"/>
      <c r="AW111" s="20">
        <f t="shared" ref="AW111:AZ111" si="462">SUM(AW105:AW110)</f>
        <v>977.44699999999989</v>
      </c>
      <c r="AX111" s="20">
        <f t="shared" si="462"/>
        <v>1031.473557</v>
      </c>
      <c r="AY111" s="20">
        <f t="shared" si="462"/>
        <v>1069.9854480000001</v>
      </c>
      <c r="AZ111" s="20">
        <f t="shared" si="462"/>
        <v>1339.254811</v>
      </c>
      <c r="BA111" s="20">
        <f t="shared" ref="BA111" si="463">SUM(BA105:BA110)</f>
        <v>1587.4150369999998</v>
      </c>
      <c r="BB111" s="20">
        <f t="shared" ref="BB111:BD111" si="464">SUM(BB105:BB110)</f>
        <v>2263.8912920000002</v>
      </c>
      <c r="BC111" s="20">
        <f t="shared" si="464"/>
        <v>2161.7359999999999</v>
      </c>
      <c r="BD111" s="20">
        <f t="shared" ca="1" si="464"/>
        <v>2886.9901861713583</v>
      </c>
      <c r="BE111" s="20">
        <f ca="1">+SUM(X111:AA111)</f>
        <v>3553.2848535556295</v>
      </c>
      <c r="BF111" s="2"/>
      <c r="BG111" s="2"/>
      <c r="BH111" s="2"/>
      <c r="BI111" s="2"/>
      <c r="BJ111" s="2"/>
      <c r="BK111" s="2"/>
    </row>
    <row r="112" spans="1:63" ht="11.25" customHeight="1">
      <c r="A112" s="2"/>
      <c r="B112" s="65"/>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row>
    <row r="113" spans="1:63" ht="11.25" customHeight="1">
      <c r="A113" s="2"/>
      <c r="B113" s="32" t="s">
        <v>249</v>
      </c>
      <c r="C113" s="6"/>
      <c r="D113" s="6"/>
      <c r="E113" s="6"/>
      <c r="F113" s="6"/>
      <c r="G113" s="6"/>
      <c r="H113" s="6"/>
      <c r="I113" s="6"/>
      <c r="J113" s="6"/>
      <c r="K113" s="6"/>
      <c r="L113" s="6"/>
      <c r="M113" s="6"/>
      <c r="N113" s="6"/>
      <c r="O113" s="6"/>
      <c r="P113" s="6"/>
      <c r="Q113" s="6"/>
      <c r="R113" s="6"/>
      <c r="S113" s="6"/>
      <c r="T113" s="6"/>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row>
    <row r="114" spans="1:63" ht="11.25" customHeight="1">
      <c r="A114" s="2"/>
      <c r="B114" s="9" t="s">
        <v>242</v>
      </c>
      <c r="C114" s="6"/>
      <c r="D114" s="120"/>
      <c r="E114" s="120"/>
      <c r="F114" s="120"/>
      <c r="G114" s="120"/>
      <c r="H114" s="120">
        <f t="shared" ref="H114:W120" si="465">IFERROR((H105/D105)-1,"n/a")</f>
        <v>7.4221188833949014E-2</v>
      </c>
      <c r="I114" s="120">
        <f t="shared" si="465"/>
        <v>8.160108827606849E-2</v>
      </c>
      <c r="J114" s="120">
        <f t="shared" si="465"/>
        <v>0.10495117175637247</v>
      </c>
      <c r="K114" s="120">
        <f t="shared" si="465"/>
        <v>5.1356143595777448E-2</v>
      </c>
      <c r="L114" s="120">
        <f t="shared" si="465"/>
        <v>0.20092236769791105</v>
      </c>
      <c r="M114" s="120">
        <f t="shared" si="465"/>
        <v>0.27773237289232089</v>
      </c>
      <c r="N114" s="120">
        <f t="shared" si="465"/>
        <v>0.38981345872804152</v>
      </c>
      <c r="O114" s="120">
        <f t="shared" si="465"/>
        <v>0.24169561168710074</v>
      </c>
      <c r="P114" s="120">
        <f t="shared" si="465"/>
        <v>-0.11034505457436627</v>
      </c>
      <c r="Q114" s="120">
        <f t="shared" si="465"/>
        <v>-0.20931620713452304</v>
      </c>
      <c r="R114" s="120">
        <f t="shared" si="465"/>
        <v>-0.15560784482478029</v>
      </c>
      <c r="S114" s="120">
        <f t="shared" si="465"/>
        <v>0.12037114050430597</v>
      </c>
      <c r="T114" s="120">
        <f t="shared" si="465"/>
        <v>0.29052705769882281</v>
      </c>
      <c r="U114" s="120">
        <f t="shared" si="465"/>
        <v>0.39642177327794936</v>
      </c>
      <c r="V114" s="120">
        <f t="shared" si="465"/>
        <v>0.21836719802739624</v>
      </c>
      <c r="W114" s="120">
        <f t="shared" ca="1" si="465"/>
        <v>8.6712306040497955E-2</v>
      </c>
      <c r="X114" s="120"/>
      <c r="Y114" s="120"/>
      <c r="Z114" s="120"/>
      <c r="AA114" s="120"/>
      <c r="AB114" s="2"/>
      <c r="AC114" s="2"/>
      <c r="AD114" s="2"/>
      <c r="AE114" s="2"/>
      <c r="AF114" s="2"/>
      <c r="AG114" s="2"/>
      <c r="AH114" s="2"/>
      <c r="AI114" s="2"/>
      <c r="AJ114" s="2"/>
      <c r="AK114" s="2"/>
      <c r="AL114" s="2"/>
      <c r="AM114" s="2"/>
      <c r="AN114" s="2"/>
      <c r="AO114" s="2"/>
      <c r="AP114" s="2"/>
      <c r="AQ114" s="2"/>
      <c r="AR114" s="2"/>
      <c r="AS114" s="2"/>
      <c r="AT114" s="2"/>
      <c r="AU114" s="2"/>
      <c r="AV114" s="2"/>
      <c r="AW114" s="120"/>
      <c r="AX114" s="120">
        <f t="shared" ref="AX114:BD120" si="466">IFERROR((AX105/AW105)-1,"n/a")</f>
        <v>-7.4820687261367591E-2</v>
      </c>
      <c r="AY114" s="120">
        <f t="shared" si="466"/>
        <v>0.12254325994504733</v>
      </c>
      <c r="AZ114" s="120">
        <f t="shared" si="466"/>
        <v>0.23240595982073864</v>
      </c>
      <c r="BA114" s="120">
        <f t="shared" si="466"/>
        <v>7.7153725776520465E-2</v>
      </c>
      <c r="BB114" s="120">
        <f t="shared" si="466"/>
        <v>0.27879515883549733</v>
      </c>
      <c r="BC114" s="120">
        <f t="shared" si="466"/>
        <v>-8.3211808578049218E-2</v>
      </c>
      <c r="BD114" s="120">
        <f t="shared" ca="1" si="466"/>
        <v>0.22514171455068621</v>
      </c>
      <c r="BE114" s="120"/>
      <c r="BF114" s="2"/>
      <c r="BG114" s="2"/>
      <c r="BH114" s="2"/>
      <c r="BI114" s="2"/>
      <c r="BJ114" s="2"/>
      <c r="BK114" s="2"/>
    </row>
    <row r="115" spans="1:63" ht="11.25" customHeight="1">
      <c r="A115" s="2"/>
      <c r="B115" s="9" t="s">
        <v>241</v>
      </c>
      <c r="C115" s="6"/>
      <c r="D115" s="120"/>
      <c r="E115" s="120"/>
      <c r="F115" s="120"/>
      <c r="G115" s="120"/>
      <c r="H115" s="120">
        <f t="shared" si="465"/>
        <v>0.37475453420939364</v>
      </c>
      <c r="I115" s="120">
        <f t="shared" si="465"/>
        <v>0.37722964786122604</v>
      </c>
      <c r="J115" s="120">
        <f t="shared" si="465"/>
        <v>0.19344209541030288</v>
      </c>
      <c r="K115" s="120">
        <f t="shared" si="465"/>
        <v>0.43295355946094816</v>
      </c>
      <c r="L115" s="120">
        <f t="shared" si="465"/>
        <v>0.58197593748044252</v>
      </c>
      <c r="M115" s="120">
        <f t="shared" si="465"/>
        <v>0.59661797216944179</v>
      </c>
      <c r="N115" s="120">
        <f t="shared" si="465"/>
        <v>0.53079543270311058</v>
      </c>
      <c r="O115" s="120">
        <f t="shared" si="465"/>
        <v>0.63414822822258854</v>
      </c>
      <c r="P115" s="120">
        <f t="shared" si="465"/>
        <v>0.11514180002980723</v>
      </c>
      <c r="Q115" s="120">
        <f t="shared" si="465"/>
        <v>-6.3690431237053757E-2</v>
      </c>
      <c r="R115" s="120">
        <f t="shared" si="465"/>
        <v>-4.3740839962389422E-2</v>
      </c>
      <c r="S115" s="120">
        <f t="shared" si="465"/>
        <v>1.5593316369347132E-2</v>
      </c>
      <c r="T115" s="120">
        <f t="shared" si="465"/>
        <v>0.21833235450712052</v>
      </c>
      <c r="U115" s="120">
        <f t="shared" si="465"/>
        <v>0.63926857584092223</v>
      </c>
      <c r="V115" s="120">
        <f t="shared" si="465"/>
        <v>0.70067915204084774</v>
      </c>
      <c r="W115" s="120">
        <f t="shared" si="465"/>
        <v>0.66838023123245649</v>
      </c>
      <c r="X115" s="120"/>
      <c r="Y115" s="120"/>
      <c r="Z115" s="120"/>
      <c r="AA115" s="120"/>
      <c r="AB115" s="2"/>
      <c r="AC115" s="2"/>
      <c r="AD115" s="2"/>
      <c r="AE115" s="2"/>
      <c r="AF115" s="2"/>
      <c r="AG115" s="2"/>
      <c r="AH115" s="2"/>
      <c r="AI115" s="2"/>
      <c r="AJ115" s="2"/>
      <c r="AK115" s="2"/>
      <c r="AL115" s="2"/>
      <c r="AM115" s="2"/>
      <c r="AN115" s="2"/>
      <c r="AO115" s="2"/>
      <c r="AP115" s="2"/>
      <c r="AQ115" s="2"/>
      <c r="AR115" s="2"/>
      <c r="AS115" s="2"/>
      <c r="AT115" s="2"/>
      <c r="AU115" s="2"/>
      <c r="AV115" s="2"/>
      <c r="AW115" s="120"/>
      <c r="AX115" s="120">
        <f t="shared" si="466"/>
        <v>0.28831169883267882</v>
      </c>
      <c r="AY115" s="120">
        <f t="shared" si="466"/>
        <v>-7.6300398120623392E-2</v>
      </c>
      <c r="AZ115" s="120">
        <f t="shared" si="466"/>
        <v>0.39258680809285806</v>
      </c>
      <c r="BA115" s="120">
        <f t="shared" si="466"/>
        <v>0.33644111180522907</v>
      </c>
      <c r="BB115" s="120">
        <f t="shared" si="466"/>
        <v>0.58627973149089585</v>
      </c>
      <c r="BC115" s="120">
        <f t="shared" si="466"/>
        <v>2.5582503488754682E-3</v>
      </c>
      <c r="BD115" s="120">
        <f t="shared" si="466"/>
        <v>0.56099291054795364</v>
      </c>
      <c r="BE115" s="120"/>
      <c r="BF115" s="2"/>
      <c r="BG115" s="2"/>
      <c r="BH115" s="2"/>
      <c r="BI115" s="2"/>
      <c r="BJ115" s="2"/>
      <c r="BK115" s="2"/>
    </row>
    <row r="116" spans="1:63" ht="11.25" customHeight="1">
      <c r="A116" s="2"/>
      <c r="B116" s="9" t="s">
        <v>243</v>
      </c>
      <c r="C116" s="6"/>
      <c r="D116" s="120"/>
      <c r="E116" s="120"/>
      <c r="F116" s="120"/>
      <c r="G116" s="120"/>
      <c r="H116" s="120">
        <f t="shared" si="465"/>
        <v>0.13261177614686948</v>
      </c>
      <c r="I116" s="120">
        <f t="shared" si="465"/>
        <v>0.15871608029433948</v>
      </c>
      <c r="J116" s="120">
        <f t="shared" si="465"/>
        <v>0.16284452148970918</v>
      </c>
      <c r="K116" s="120">
        <f t="shared" si="465"/>
        <v>0.36837495980934909</v>
      </c>
      <c r="L116" s="120">
        <f t="shared" si="465"/>
        <v>0.29622294206989408</v>
      </c>
      <c r="M116" s="120">
        <f t="shared" si="465"/>
        <v>0.51908255867531961</v>
      </c>
      <c r="N116" s="120">
        <f t="shared" si="465"/>
        <v>0.63745582859669558</v>
      </c>
      <c r="O116" s="120">
        <f t="shared" si="465"/>
        <v>0.42464942828685959</v>
      </c>
      <c r="P116" s="120">
        <f t="shared" si="465"/>
        <v>9.4111462763897036E-2</v>
      </c>
      <c r="Q116" s="120">
        <f t="shared" si="465"/>
        <v>-0.14512538156053478</v>
      </c>
      <c r="R116" s="120">
        <f t="shared" si="465"/>
        <v>-0.20199699491169631</v>
      </c>
      <c r="S116" s="120">
        <f t="shared" si="465"/>
        <v>-0.36582179990097685</v>
      </c>
      <c r="T116" s="120">
        <f t="shared" si="465"/>
        <v>-0.17320705807502412</v>
      </c>
      <c r="U116" s="120">
        <f t="shared" si="465"/>
        <v>-2.1552775160246451E-2</v>
      </c>
      <c r="V116" s="120">
        <f t="shared" si="465"/>
        <v>0.12167584890815109</v>
      </c>
      <c r="W116" s="120">
        <f t="shared" si="465"/>
        <v>0.74003664601235886</v>
      </c>
      <c r="X116" s="120"/>
      <c r="Y116" s="120"/>
      <c r="Z116" s="120"/>
      <c r="AA116" s="120"/>
      <c r="AB116" s="2"/>
      <c r="AC116" s="2"/>
      <c r="AD116" s="2"/>
      <c r="AE116" s="2"/>
      <c r="AF116" s="2"/>
      <c r="AG116" s="2"/>
      <c r="AH116" s="2"/>
      <c r="AI116" s="2"/>
      <c r="AJ116" s="2"/>
      <c r="AK116" s="2"/>
      <c r="AL116" s="2"/>
      <c r="AM116" s="2"/>
      <c r="AN116" s="2"/>
      <c r="AO116" s="2"/>
      <c r="AP116" s="2"/>
      <c r="AQ116" s="2"/>
      <c r="AR116" s="2"/>
      <c r="AS116" s="2"/>
      <c r="AT116" s="2"/>
      <c r="AU116" s="2"/>
      <c r="AV116" s="2"/>
      <c r="AW116" s="120"/>
      <c r="AX116" s="120">
        <f t="shared" si="466"/>
        <v>0.25717154666254616</v>
      </c>
      <c r="AY116" s="120">
        <f t="shared" si="466"/>
        <v>0.32648585032405397</v>
      </c>
      <c r="AZ116" s="120">
        <f t="shared" si="466"/>
        <v>0.27810665004978374</v>
      </c>
      <c r="BA116" s="120">
        <f t="shared" si="466"/>
        <v>0.20525352192775936</v>
      </c>
      <c r="BB116" s="120">
        <f t="shared" si="466"/>
        <v>0.47448248924208136</v>
      </c>
      <c r="BC116" s="120">
        <f t="shared" si="466"/>
        <v>-0.17437722390895083</v>
      </c>
      <c r="BD116" s="120">
        <f t="shared" si="466"/>
        <v>0.13849651982188416</v>
      </c>
      <c r="BE116" s="120"/>
      <c r="BF116" s="2"/>
      <c r="BG116" s="2"/>
      <c r="BH116" s="2"/>
      <c r="BI116" s="2"/>
      <c r="BJ116" s="2"/>
      <c r="BK116" s="2"/>
    </row>
    <row r="117" spans="1:63" ht="11.25" customHeight="1">
      <c r="A117" s="2"/>
      <c r="B117" s="9" t="s">
        <v>244</v>
      </c>
      <c r="C117" s="6"/>
      <c r="D117" s="120"/>
      <c r="E117" s="120"/>
      <c r="F117" s="120"/>
      <c r="G117" s="120"/>
      <c r="H117" s="120">
        <f t="shared" si="465"/>
        <v>0.11819363549705186</v>
      </c>
      <c r="I117" s="120">
        <f t="shared" si="465"/>
        <v>0.43920018812576389</v>
      </c>
      <c r="J117" s="120">
        <f t="shared" si="465"/>
        <v>0.95494354805226411</v>
      </c>
      <c r="K117" s="120">
        <f t="shared" si="465"/>
        <v>0.69827269432514827</v>
      </c>
      <c r="L117" s="120">
        <f t="shared" si="465"/>
        <v>0.6248093531632517</v>
      </c>
      <c r="M117" s="120">
        <f t="shared" si="465"/>
        <v>0.6492765819581634</v>
      </c>
      <c r="N117" s="120">
        <f t="shared" si="465"/>
        <v>0.81563359814790015</v>
      </c>
      <c r="O117" s="120">
        <f t="shared" si="465"/>
        <v>0.82143457083131532</v>
      </c>
      <c r="P117" s="120">
        <f t="shared" si="465"/>
        <v>0.51794357963421844</v>
      </c>
      <c r="Q117" s="120">
        <f t="shared" si="465"/>
        <v>0.37846084653096868</v>
      </c>
      <c r="R117" s="120">
        <f t="shared" si="465"/>
        <v>-9.1832035484525787E-2</v>
      </c>
      <c r="S117" s="120">
        <f t="shared" si="465"/>
        <v>-6.938098490420741E-2</v>
      </c>
      <c r="T117" s="120">
        <f t="shared" si="465"/>
        <v>-0.10787704402646658</v>
      </c>
      <c r="U117" s="120">
        <f t="shared" si="465"/>
        <v>-9.463704947058138E-2</v>
      </c>
      <c r="V117" s="120">
        <f t="shared" si="465"/>
        <v>0.34040327490240374</v>
      </c>
      <c r="W117" s="120">
        <f t="shared" si="465"/>
        <v>0.24568242115170569</v>
      </c>
      <c r="X117" s="120"/>
      <c r="Y117" s="120"/>
      <c r="Z117" s="120"/>
      <c r="AA117" s="120"/>
      <c r="AB117" s="2"/>
      <c r="AC117" s="2"/>
      <c r="AD117" s="2"/>
      <c r="AE117" s="2"/>
      <c r="AF117" s="2"/>
      <c r="AG117" s="2"/>
      <c r="AH117" s="2"/>
      <c r="AI117" s="2"/>
      <c r="AJ117" s="2"/>
      <c r="AK117" s="2"/>
      <c r="AL117" s="2"/>
      <c r="AM117" s="2"/>
      <c r="AN117" s="2"/>
      <c r="AO117" s="2"/>
      <c r="AP117" s="2"/>
      <c r="AQ117" s="2"/>
      <c r="AR117" s="2"/>
      <c r="AS117" s="2"/>
      <c r="AT117" s="2"/>
      <c r="AU117" s="2"/>
      <c r="AV117" s="2"/>
      <c r="AW117" s="120"/>
      <c r="AX117" s="120">
        <f t="shared" si="466"/>
        <v>0.17867810170727805</v>
      </c>
      <c r="AY117" s="120">
        <f t="shared" si="466"/>
        <v>-7.3395564363860299E-2</v>
      </c>
      <c r="AZ117" s="120">
        <f t="shared" si="466"/>
        <v>-7.402674905338702E-2</v>
      </c>
      <c r="BA117" s="120">
        <f t="shared" si="466"/>
        <v>0.51183319471103683</v>
      </c>
      <c r="BB117" s="120">
        <f t="shared" si="466"/>
        <v>0.73505239618498641</v>
      </c>
      <c r="BC117" s="120">
        <f t="shared" si="466"/>
        <v>0.14841782532743086</v>
      </c>
      <c r="BD117" s="120">
        <f t="shared" si="466"/>
        <v>7.5560222664492027E-2</v>
      </c>
      <c r="BE117" s="120"/>
      <c r="BF117" s="2"/>
      <c r="BG117" s="2"/>
      <c r="BH117" s="2"/>
      <c r="BI117" s="2"/>
      <c r="BJ117" s="2"/>
      <c r="BK117" s="2"/>
    </row>
    <row r="118" spans="1:63" ht="11.25" customHeight="1">
      <c r="A118" s="2"/>
      <c r="B118" s="9" t="s">
        <v>245</v>
      </c>
      <c r="C118" s="6"/>
      <c r="D118" s="120"/>
      <c r="E118" s="120"/>
      <c r="F118" s="120"/>
      <c r="G118" s="120"/>
      <c r="H118" s="120">
        <f t="shared" si="465"/>
        <v>-1.0511920845498679E-2</v>
      </c>
      <c r="I118" s="120">
        <f t="shared" si="465"/>
        <v>-4.7317127157185057E-2</v>
      </c>
      <c r="J118" s="120">
        <f t="shared" si="465"/>
        <v>0.22037628822103228</v>
      </c>
      <c r="K118" s="120">
        <f t="shared" si="465"/>
        <v>-3.7767085807733025E-2</v>
      </c>
      <c r="L118" s="120">
        <f t="shared" si="465"/>
        <v>-6.0674960596104111E-2</v>
      </c>
      <c r="M118" s="120">
        <f t="shared" si="465"/>
        <v>0.12592337010369392</v>
      </c>
      <c r="N118" s="120">
        <f t="shared" si="465"/>
        <v>0.1284422533127052</v>
      </c>
      <c r="O118" s="120">
        <f t="shared" si="465"/>
        <v>-0.14043118707650604</v>
      </c>
      <c r="P118" s="120">
        <f t="shared" si="465"/>
        <v>-0.24516349242439095</v>
      </c>
      <c r="Q118" s="120">
        <f t="shared" si="465"/>
        <v>-0.10415313279236327</v>
      </c>
      <c r="R118" s="120">
        <f t="shared" si="465"/>
        <v>-8.9273478409740536E-2</v>
      </c>
      <c r="S118" s="120">
        <f t="shared" si="465"/>
        <v>-0.2333148194357425</v>
      </c>
      <c r="T118" s="120">
        <f t="shared" si="465"/>
        <v>7.3988434969440409E-2</v>
      </c>
      <c r="U118" s="120">
        <f t="shared" si="465"/>
        <v>3.3795098467111595E-2</v>
      </c>
      <c r="V118" s="120">
        <f t="shared" si="465"/>
        <v>-0.44018192031634884</v>
      </c>
      <c r="W118" s="120">
        <f t="shared" si="465"/>
        <v>-9.7926425186877331E-2</v>
      </c>
      <c r="X118" s="120"/>
      <c r="Y118" s="120"/>
      <c r="Z118" s="120"/>
      <c r="AA118" s="120"/>
      <c r="AB118" s="2"/>
      <c r="AC118" s="2"/>
      <c r="AD118" s="2"/>
      <c r="AE118" s="2"/>
      <c r="AF118" s="2"/>
      <c r="AG118" s="2"/>
      <c r="AH118" s="2"/>
      <c r="AI118" s="2"/>
      <c r="AJ118" s="2"/>
      <c r="AK118" s="2"/>
      <c r="AL118" s="2"/>
      <c r="AM118" s="2"/>
      <c r="AN118" s="2"/>
      <c r="AO118" s="2"/>
      <c r="AP118" s="2"/>
      <c r="AQ118" s="2"/>
      <c r="AR118" s="2"/>
      <c r="AS118" s="2"/>
      <c r="AT118" s="2"/>
      <c r="AU118" s="2"/>
      <c r="AV118" s="2"/>
      <c r="AW118" s="120"/>
      <c r="AX118" s="120">
        <f t="shared" si="466"/>
        <v>-7.3328700255162804E-2</v>
      </c>
      <c r="AY118" s="120">
        <f t="shared" si="466"/>
        <v>-8.1011963380512308E-2</v>
      </c>
      <c r="AZ118" s="120">
        <f t="shared" si="466"/>
        <v>1.530277400115887E-2</v>
      </c>
      <c r="BA118" s="120">
        <f t="shared" si="466"/>
        <v>1.8725058158488128E-2</v>
      </c>
      <c r="BB118" s="120">
        <f t="shared" si="466"/>
        <v>1.0463800971128201E-2</v>
      </c>
      <c r="BC118" s="120">
        <f t="shared" si="466"/>
        <v>-0.1630871130871594</v>
      </c>
      <c r="BD118" s="120">
        <f t="shared" si="466"/>
        <v>-0.11849261702127656</v>
      </c>
      <c r="BE118" s="120"/>
      <c r="BF118" s="2"/>
      <c r="BG118" s="2"/>
      <c r="BH118" s="2"/>
      <c r="BI118" s="2"/>
      <c r="BJ118" s="2"/>
      <c r="BK118" s="2"/>
    </row>
    <row r="119" spans="1:63" ht="13.5" customHeight="1">
      <c r="A119" s="2"/>
      <c r="B119" s="9" t="s">
        <v>188</v>
      </c>
      <c r="C119" s="6"/>
      <c r="D119" s="216"/>
      <c r="E119" s="216"/>
      <c r="F119" s="216"/>
      <c r="G119" s="216"/>
      <c r="H119" s="216">
        <f t="shared" si="465"/>
        <v>7.4712860635677947E-2</v>
      </c>
      <c r="I119" s="216">
        <f t="shared" si="465"/>
        <v>0.18376213719156143</v>
      </c>
      <c r="J119" s="216">
        <f t="shared" si="465"/>
        <v>-4.3862538558814279E-5</v>
      </c>
      <c r="K119" s="216">
        <f t="shared" si="465"/>
        <v>0.1112784114517229</v>
      </c>
      <c r="L119" s="216">
        <f t="shared" si="465"/>
        <v>0.38855473406147434</v>
      </c>
      <c r="M119" s="216">
        <f t="shared" si="465"/>
        <v>0.43043264831738925</v>
      </c>
      <c r="N119" s="216">
        <f t="shared" si="465"/>
        <v>0.56350951201724109</v>
      </c>
      <c r="O119" s="216">
        <f t="shared" si="465"/>
        <v>0.63777084120169114</v>
      </c>
      <c r="P119" s="216">
        <f t="shared" si="465"/>
        <v>0.22352774846439694</v>
      </c>
      <c r="Q119" s="216">
        <f t="shared" si="465"/>
        <v>7.8047679851287244E-2</v>
      </c>
      <c r="R119" s="216">
        <f t="shared" si="465"/>
        <v>-3.9539830370169504E-2</v>
      </c>
      <c r="S119" s="216">
        <f t="shared" si="465"/>
        <v>-0.36598732137167278</v>
      </c>
      <c r="T119" s="216">
        <f t="shared" si="465"/>
        <v>-0.28403588709952488</v>
      </c>
      <c r="U119" s="216">
        <f t="shared" si="465"/>
        <v>-0.20274690022041519</v>
      </c>
      <c r="V119" s="216">
        <f t="shared" si="465"/>
        <v>-0.13654967892198611</v>
      </c>
      <c r="W119" s="216">
        <f t="shared" si="465"/>
        <v>0.12804483825330792</v>
      </c>
      <c r="X119" s="216"/>
      <c r="Y119" s="216"/>
      <c r="Z119" s="216"/>
      <c r="AA119" s="216"/>
      <c r="AB119" s="2"/>
      <c r="AC119" s="2"/>
      <c r="AD119" s="2"/>
      <c r="AE119" s="2"/>
      <c r="AF119" s="2"/>
      <c r="AG119" s="2"/>
      <c r="AH119" s="2"/>
      <c r="AI119" s="2"/>
      <c r="AJ119" s="2"/>
      <c r="AK119" s="2"/>
      <c r="AL119" s="2"/>
      <c r="AM119" s="2"/>
      <c r="AN119" s="2"/>
      <c r="AO119" s="2"/>
      <c r="AP119" s="2"/>
      <c r="AQ119" s="2"/>
      <c r="AR119" s="2"/>
      <c r="AS119" s="2"/>
      <c r="AT119" s="2"/>
      <c r="AU119" s="2"/>
      <c r="AV119" s="2"/>
      <c r="AW119" s="216"/>
      <c r="AX119" s="216">
        <f t="shared" si="466"/>
        <v>-2.634017177514536E-2</v>
      </c>
      <c r="AY119" s="216">
        <f t="shared" si="466"/>
        <v>-0.1103714434269607</v>
      </c>
      <c r="AZ119" s="216">
        <f t="shared" si="466"/>
        <v>5.4115689004426537E-2</v>
      </c>
      <c r="BA119" s="216">
        <f t="shared" si="466"/>
        <v>8.9636582862339775E-2</v>
      </c>
      <c r="BB119" s="216">
        <f t="shared" si="466"/>
        <v>0.51324246283769637</v>
      </c>
      <c r="BC119" s="216">
        <f t="shared" si="466"/>
        <v>-6.071854017800693E-2</v>
      </c>
      <c r="BD119" s="216">
        <f t="shared" si="466"/>
        <v>-0.1377399182522091</v>
      </c>
      <c r="BE119" s="216"/>
      <c r="BF119" s="2"/>
      <c r="BG119" s="2"/>
      <c r="BH119" s="2"/>
      <c r="BI119" s="2"/>
      <c r="BJ119" s="2"/>
      <c r="BK119" s="2"/>
    </row>
    <row r="120" spans="1:63" ht="11.25" customHeight="1">
      <c r="A120" s="2"/>
      <c r="B120" s="36" t="s">
        <v>897</v>
      </c>
      <c r="C120" s="6"/>
      <c r="D120" s="236"/>
      <c r="E120" s="236"/>
      <c r="F120" s="236"/>
      <c r="G120" s="236"/>
      <c r="H120" s="120">
        <f t="shared" si="465"/>
        <v>0.16681750458760614</v>
      </c>
      <c r="I120" s="120">
        <f t="shared" si="465"/>
        <v>0.19738441868969026</v>
      </c>
      <c r="J120" s="120">
        <f t="shared" si="465"/>
        <v>0.16341159641562131</v>
      </c>
      <c r="K120" s="120">
        <f t="shared" si="465"/>
        <v>0.21236643276931888</v>
      </c>
      <c r="L120" s="120">
        <f t="shared" si="465"/>
        <v>0.35502762435817536</v>
      </c>
      <c r="M120" s="120">
        <f t="shared" si="465"/>
        <v>0.43530245708823267</v>
      </c>
      <c r="N120" s="120">
        <f t="shared" si="465"/>
        <v>0.47862681795267537</v>
      </c>
      <c r="O120" s="120">
        <f t="shared" si="465"/>
        <v>0.42753796004323319</v>
      </c>
      <c r="P120" s="120">
        <f t="shared" si="465"/>
        <v>3.5752316424635167E-2</v>
      </c>
      <c r="Q120" s="120">
        <f t="shared" si="465"/>
        <v>-9.9785586874688081E-2</v>
      </c>
      <c r="R120" s="120">
        <f t="shared" si="465"/>
        <v>-0.10831080650986336</v>
      </c>
      <c r="S120" s="120">
        <f t="shared" si="465"/>
        <v>-4.5609187093731407E-6</v>
      </c>
      <c r="T120" s="120">
        <f t="shared" si="465"/>
        <v>0.16517062884163436</v>
      </c>
      <c r="U120" s="120">
        <f t="shared" si="465"/>
        <v>0.40069133294457271</v>
      </c>
      <c r="V120" s="120">
        <f t="shared" si="465"/>
        <v>0.38951249743846517</v>
      </c>
      <c r="W120" s="120">
        <f t="shared" ca="1" si="465"/>
        <v>0.3766648509044106</v>
      </c>
      <c r="X120" s="142">
        <v>0.35</v>
      </c>
      <c r="Y120" s="142">
        <v>0.2</v>
      </c>
      <c r="Z120" s="142">
        <v>0.2</v>
      </c>
      <c r="AA120" s="142">
        <v>0.2</v>
      </c>
      <c r="AB120" s="2"/>
      <c r="AC120" s="2"/>
      <c r="AD120" s="2"/>
      <c r="AE120" s="2"/>
      <c r="AF120" s="2"/>
      <c r="AG120" s="2"/>
      <c r="AH120" s="2"/>
      <c r="AI120" s="2"/>
      <c r="AJ120" s="2"/>
      <c r="AK120" s="2"/>
      <c r="AL120" s="2"/>
      <c r="AM120" s="2"/>
      <c r="AN120" s="2"/>
      <c r="AO120" s="2"/>
      <c r="AP120" s="2"/>
      <c r="AQ120" s="2"/>
      <c r="AR120" s="2"/>
      <c r="AS120" s="2"/>
      <c r="AT120" s="2"/>
      <c r="AU120" s="2"/>
      <c r="AV120" s="2"/>
      <c r="AW120" s="236"/>
      <c r="AX120" s="120">
        <f t="shared" si="466"/>
        <v>5.5273131944750142E-2</v>
      </c>
      <c r="AY120" s="120">
        <f t="shared" si="466"/>
        <v>3.7336770039951839E-2</v>
      </c>
      <c r="AZ120" s="120">
        <f t="shared" si="466"/>
        <v>0.25165703281601992</v>
      </c>
      <c r="BA120" s="120">
        <f t="shared" si="466"/>
        <v>0.18529724437928463</v>
      </c>
      <c r="BB120" s="120">
        <f t="shared" si="466"/>
        <v>0.42614958232879618</v>
      </c>
      <c r="BC120" s="120">
        <f t="shared" si="466"/>
        <v>-4.5123762064455342E-2</v>
      </c>
      <c r="BD120" s="120">
        <f t="shared" ca="1" si="466"/>
        <v>0.33549618740279041</v>
      </c>
      <c r="BE120" s="120">
        <f ca="1">IFERROR((BE111/BD111)-1,"n/a")</f>
        <v>0.23079214836815631</v>
      </c>
      <c r="BF120" s="2"/>
      <c r="BG120" s="2"/>
      <c r="BH120" s="2"/>
      <c r="BI120" s="2"/>
      <c r="BJ120" s="2"/>
      <c r="BK120" s="2"/>
    </row>
    <row r="121" spans="1:63" ht="11.25" customHeight="1">
      <c r="A121" s="2"/>
      <c r="B121" s="36"/>
      <c r="C121" s="6"/>
      <c r="D121" s="236"/>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0"/>
      <c r="AA121" s="120"/>
      <c r="AB121" s="2"/>
      <c r="AC121" s="2"/>
      <c r="AD121" s="2"/>
      <c r="AE121" s="2"/>
      <c r="AF121" s="2"/>
      <c r="AG121" s="2"/>
      <c r="AH121" s="2"/>
      <c r="AI121" s="2"/>
      <c r="AJ121" s="2"/>
      <c r="AK121" s="2"/>
      <c r="AL121" s="2"/>
      <c r="AM121" s="2"/>
      <c r="AN121" s="2"/>
      <c r="AO121" s="2"/>
      <c r="AP121" s="2"/>
      <c r="AQ121" s="2"/>
      <c r="AR121" s="2"/>
      <c r="AS121" s="2"/>
      <c r="AT121" s="2"/>
      <c r="AU121" s="2"/>
      <c r="AV121" s="2"/>
      <c r="AW121" s="236"/>
      <c r="AX121" s="120"/>
      <c r="AY121" s="120"/>
      <c r="AZ121" s="120"/>
      <c r="BA121" s="120"/>
      <c r="BB121" s="120"/>
      <c r="BC121" s="120"/>
      <c r="BD121" s="120"/>
      <c r="BE121" s="120"/>
      <c r="BF121" s="2"/>
      <c r="BG121" s="2"/>
      <c r="BH121" s="2"/>
      <c r="BI121" s="2"/>
      <c r="BJ121" s="2"/>
      <c r="BK121" s="2"/>
    </row>
    <row r="122" spans="1:63" ht="11.25" customHeight="1">
      <c r="A122" s="2"/>
      <c r="B122" s="36" t="s">
        <v>412</v>
      </c>
      <c r="C122" s="6"/>
      <c r="D122" s="236">
        <f>D123+0.25</f>
        <v>0.23544154091075883</v>
      </c>
      <c r="E122" s="236">
        <f t="shared" ref="E122:W122" si="467">E123+0.25</f>
        <v>0.22600815036812755</v>
      </c>
      <c r="F122" s="236">
        <f t="shared" si="467"/>
        <v>0.25335552863238037</v>
      </c>
      <c r="G122" s="236">
        <f t="shared" si="467"/>
        <v>0.28519478008873328</v>
      </c>
      <c r="H122" s="236">
        <f t="shared" si="467"/>
        <v>0.23480055439229414</v>
      </c>
      <c r="I122" s="236">
        <f t="shared" si="467"/>
        <v>0.22694129495880777</v>
      </c>
      <c r="J122" s="236">
        <f t="shared" si="467"/>
        <v>0.2598937194702558</v>
      </c>
      <c r="K122" s="236">
        <f t="shared" si="467"/>
        <v>0.27836443117864235</v>
      </c>
      <c r="L122" s="236">
        <f t="shared" si="467"/>
        <v>0.22050227182151008</v>
      </c>
      <c r="M122" s="236">
        <f t="shared" si="467"/>
        <v>0.22675268772445753</v>
      </c>
      <c r="N122" s="236">
        <f t="shared" si="467"/>
        <v>0.28245633138584347</v>
      </c>
      <c r="O122" s="236">
        <f t="shared" si="467"/>
        <v>0.27028870906818891</v>
      </c>
      <c r="P122" s="236">
        <f t="shared" si="467"/>
        <v>0.21397629074969873</v>
      </c>
      <c r="Q122" s="236">
        <f t="shared" si="467"/>
        <v>0.19556281030881786</v>
      </c>
      <c r="R122" s="236">
        <f t="shared" si="467"/>
        <v>0.26015159513764641</v>
      </c>
      <c r="S122" s="236">
        <f t="shared" si="467"/>
        <v>0.330309303803837</v>
      </c>
      <c r="T122" s="236">
        <f t="shared" ca="1" si="467"/>
        <v>0.22539612327198422</v>
      </c>
      <c r="U122" s="236">
        <f t="shared" ca="1" si="467"/>
        <v>0.22290332874577878</v>
      </c>
      <c r="V122" s="236">
        <f t="shared" ca="1" si="467"/>
        <v>0.25871306663201421</v>
      </c>
      <c r="W122" s="236">
        <f t="shared" si="467"/>
        <v>0.29298748135022273</v>
      </c>
      <c r="X122" s="236"/>
      <c r="Y122" s="236"/>
      <c r="Z122" s="236"/>
      <c r="AA122" s="236"/>
      <c r="AB122" s="2"/>
      <c r="AC122" s="2"/>
      <c r="AD122" s="2"/>
      <c r="AE122" s="2"/>
      <c r="AF122" s="2"/>
      <c r="AG122" s="2"/>
      <c r="AH122" s="2"/>
      <c r="AI122" s="2"/>
      <c r="AJ122" s="2"/>
      <c r="AK122" s="2"/>
      <c r="AL122" s="2"/>
      <c r="AM122" s="2"/>
      <c r="AN122" s="2"/>
      <c r="AO122" s="2"/>
      <c r="AP122" s="2"/>
      <c r="AQ122" s="2"/>
      <c r="AR122" s="2"/>
      <c r="AS122" s="2"/>
      <c r="AT122" s="2"/>
      <c r="AU122" s="2"/>
      <c r="AV122" s="2"/>
      <c r="AW122" s="236"/>
      <c r="AX122" s="120"/>
      <c r="AY122" s="120"/>
      <c r="AZ122" s="120"/>
      <c r="BA122" s="120"/>
      <c r="BB122" s="120"/>
      <c r="BC122" s="120"/>
      <c r="BD122" s="120"/>
      <c r="BE122" s="120"/>
      <c r="BF122" s="2"/>
      <c r="BG122" s="2"/>
      <c r="BH122" s="2"/>
      <c r="BI122" s="2"/>
      <c r="BJ122" s="2"/>
      <c r="BK122" s="2"/>
    </row>
    <row r="123" spans="1:63" ht="11.25" customHeight="1">
      <c r="A123" s="2"/>
      <c r="B123" s="135" t="s">
        <v>413</v>
      </c>
      <c r="C123" s="6"/>
      <c r="D123" s="318">
        <f>D105/SUM($D$105:$G$105)-0.25</f>
        <v>-1.4558459089241166E-2</v>
      </c>
      <c r="E123" s="318">
        <f>E105/SUM($D$105:$G$105)-0.25</f>
        <v>-2.3991849631872453E-2</v>
      </c>
      <c r="F123" s="318">
        <f>F105/SUM($D$105:$G$105)-0.25</f>
        <v>3.3555286323803668E-3</v>
      </c>
      <c r="G123" s="318">
        <f>G105/SUM($D$105:$G$105)-0.25</f>
        <v>3.519478008873328E-2</v>
      </c>
      <c r="H123" s="318">
        <f>H105/SUM($H$105:$K$105)-0.25</f>
        <v>-1.5199445607705864E-2</v>
      </c>
      <c r="I123" s="318">
        <f>I105/SUM($H$105:$K$105)-0.25</f>
        <v>-2.3058705041192229E-2</v>
      </c>
      <c r="J123" s="318">
        <f>J105/SUM($H$105:$K$105)-0.25</f>
        <v>9.8937194702558018E-3</v>
      </c>
      <c r="K123" s="318">
        <f>K105/SUM($H$105:$K$105)-0.25</f>
        <v>2.8364431178642346E-2</v>
      </c>
      <c r="L123" s="318">
        <f>L105/SUM($L$105:$O$105)-0.25</f>
        <v>-2.9497728178489918E-2</v>
      </c>
      <c r="M123" s="318">
        <f>M105/SUM($L$105:$O$105)-0.25</f>
        <v>-2.324731227554247E-2</v>
      </c>
      <c r="N123" s="318">
        <f>N105/SUM($L$105:$O$105)-0.25</f>
        <v>3.2456331385843473E-2</v>
      </c>
      <c r="O123" s="318">
        <f>O105/SUM($L$105:$O$105)-0.25</f>
        <v>2.0288709068188915E-2</v>
      </c>
      <c r="P123" s="318">
        <f>P105/SUM($P$105:$S$105)-0.25</f>
        <v>-3.6023709250301267E-2</v>
      </c>
      <c r="Q123" s="318">
        <f>Q105/SUM($P$105:$S$105)-0.25</f>
        <v>-5.4437189691182136E-2</v>
      </c>
      <c r="R123" s="318">
        <f>R105/SUM($P$105:$S$105)-0.25</f>
        <v>1.0151595137646408E-2</v>
      </c>
      <c r="S123" s="318">
        <f>S105/SUM($P$105:$S$105)-0.25</f>
        <v>8.0309303803836996E-2</v>
      </c>
      <c r="T123" s="318">
        <f ca="1">T105/SUM($T$105:$W$105)-0.25</f>
        <v>-2.4603876728015783E-2</v>
      </c>
      <c r="U123" s="318">
        <f ca="1">U105/SUM($T$105:$W$105)-0.25</f>
        <v>-2.7096671254221216E-2</v>
      </c>
      <c r="V123" s="318">
        <f ca="1">V105/SUM($T$105:$W$105)-0.25</f>
        <v>8.7130666320142103E-3</v>
      </c>
      <c r="W123" s="319">
        <f>AVERAGE(K123,O123,S123)</f>
        <v>4.2987481350222755E-2</v>
      </c>
      <c r="X123" s="319"/>
      <c r="Y123" s="319"/>
      <c r="Z123" s="319"/>
      <c r="AA123" s="319"/>
      <c r="AB123" s="2"/>
      <c r="AC123" s="2"/>
      <c r="AD123" s="2"/>
      <c r="AE123" s="2"/>
      <c r="AF123" s="2"/>
      <c r="AG123" s="2"/>
      <c r="AH123" s="2"/>
      <c r="AI123" s="2"/>
      <c r="AJ123" s="2"/>
      <c r="AK123" s="2"/>
      <c r="AL123" s="2"/>
      <c r="AM123" s="2"/>
      <c r="AN123" s="2"/>
      <c r="AO123" s="2"/>
      <c r="AP123" s="2"/>
      <c r="AQ123" s="2"/>
      <c r="AR123" s="2"/>
      <c r="AS123" s="2"/>
      <c r="AT123" s="2"/>
      <c r="AU123" s="2"/>
      <c r="AV123" s="2"/>
      <c r="AW123" s="236"/>
      <c r="AX123" s="120"/>
      <c r="AY123" s="120"/>
      <c r="AZ123" s="120"/>
      <c r="BA123" s="120"/>
      <c r="BB123" s="120"/>
      <c r="BC123" s="120"/>
      <c r="BD123" s="120"/>
      <c r="BE123" s="120"/>
      <c r="BF123" s="2"/>
      <c r="BG123" s="2"/>
      <c r="BH123" s="2"/>
      <c r="BI123" s="2"/>
      <c r="BJ123" s="2"/>
      <c r="BK123" s="2"/>
    </row>
    <row r="124" spans="1:63" ht="11.25" customHeight="1">
      <c r="A124" s="2"/>
      <c r="B124" s="65"/>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row>
    <row r="125" spans="1:63" ht="11.25" customHeight="1">
      <c r="A125" s="2"/>
      <c r="B125" s="32" t="s">
        <v>290</v>
      </c>
      <c r="C125" s="6"/>
      <c r="D125" s="6"/>
      <c r="E125" s="6"/>
      <c r="F125" s="6"/>
      <c r="G125" s="6"/>
      <c r="H125" s="6"/>
      <c r="I125" s="6"/>
      <c r="J125" s="6"/>
      <c r="K125" s="6"/>
      <c r="L125" s="6"/>
      <c r="M125" s="6"/>
      <c r="N125" s="6"/>
      <c r="O125" s="6"/>
      <c r="P125" s="6"/>
      <c r="Q125" s="6"/>
      <c r="R125" s="6"/>
      <c r="S125" s="6"/>
      <c r="T125" s="6"/>
      <c r="U125" s="6"/>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row>
    <row r="126" spans="1:63" ht="11.25" customHeight="1">
      <c r="A126" s="2"/>
      <c r="B126" s="9" t="s">
        <v>242</v>
      </c>
      <c r="C126" s="6"/>
      <c r="D126" s="120"/>
      <c r="E126" s="120">
        <f t="shared" ref="E126:V126" si="468">IFERROR((E105/D105)-1,"n/a")</f>
        <v>-4.0066805994133814E-2</v>
      </c>
      <c r="F126" s="120">
        <f t="shared" si="468"/>
        <v>0.12100173475916143</v>
      </c>
      <c r="G126" s="120">
        <f t="shared" si="468"/>
        <v>0.12567024539871685</v>
      </c>
      <c r="H126" s="120">
        <f t="shared" si="468"/>
        <v>-0.11318050106189947</v>
      </c>
      <c r="I126" s="120">
        <f t="shared" si="468"/>
        <v>-3.3472065063166134E-2</v>
      </c>
      <c r="J126" s="120">
        <f t="shared" si="468"/>
        <v>0.14520241685158819</v>
      </c>
      <c r="K126" s="120">
        <f t="shared" si="468"/>
        <v>7.1070250354781761E-2</v>
      </c>
      <c r="L126" s="120">
        <f t="shared" si="468"/>
        <v>1.2978693160029087E-2</v>
      </c>
      <c r="M126" s="120">
        <f t="shared" si="468"/>
        <v>2.8346265330122966E-2</v>
      </c>
      <c r="N126" s="120">
        <f t="shared" si="468"/>
        <v>0.24565814068354164</v>
      </c>
      <c r="O126" s="120">
        <f t="shared" si="468"/>
        <v>-4.3077888387048513E-2</v>
      </c>
      <c r="P126" s="120">
        <f t="shared" si="468"/>
        <v>-0.27421705005774599</v>
      </c>
      <c r="Q126" s="120">
        <f t="shared" si="468"/>
        <v>-8.6053835106527088E-2</v>
      </c>
      <c r="R126" s="120">
        <f t="shared" si="468"/>
        <v>0.33027130632268409</v>
      </c>
      <c r="S126" s="120">
        <f t="shared" si="468"/>
        <v>0.26968010182320845</v>
      </c>
      <c r="T126" s="120">
        <f t="shared" si="468"/>
        <v>-0.16398905589861623</v>
      </c>
      <c r="U126" s="120">
        <f t="shared" si="468"/>
        <v>-1.1059615800034783E-2</v>
      </c>
      <c r="V126" s="120">
        <f t="shared" si="468"/>
        <v>0.16065142718023928</v>
      </c>
      <c r="W126" s="120">
        <f ca="1">IFERROR((W105/V105)-1,"n/a")</f>
        <v>0.13248041610112948</v>
      </c>
      <c r="X126" s="120"/>
      <c r="Y126" s="120"/>
      <c r="Z126" s="120"/>
      <c r="AA126" s="120"/>
      <c r="AB126" s="2"/>
      <c r="AC126" s="2"/>
      <c r="AD126" s="2"/>
      <c r="AE126" s="2"/>
      <c r="AF126" s="2"/>
      <c r="AG126" s="2"/>
      <c r="AH126" s="2"/>
      <c r="AI126" s="2"/>
      <c r="AJ126" s="2"/>
      <c r="AK126" s="2"/>
      <c r="AL126" s="2"/>
      <c r="AM126" s="2"/>
      <c r="AN126" s="2"/>
      <c r="AO126" s="2"/>
      <c r="AP126" s="2"/>
      <c r="AQ126" s="2"/>
      <c r="AR126" s="2"/>
      <c r="AS126" s="2"/>
      <c r="AT126" s="2"/>
      <c r="AU126" s="2"/>
      <c r="AV126" s="2"/>
      <c r="AW126" s="120"/>
      <c r="AX126" s="120"/>
      <c r="AY126" s="120"/>
      <c r="AZ126" s="120"/>
      <c r="BA126" s="120"/>
      <c r="BB126" s="120"/>
      <c r="BC126" s="120"/>
      <c r="BD126" s="120"/>
      <c r="BE126" s="120"/>
      <c r="BF126" s="2"/>
      <c r="BG126" s="2"/>
      <c r="BH126" s="2"/>
      <c r="BI126" s="2"/>
      <c r="BJ126" s="2"/>
      <c r="BK126" s="2"/>
    </row>
    <row r="127" spans="1:63" ht="11.25" customHeight="1">
      <c r="A127" s="2"/>
      <c r="B127" s="9" t="s">
        <v>241</v>
      </c>
      <c r="C127" s="6"/>
      <c r="D127" s="120"/>
      <c r="E127" s="120">
        <f t="shared" ref="E127:V127" si="469">IFERROR((E106/D106)-1,"n/a")</f>
        <v>0.11959890577427834</v>
      </c>
      <c r="F127" s="120">
        <f t="shared" si="469"/>
        <v>0.25249398879383467</v>
      </c>
      <c r="G127" s="120">
        <f t="shared" si="469"/>
        <v>-0.13885573361566173</v>
      </c>
      <c r="H127" s="120">
        <f t="shared" si="469"/>
        <v>0.13844258003685361</v>
      </c>
      <c r="I127" s="120">
        <f t="shared" si="469"/>
        <v>0.12161463619545665</v>
      </c>
      <c r="J127" s="120">
        <f t="shared" si="469"/>
        <v>8.5352070946370429E-2</v>
      </c>
      <c r="K127" s="120">
        <f t="shared" si="469"/>
        <v>3.396699887696264E-2</v>
      </c>
      <c r="L127" s="120">
        <f t="shared" si="469"/>
        <v>0.25683680111653806</v>
      </c>
      <c r="M127" s="120">
        <f t="shared" si="469"/>
        <v>0.13199578044789018</v>
      </c>
      <c r="N127" s="120">
        <f t="shared" si="469"/>
        <v>4.0607097026491568E-2</v>
      </c>
      <c r="O127" s="120">
        <f t="shared" si="469"/>
        <v>0.10377605208279661</v>
      </c>
      <c r="P127" s="120">
        <f t="shared" si="469"/>
        <v>-0.14233529827020386</v>
      </c>
      <c r="Q127" s="120">
        <f t="shared" si="469"/>
        <v>-4.9539277422559036E-2</v>
      </c>
      <c r="R127" s="120">
        <f t="shared" si="469"/>
        <v>6.2778916001513974E-2</v>
      </c>
      <c r="S127" s="120">
        <f t="shared" si="469"/>
        <v>0.17226336552921828</v>
      </c>
      <c r="T127" s="120">
        <f t="shared" si="469"/>
        <v>2.8877050088912615E-2</v>
      </c>
      <c r="U127" s="120">
        <f t="shared" si="469"/>
        <v>0.27884676896935301</v>
      </c>
      <c r="V127" s="120">
        <f t="shared" si="469"/>
        <v>0.10259293218327659</v>
      </c>
      <c r="W127" s="142">
        <v>0.15</v>
      </c>
      <c r="X127" s="142"/>
      <c r="Y127" s="142"/>
      <c r="Z127" s="142"/>
      <c r="AA127" s="142"/>
      <c r="AB127" s="2"/>
      <c r="AC127" s="2"/>
      <c r="AD127" s="2"/>
      <c r="AE127" s="2"/>
      <c r="AF127" s="2"/>
      <c r="AG127" s="2"/>
      <c r="AH127" s="2"/>
      <c r="AI127" s="2"/>
      <c r="AJ127" s="2"/>
      <c r="AK127" s="2"/>
      <c r="AL127" s="2"/>
      <c r="AM127" s="2"/>
      <c r="AN127" s="2"/>
      <c r="AO127" s="2"/>
      <c r="AP127" s="2"/>
      <c r="AQ127" s="2"/>
      <c r="AR127" s="2"/>
      <c r="AS127" s="2"/>
      <c r="AT127" s="2"/>
      <c r="AU127" s="2"/>
      <c r="AV127" s="2"/>
      <c r="AW127" s="120"/>
      <c r="AX127" s="120"/>
      <c r="AY127" s="120"/>
      <c r="AZ127" s="120"/>
      <c r="BA127" s="120"/>
      <c r="BB127" s="120"/>
      <c r="BC127" s="120"/>
      <c r="BD127" s="120"/>
      <c r="BE127" s="120"/>
      <c r="BF127" s="2"/>
      <c r="BG127" s="2"/>
      <c r="BH127" s="2"/>
      <c r="BI127" s="2"/>
      <c r="BJ127" s="2"/>
      <c r="BK127" s="2"/>
    </row>
    <row r="128" spans="1:63" ht="11.25" customHeight="1">
      <c r="A128" s="2"/>
      <c r="B128" s="9" t="s">
        <v>243</v>
      </c>
      <c r="C128" s="6"/>
      <c r="D128" s="120"/>
      <c r="E128" s="120">
        <f t="shared" ref="E128:V128" si="470">IFERROR((E107/D107)-1,"n/a")</f>
        <v>-4.6247505199408678E-2</v>
      </c>
      <c r="F128" s="120">
        <f t="shared" si="470"/>
        <v>0.23005206651485355</v>
      </c>
      <c r="G128" s="120">
        <f t="shared" si="470"/>
        <v>-0.12848875477332145</v>
      </c>
      <c r="H128" s="120">
        <f t="shared" si="470"/>
        <v>0.10776820426423406</v>
      </c>
      <c r="I128" s="120">
        <f t="shared" si="470"/>
        <v>-2.4265528912368439E-2</v>
      </c>
      <c r="J128" s="120">
        <f t="shared" si="470"/>
        <v>0.23443467387675332</v>
      </c>
      <c r="K128" s="120">
        <f t="shared" si="470"/>
        <v>2.5549110927299168E-2</v>
      </c>
      <c r="L128" s="120">
        <f t="shared" si="470"/>
        <v>4.9357524828523625E-2</v>
      </c>
      <c r="M128" s="120">
        <f t="shared" si="470"/>
        <v>0.14349250335023434</v>
      </c>
      <c r="N128" s="120">
        <f t="shared" si="470"/>
        <v>0.33062698944026203</v>
      </c>
      <c r="O128" s="120">
        <f t="shared" si="470"/>
        <v>-0.10773290549474168</v>
      </c>
      <c r="P128" s="120">
        <f t="shared" si="470"/>
        <v>-0.19410763542505671</v>
      </c>
      <c r="Q128" s="120">
        <f t="shared" si="470"/>
        <v>-0.10654192853395894</v>
      </c>
      <c r="R128" s="120">
        <f t="shared" si="470"/>
        <v>0.24210534892623214</v>
      </c>
      <c r="S128" s="120">
        <f t="shared" si="470"/>
        <v>-0.29090951237919904</v>
      </c>
      <c r="T128" s="120">
        <f t="shared" si="470"/>
        <v>5.0660711575631012E-2</v>
      </c>
      <c r="U128" s="120">
        <f t="shared" si="470"/>
        <v>5.7340388636206052E-2</v>
      </c>
      <c r="V128" s="120">
        <f t="shared" si="470"/>
        <v>0.42392919752863145</v>
      </c>
      <c r="W128" s="142">
        <v>0.1</v>
      </c>
      <c r="X128" s="142"/>
      <c r="Y128" s="142"/>
      <c r="Z128" s="142"/>
      <c r="AA128" s="142"/>
      <c r="AB128" s="2"/>
      <c r="AC128" s="2"/>
      <c r="AD128" s="2"/>
      <c r="AE128" s="2"/>
      <c r="AF128" s="2"/>
      <c r="AG128" s="2"/>
      <c r="AH128" s="2"/>
      <c r="AI128" s="2"/>
      <c r="AJ128" s="2"/>
      <c r="AK128" s="2"/>
      <c r="AL128" s="2"/>
      <c r="AM128" s="2"/>
      <c r="AN128" s="2"/>
      <c r="AO128" s="2"/>
      <c r="AP128" s="2"/>
      <c r="AQ128" s="2"/>
      <c r="AR128" s="2"/>
      <c r="AS128" s="2"/>
      <c r="AT128" s="2"/>
      <c r="AU128" s="2"/>
      <c r="AV128" s="2"/>
      <c r="AW128" s="120"/>
      <c r="AX128" s="120"/>
      <c r="AY128" s="120"/>
      <c r="AZ128" s="120"/>
      <c r="BA128" s="120"/>
      <c r="BB128" s="120"/>
      <c r="BC128" s="120"/>
      <c r="BD128" s="120"/>
      <c r="BE128" s="120"/>
      <c r="BF128" s="2"/>
      <c r="BG128" s="2"/>
      <c r="BH128" s="2"/>
      <c r="BI128" s="2"/>
      <c r="BJ128" s="2"/>
      <c r="BK128" s="2"/>
    </row>
    <row r="129" spans="1:63" ht="11.25" customHeight="1">
      <c r="A129" s="2"/>
      <c r="B129" s="9" t="s">
        <v>244</v>
      </c>
      <c r="C129" s="6"/>
      <c r="D129" s="120"/>
      <c r="E129" s="120">
        <f t="shared" ref="E129:V129" si="471">IFERROR((E108/D108)-1,"n/a")</f>
        <v>-0.12780453917005008</v>
      </c>
      <c r="F129" s="120">
        <f t="shared" si="471"/>
        <v>-0.22833457348987429</v>
      </c>
      <c r="G129" s="120">
        <f t="shared" si="471"/>
        <v>0.26518236330927625</v>
      </c>
      <c r="H129" s="120">
        <f t="shared" si="471"/>
        <v>0.3131702101471181</v>
      </c>
      <c r="I129" s="120">
        <f t="shared" si="471"/>
        <v>0.12258184223246804</v>
      </c>
      <c r="J129" s="120">
        <f t="shared" si="471"/>
        <v>4.8194934420856317E-2</v>
      </c>
      <c r="K129" s="120">
        <f t="shared" si="471"/>
        <v>9.9072483750544116E-2</v>
      </c>
      <c r="L129" s="120">
        <f t="shared" si="471"/>
        <v>0.25636551001030528</v>
      </c>
      <c r="M129" s="120">
        <f t="shared" si="471"/>
        <v>0.13948626657089402</v>
      </c>
      <c r="N129" s="120">
        <f t="shared" si="471"/>
        <v>0.15392285391172655</v>
      </c>
      <c r="O129" s="120">
        <f t="shared" si="471"/>
        <v>0.10258403446310749</v>
      </c>
      <c r="P129" s="120">
        <f t="shared" si="471"/>
        <v>4.7027431088893401E-2</v>
      </c>
      <c r="Q129" s="120">
        <f t="shared" si="471"/>
        <v>3.4779701104721505E-2</v>
      </c>
      <c r="R129" s="120">
        <f t="shared" si="471"/>
        <v>-0.23976384814832963</v>
      </c>
      <c r="S129" s="120">
        <f t="shared" si="471"/>
        <v>0.1298412940163991</v>
      </c>
      <c r="T129" s="120">
        <f t="shared" si="471"/>
        <v>3.7160123063357808E-3</v>
      </c>
      <c r="U129" s="120">
        <f t="shared" si="471"/>
        <v>5.0136864057911401E-2</v>
      </c>
      <c r="V129" s="120">
        <f t="shared" si="471"/>
        <v>0.12554089721177331</v>
      </c>
      <c r="W129" s="142">
        <v>0.05</v>
      </c>
      <c r="X129" s="142"/>
      <c r="Y129" s="142"/>
      <c r="Z129" s="142"/>
      <c r="AA129" s="142"/>
      <c r="AB129" s="2"/>
      <c r="AC129" s="2"/>
      <c r="AD129" s="2"/>
      <c r="AE129" s="2"/>
      <c r="AF129" s="2"/>
      <c r="AG129" s="2"/>
      <c r="AH129" s="2"/>
      <c r="AI129" s="2"/>
      <c r="AJ129" s="2"/>
      <c r="AK129" s="2"/>
      <c r="AL129" s="2"/>
      <c r="AM129" s="2"/>
      <c r="AN129" s="2"/>
      <c r="AO129" s="2"/>
      <c r="AP129" s="2"/>
      <c r="AQ129" s="2"/>
      <c r="AR129" s="2"/>
      <c r="AS129" s="2"/>
      <c r="AT129" s="2"/>
      <c r="AU129" s="2"/>
      <c r="AV129" s="2"/>
      <c r="AW129" s="120"/>
      <c r="AX129" s="120"/>
      <c r="AY129" s="120"/>
      <c r="AZ129" s="120"/>
      <c r="BA129" s="120"/>
      <c r="BB129" s="120"/>
      <c r="BC129" s="120"/>
      <c r="BD129" s="120"/>
      <c r="BE129" s="120"/>
      <c r="BF129" s="2"/>
      <c r="BG129" s="2"/>
      <c r="BH129" s="2"/>
      <c r="BI129" s="2"/>
      <c r="BJ129" s="2"/>
      <c r="BK129" s="2"/>
    </row>
    <row r="130" spans="1:63" ht="11.25" customHeight="1">
      <c r="A130" s="2"/>
      <c r="B130" s="9" t="s">
        <v>245</v>
      </c>
      <c r="C130" s="6"/>
      <c r="D130" s="120"/>
      <c r="E130" s="120">
        <f t="shared" ref="E130:V130" si="472">IFERROR((E109/D109)-1,"n/a")</f>
        <v>-8.7605032225909651E-2</v>
      </c>
      <c r="F130" s="120">
        <f t="shared" si="472"/>
        <v>-0.23872865258988141</v>
      </c>
      <c r="G130" s="120">
        <f t="shared" si="472"/>
        <v>0.28877592789021334</v>
      </c>
      <c r="H130" s="120">
        <f t="shared" si="472"/>
        <v>0.10537792005796631</v>
      </c>
      <c r="I130" s="120">
        <f t="shared" si="472"/>
        <v>-0.12154266698282767</v>
      </c>
      <c r="J130" s="120">
        <f t="shared" si="472"/>
        <v>-2.4819771862668705E-2</v>
      </c>
      <c r="K130" s="120">
        <f t="shared" si="472"/>
        <v>1.6164136261911599E-2</v>
      </c>
      <c r="L130" s="120">
        <f t="shared" si="472"/>
        <v>7.9062192739727477E-2</v>
      </c>
      <c r="M130" s="120">
        <f t="shared" si="472"/>
        <v>5.296420237096422E-2</v>
      </c>
      <c r="N130" s="120">
        <f t="shared" si="472"/>
        <v>-2.2638126852326024E-2</v>
      </c>
      <c r="O130" s="120">
        <f t="shared" si="472"/>
        <v>-0.22595684645988556</v>
      </c>
      <c r="P130" s="120">
        <f t="shared" si="472"/>
        <v>-5.2413809367661823E-2</v>
      </c>
      <c r="Q130" s="120">
        <f t="shared" si="472"/>
        <v>0.2496675405982931</v>
      </c>
      <c r="R130" s="120">
        <f t="shared" si="472"/>
        <v>-6.4045411676205699E-3</v>
      </c>
      <c r="S130" s="120">
        <f t="shared" si="472"/>
        <v>-0.34838022077123065</v>
      </c>
      <c r="T130" s="120">
        <f t="shared" si="472"/>
        <v>0.32739830594727848</v>
      </c>
      <c r="U130" s="120">
        <f t="shared" si="472"/>
        <v>0.20289952491036423</v>
      </c>
      <c r="V130" s="120">
        <f t="shared" si="472"/>
        <v>-0.46195072643436941</v>
      </c>
      <c r="W130" s="142">
        <v>0.05</v>
      </c>
      <c r="X130" s="142"/>
      <c r="Y130" s="142"/>
      <c r="Z130" s="142"/>
      <c r="AA130" s="142"/>
      <c r="AB130" s="2"/>
      <c r="AC130" s="2"/>
      <c r="AD130" s="2"/>
      <c r="AE130" s="2"/>
      <c r="AF130" s="2"/>
      <c r="AG130" s="2"/>
      <c r="AH130" s="2"/>
      <c r="AI130" s="2"/>
      <c r="AJ130" s="2"/>
      <c r="AK130" s="2"/>
      <c r="AL130" s="2"/>
      <c r="AM130" s="2"/>
      <c r="AN130" s="2"/>
      <c r="AO130" s="2"/>
      <c r="AP130" s="2"/>
      <c r="AQ130" s="2"/>
      <c r="AR130" s="2"/>
      <c r="AS130" s="2"/>
      <c r="AT130" s="2"/>
      <c r="AU130" s="2"/>
      <c r="AV130" s="2"/>
      <c r="AW130" s="120"/>
      <c r="AX130" s="120"/>
      <c r="AY130" s="120"/>
      <c r="AZ130" s="120"/>
      <c r="BA130" s="120"/>
      <c r="BB130" s="120"/>
      <c r="BC130" s="120"/>
      <c r="BD130" s="120"/>
      <c r="BE130" s="120"/>
      <c r="BF130" s="2"/>
      <c r="BG130" s="2"/>
      <c r="BH130" s="2"/>
      <c r="BI130" s="2"/>
      <c r="BJ130" s="2"/>
      <c r="BK130" s="2"/>
    </row>
    <row r="131" spans="1:63" ht="13.5" customHeight="1">
      <c r="A131" s="2"/>
      <c r="B131" s="9" t="s">
        <v>188</v>
      </c>
      <c r="C131" s="6"/>
      <c r="D131" s="216"/>
      <c r="E131" s="216">
        <f t="shared" ref="E131:V131" si="473">IFERROR((E110/D110)-1,"n/a")</f>
        <v>-5.4548095520152606E-2</v>
      </c>
      <c r="F131" s="216">
        <f t="shared" si="473"/>
        <v>0.18756569477250995</v>
      </c>
      <c r="G131" s="216">
        <f t="shared" si="473"/>
        <v>9.5697221504455143E-2</v>
      </c>
      <c r="H131" s="216">
        <f t="shared" si="473"/>
        <v>-0.12641573900129255</v>
      </c>
      <c r="I131" s="216">
        <f t="shared" si="473"/>
        <v>4.1385292809197782E-2</v>
      </c>
      <c r="J131" s="216">
        <f t="shared" si="473"/>
        <v>3.1691062055514418E-3</v>
      </c>
      <c r="K131" s="216">
        <f t="shared" si="473"/>
        <v>0.21767807819719454</v>
      </c>
      <c r="L131" s="216">
        <f t="shared" si="473"/>
        <v>9.155324958280886E-2</v>
      </c>
      <c r="M131" s="216">
        <f t="shared" si="473"/>
        <v>7.2792800867647722E-2</v>
      </c>
      <c r="N131" s="216">
        <f t="shared" si="473"/>
        <v>9.6496533100800086E-2</v>
      </c>
      <c r="O131" s="216">
        <f t="shared" si="473"/>
        <v>0.27551360264438651</v>
      </c>
      <c r="P131" s="216">
        <f t="shared" si="473"/>
        <v>-0.18453445610796659</v>
      </c>
      <c r="Q131" s="216">
        <f t="shared" si="473"/>
        <v>-5.4764559783758049E-2</v>
      </c>
      <c r="R131" s="216">
        <f t="shared" si="473"/>
        <v>-2.3103276539871875E-2</v>
      </c>
      <c r="S131" s="216">
        <f t="shared" si="473"/>
        <v>-0.15801631196105514</v>
      </c>
      <c r="T131" s="216">
        <f t="shared" si="473"/>
        <v>-7.9128723424431779E-2</v>
      </c>
      <c r="U131" s="216">
        <f t="shared" si="473"/>
        <v>5.2555388119955637E-2</v>
      </c>
      <c r="V131" s="216">
        <f t="shared" si="473"/>
        <v>5.8010046953607119E-2</v>
      </c>
      <c r="W131" s="253">
        <v>0.1</v>
      </c>
      <c r="X131" s="253"/>
      <c r="Y131" s="253"/>
      <c r="Z131" s="253"/>
      <c r="AA131" s="253"/>
      <c r="AB131" s="2"/>
      <c r="AC131" s="2"/>
      <c r="AD131" s="2"/>
      <c r="AE131" s="2"/>
      <c r="AF131" s="2"/>
      <c r="AG131" s="2"/>
      <c r="AH131" s="2"/>
      <c r="AI131" s="2"/>
      <c r="AJ131" s="2"/>
      <c r="AK131" s="2"/>
      <c r="AL131" s="2"/>
      <c r="AM131" s="2"/>
      <c r="AN131" s="2"/>
      <c r="AO131" s="2"/>
      <c r="AP131" s="2"/>
      <c r="AQ131" s="2"/>
      <c r="AR131" s="2"/>
      <c r="AS131" s="2"/>
      <c r="AT131" s="2"/>
      <c r="AU131" s="2"/>
      <c r="AV131" s="2"/>
      <c r="AW131" s="216"/>
      <c r="AX131" s="216"/>
      <c r="AY131" s="216"/>
      <c r="AZ131" s="216"/>
      <c r="BA131" s="216"/>
      <c r="BB131" s="216"/>
      <c r="BC131" s="216"/>
      <c r="BD131" s="216"/>
      <c r="BE131" s="216"/>
      <c r="BF131" s="2"/>
      <c r="BG131" s="2"/>
      <c r="BH131" s="2"/>
      <c r="BI131" s="2"/>
      <c r="BJ131" s="2"/>
      <c r="BK131" s="2"/>
    </row>
    <row r="132" spans="1:63" ht="11.25" customHeight="1">
      <c r="A132" s="2"/>
      <c r="B132" s="36" t="s">
        <v>897</v>
      </c>
      <c r="C132" s="6"/>
      <c r="D132" s="236"/>
      <c r="E132" s="120">
        <f t="shared" ref="E132:V132" si="474">IFERROR((E111/D111)-1,"n/a")</f>
        <v>6.477328546794503E-4</v>
      </c>
      <c r="F132" s="120">
        <f t="shared" si="474"/>
        <v>0.14680848371381594</v>
      </c>
      <c r="G132" s="120">
        <f t="shared" si="474"/>
        <v>1.404737626978747E-2</v>
      </c>
      <c r="H132" s="120">
        <f t="shared" si="474"/>
        <v>2.7036071578809828E-3</v>
      </c>
      <c r="I132" s="120">
        <f t="shared" si="474"/>
        <v>2.6861526508233258E-2</v>
      </c>
      <c r="J132" s="120">
        <f t="shared" si="474"/>
        <v>0.11427062854259296</v>
      </c>
      <c r="K132" s="120">
        <f t="shared" si="474"/>
        <v>5.6717161849653142E-2</v>
      </c>
      <c r="L132" s="120">
        <f t="shared" si="474"/>
        <v>0.12069342239949621</v>
      </c>
      <c r="M132" s="120">
        <f t="shared" si="474"/>
        <v>8.7695073954488612E-2</v>
      </c>
      <c r="N132" s="120">
        <f t="shared" si="474"/>
        <v>0.14790469819336427</v>
      </c>
      <c r="O132" s="120">
        <f t="shared" si="474"/>
        <v>2.0205939222867286E-2</v>
      </c>
      <c r="P132" s="120">
        <f t="shared" si="474"/>
        <v>-0.18687919989393731</v>
      </c>
      <c r="Q132" s="120">
        <f t="shared" si="474"/>
        <v>-5.4640026257204544E-2</v>
      </c>
      <c r="R132" s="120">
        <f t="shared" si="474"/>
        <v>0.13703379951671124</v>
      </c>
      <c r="S132" s="120">
        <f t="shared" si="474"/>
        <v>0.14412207032965085</v>
      </c>
      <c r="T132" s="120">
        <f t="shared" si="474"/>
        <v>-5.2571204870488497E-2</v>
      </c>
      <c r="U132" s="120">
        <f t="shared" si="474"/>
        <v>0.13644945122815733</v>
      </c>
      <c r="V132" s="120">
        <f t="shared" si="474"/>
        <v>0.12795919934555067</v>
      </c>
      <c r="W132" s="120">
        <f ca="1">IFERROR((W111/V111)-1,"n/a")</f>
        <v>0.13354334147438407</v>
      </c>
      <c r="X132" s="142"/>
      <c r="Y132" s="142"/>
      <c r="Z132" s="142"/>
      <c r="AA132" s="142"/>
      <c r="AB132" s="2"/>
      <c r="AC132" s="2"/>
      <c r="AD132" s="2"/>
      <c r="AE132" s="2"/>
      <c r="AF132" s="2"/>
      <c r="AG132" s="2"/>
      <c r="AH132" s="2"/>
      <c r="AI132" s="2"/>
      <c r="AJ132" s="2"/>
      <c r="AK132" s="2"/>
      <c r="AL132" s="2"/>
      <c r="AM132" s="2"/>
      <c r="AN132" s="2"/>
      <c r="AO132" s="2"/>
      <c r="AP132" s="2"/>
      <c r="AQ132" s="2"/>
      <c r="AR132" s="2"/>
      <c r="AS132" s="2"/>
      <c r="AT132" s="2"/>
      <c r="AU132" s="2"/>
      <c r="AV132" s="2"/>
      <c r="AW132" s="236"/>
      <c r="AX132" s="120"/>
      <c r="AY132" s="120"/>
      <c r="AZ132" s="120"/>
      <c r="BA132" s="120"/>
      <c r="BB132" s="120"/>
      <c r="BC132" s="120"/>
      <c r="BD132" s="120"/>
      <c r="BE132" s="120"/>
      <c r="BF132" s="2"/>
      <c r="BG132" s="2"/>
      <c r="BH132" s="2"/>
      <c r="BI132" s="2"/>
      <c r="BJ132" s="2"/>
      <c r="BK132" s="2"/>
    </row>
    <row r="133" spans="1:63" ht="11.25" customHeight="1">
      <c r="A133" s="2"/>
      <c r="B133" s="65"/>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row>
    <row r="134" spans="1:63" ht="11.25" customHeight="1">
      <c r="A134" s="2"/>
      <c r="B134" s="32" t="s">
        <v>248</v>
      </c>
      <c r="C134" s="6"/>
      <c r="D134" s="6"/>
      <c r="E134" s="6"/>
      <c r="F134" s="6"/>
      <c r="G134" s="6"/>
      <c r="H134" s="6"/>
      <c r="I134" s="6"/>
      <c r="J134" s="6"/>
      <c r="K134" s="6"/>
      <c r="L134" s="6"/>
      <c r="M134" s="6"/>
      <c r="N134" s="6"/>
      <c r="O134" s="6"/>
      <c r="P134" s="6"/>
      <c r="Q134" s="6"/>
      <c r="R134" s="6"/>
      <c r="S134" s="6"/>
      <c r="T134" s="6"/>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row>
    <row r="135" spans="1:63" ht="11.25" customHeight="1">
      <c r="A135" s="2"/>
      <c r="B135" s="9" t="s">
        <v>242</v>
      </c>
      <c r="C135" s="6"/>
      <c r="D135" s="120">
        <f t="shared" ref="D135:W135" si="475">IFERROR(D105/D$111,"n/a")</f>
        <v>0.48915858003773327</v>
      </c>
      <c r="E135" s="120">
        <f t="shared" si="475"/>
        <v>0.46925560583785181</v>
      </c>
      <c r="F135" s="120">
        <f t="shared" si="475"/>
        <v>0.45869589880097589</v>
      </c>
      <c r="G135" s="120">
        <f t="shared" si="475"/>
        <v>0.50918757550170624</v>
      </c>
      <c r="H135" s="120">
        <f t="shared" si="475"/>
        <v>0.45033992831824854</v>
      </c>
      <c r="I135" s="120">
        <f t="shared" si="475"/>
        <v>0.42388005558756181</v>
      </c>
      <c r="J135" s="120">
        <f t="shared" si="475"/>
        <v>0.43564682733222188</v>
      </c>
      <c r="K135" s="120">
        <f t="shared" si="475"/>
        <v>0.44156409421821907</v>
      </c>
      <c r="L135" s="120">
        <f t="shared" si="475"/>
        <v>0.39912344461687693</v>
      </c>
      <c r="M135" s="120">
        <f t="shared" si="475"/>
        <v>0.37734574101292023</v>
      </c>
      <c r="N135" s="120">
        <f t="shared" si="475"/>
        <v>0.40947980689057922</v>
      </c>
      <c r="O135" s="120">
        <f t="shared" si="475"/>
        <v>0.38407959256841562</v>
      </c>
      <c r="P135" s="120">
        <f t="shared" si="475"/>
        <v>0.34282534608703003</v>
      </c>
      <c r="Q135" s="120">
        <f t="shared" si="475"/>
        <v>0.33143344227282129</v>
      </c>
      <c r="R135" s="120">
        <f t="shared" si="475"/>
        <v>0.38776015136813879</v>
      </c>
      <c r="S135" s="120">
        <f t="shared" si="475"/>
        <v>0.43031365379589948</v>
      </c>
      <c r="T135" s="120">
        <f t="shared" si="475"/>
        <v>0.37970866604328751</v>
      </c>
      <c r="U135" s="120">
        <f t="shared" si="475"/>
        <v>0.33042317339771987</v>
      </c>
      <c r="V135" s="250">
        <v>0.34</v>
      </c>
      <c r="W135" s="120">
        <f t="shared" ca="1" si="475"/>
        <v>0.3396811814655129</v>
      </c>
      <c r="X135" s="120"/>
      <c r="Y135" s="120"/>
      <c r="Z135" s="120"/>
      <c r="AA135" s="120"/>
      <c r="AB135" s="2"/>
      <c r="AC135" s="2"/>
      <c r="AD135" s="2"/>
      <c r="AE135" s="2"/>
      <c r="AF135" s="2"/>
      <c r="AG135" s="2"/>
      <c r="AH135" s="2"/>
      <c r="AI135" s="2"/>
      <c r="AJ135" s="2"/>
      <c r="AK135" s="2"/>
      <c r="AL135" s="2"/>
      <c r="AM135" s="2"/>
      <c r="AN135" s="2"/>
      <c r="AO135" s="2"/>
      <c r="AP135" s="2"/>
      <c r="AQ135" s="2"/>
      <c r="AR135" s="2"/>
      <c r="AS135" s="2"/>
      <c r="AT135" s="2"/>
      <c r="AU135" s="2"/>
      <c r="AV135" s="2"/>
      <c r="AW135" s="120">
        <f t="shared" ref="AW135:BD140" si="476">IFERROR(AW105/AW$111,"n/a")</f>
        <v>0.5158080182352599</v>
      </c>
      <c r="AX135" s="120">
        <f t="shared" si="476"/>
        <v>0.45221932916696189</v>
      </c>
      <c r="AY135" s="120">
        <f t="shared" si="476"/>
        <v>0.48936447124465937</v>
      </c>
      <c r="AZ135" s="120">
        <f t="shared" si="476"/>
        <v>0.48183781585086277</v>
      </c>
      <c r="BA135" s="120">
        <f t="shared" si="476"/>
        <v>0.43787615387191275</v>
      </c>
      <c r="BB135" s="120">
        <f t="shared" si="476"/>
        <v>0.39263336236199448</v>
      </c>
      <c r="BC135" s="120">
        <f t="shared" si="476"/>
        <v>0.37697202618636133</v>
      </c>
      <c r="BD135" s="120">
        <f t="shared" ca="1" si="476"/>
        <v>0.34582214375151271</v>
      </c>
      <c r="BE135" s="120"/>
      <c r="BF135" s="2"/>
      <c r="BG135" s="2"/>
      <c r="BH135" s="2"/>
      <c r="BI135" s="2"/>
      <c r="BJ135" s="2"/>
      <c r="BK135" s="2"/>
    </row>
    <row r="136" spans="1:63" ht="11.25" customHeight="1">
      <c r="A136" s="2"/>
      <c r="B136" s="9" t="s">
        <v>241</v>
      </c>
      <c r="C136" s="6"/>
      <c r="D136" s="120">
        <f t="shared" ref="D136:W136" si="477">IFERROR(D106/D$111,"n/a")</f>
        <v>0.29940261885762176</v>
      </c>
      <c r="E136" s="120">
        <f t="shared" si="477"/>
        <v>0.33499385793104891</v>
      </c>
      <c r="F136" s="120">
        <f t="shared" si="477"/>
        <v>0.36586561688376867</v>
      </c>
      <c r="G136" s="120">
        <f t="shared" si="477"/>
        <v>0.31069857840922388</v>
      </c>
      <c r="H136" s="120">
        <f t="shared" si="477"/>
        <v>0.35275877008218004</v>
      </c>
      <c r="I136" s="120">
        <f t="shared" si="477"/>
        <v>0.38530940088474402</v>
      </c>
      <c r="J136" s="120">
        <f t="shared" si="477"/>
        <v>0.37530950335857</v>
      </c>
      <c r="K136" s="120">
        <f t="shared" si="477"/>
        <v>0.36722942983003781</v>
      </c>
      <c r="L136" s="120">
        <f t="shared" si="477"/>
        <v>0.41184096617184041</v>
      </c>
      <c r="M136" s="120">
        <f t="shared" si="477"/>
        <v>0.42861482697274078</v>
      </c>
      <c r="N136" s="120">
        <f t="shared" si="477"/>
        <v>0.38855109796186565</v>
      </c>
      <c r="O136" s="120">
        <f t="shared" si="477"/>
        <v>0.42037923957536893</v>
      </c>
      <c r="P136" s="120">
        <f t="shared" si="477"/>
        <v>0.44340820586163615</v>
      </c>
      <c r="Q136" s="120">
        <f t="shared" si="477"/>
        <v>0.44580064255468399</v>
      </c>
      <c r="R136" s="120">
        <f t="shared" si="477"/>
        <v>0.41668728216208328</v>
      </c>
      <c r="S136" s="120">
        <f t="shared" si="477"/>
        <v>0.42693629327490101</v>
      </c>
      <c r="T136" s="120">
        <f t="shared" si="477"/>
        <v>0.46363901567983107</v>
      </c>
      <c r="U136" s="120">
        <f t="shared" si="477"/>
        <v>0.52173306655171758</v>
      </c>
      <c r="V136" s="250">
        <v>0.51</v>
      </c>
      <c r="W136" s="120">
        <f t="shared" ca="1" si="477"/>
        <v>0.51740412434265415</v>
      </c>
      <c r="X136" s="120"/>
      <c r="Y136" s="120"/>
      <c r="Z136" s="120"/>
      <c r="AA136" s="120"/>
      <c r="AB136" s="2"/>
      <c r="AC136" s="2"/>
      <c r="AD136" s="2"/>
      <c r="AE136" s="2"/>
      <c r="AF136" s="2"/>
      <c r="AG136" s="2"/>
      <c r="AH136" s="2"/>
      <c r="AI136" s="2"/>
      <c r="AJ136" s="2"/>
      <c r="AK136" s="2"/>
      <c r="AL136" s="2"/>
      <c r="AM136" s="2"/>
      <c r="AN136" s="2"/>
      <c r="AO136" s="2"/>
      <c r="AP136" s="2"/>
      <c r="AQ136" s="2"/>
      <c r="AR136" s="2"/>
      <c r="AS136" s="2"/>
      <c r="AT136" s="2"/>
      <c r="AU136" s="2"/>
      <c r="AV136" s="2"/>
      <c r="AW136" s="120">
        <f t="shared" si="476"/>
        <v>0.27151753496609027</v>
      </c>
      <c r="AX136" s="120">
        <f t="shared" si="476"/>
        <v>0.33147742148081066</v>
      </c>
      <c r="AY136" s="120">
        <f t="shared" si="476"/>
        <v>0.29516505256247183</v>
      </c>
      <c r="AZ136" s="120">
        <f t="shared" si="476"/>
        <v>0.3283990323481466</v>
      </c>
      <c r="BA136" s="120">
        <f t="shared" si="476"/>
        <v>0.37027502593828587</v>
      </c>
      <c r="BB136" s="120">
        <f t="shared" si="476"/>
        <v>0.41185004434391365</v>
      </c>
      <c r="BC136" s="120">
        <f t="shared" si="476"/>
        <v>0.43241589167224864</v>
      </c>
      <c r="BD136" s="120">
        <f t="shared" ca="1" si="476"/>
        <v>0.50542872954310436</v>
      </c>
      <c r="BE136" s="120"/>
      <c r="BF136" s="2"/>
      <c r="BG136" s="2"/>
      <c r="BH136" s="2"/>
      <c r="BI136" s="2"/>
      <c r="BJ136" s="2"/>
      <c r="BK136" s="2"/>
    </row>
    <row r="137" spans="1:63" ht="11.25" customHeight="1">
      <c r="A137" s="2"/>
      <c r="B137" s="9" t="s">
        <v>243</v>
      </c>
      <c r="C137" s="6"/>
      <c r="D137" s="120">
        <f t="shared" ref="D137:W137" si="478">IFERROR(D107/D$111,"n/a")</f>
        <v>8.5627991674348175E-2</v>
      </c>
      <c r="E137" s="120">
        <f t="shared" si="478"/>
        <v>8.1615045937483963E-2</v>
      </c>
      <c r="F137" s="120">
        <f t="shared" si="478"/>
        <v>8.7539251182553332E-2</v>
      </c>
      <c r="G137" s="120">
        <f t="shared" si="478"/>
        <v>7.5234593165616259E-2</v>
      </c>
      <c r="H137" s="120">
        <f t="shared" si="478"/>
        <v>8.3117772365310968E-2</v>
      </c>
      <c r="I137" s="120">
        <f t="shared" si="478"/>
        <v>7.8979369236499092E-2</v>
      </c>
      <c r="J137" s="120">
        <f t="shared" si="478"/>
        <v>8.7496582436142611E-2</v>
      </c>
      <c r="K137" s="120">
        <f t="shared" si="478"/>
        <v>8.4915855979378924E-2</v>
      </c>
      <c r="L137" s="120">
        <f t="shared" si="478"/>
        <v>7.9510676754424858E-2</v>
      </c>
      <c r="M137" s="120">
        <f t="shared" si="478"/>
        <v>8.3589477402370632E-2</v>
      </c>
      <c r="N137" s="120">
        <f t="shared" si="478"/>
        <v>9.6895164589756888E-2</v>
      </c>
      <c r="O137" s="120">
        <f t="shared" si="478"/>
        <v>8.4744034176049324E-2</v>
      </c>
      <c r="P137" s="120">
        <f t="shared" si="478"/>
        <v>8.3990681429927674E-2</v>
      </c>
      <c r="Q137" s="120">
        <f t="shared" si="478"/>
        <v>7.9379447338351727E-2</v>
      </c>
      <c r="R137" s="120">
        <f t="shared" si="478"/>
        <v>8.6714780313200124E-2</v>
      </c>
      <c r="S137" s="120">
        <f t="shared" si="478"/>
        <v>5.3743064180643986E-2</v>
      </c>
      <c r="T137" s="120">
        <f t="shared" si="478"/>
        <v>5.9598912704116699E-2</v>
      </c>
      <c r="U137" s="120">
        <f t="shared" si="478"/>
        <v>5.5450189581916304E-2</v>
      </c>
      <c r="V137" s="250">
        <v>7.0000000000000007E-2</v>
      </c>
      <c r="W137" s="120">
        <f t="shared" ca="1" si="478"/>
        <v>6.7928589214636639E-2</v>
      </c>
      <c r="X137" s="120"/>
      <c r="Y137" s="120"/>
      <c r="Z137" s="120"/>
      <c r="AA137" s="120"/>
      <c r="AB137" s="2"/>
      <c r="AC137" s="2"/>
      <c r="AD137" s="2"/>
      <c r="AE137" s="2"/>
      <c r="AF137" s="2"/>
      <c r="AG137" s="2"/>
      <c r="AH137" s="2"/>
      <c r="AI137" s="2"/>
      <c r="AJ137" s="2"/>
      <c r="AK137" s="2"/>
      <c r="AL137" s="2"/>
      <c r="AM137" s="2"/>
      <c r="AN137" s="2"/>
      <c r="AO137" s="2"/>
      <c r="AP137" s="2"/>
      <c r="AQ137" s="2"/>
      <c r="AR137" s="2"/>
      <c r="AS137" s="2"/>
      <c r="AT137" s="2"/>
      <c r="AU137" s="2"/>
      <c r="AV137" s="2"/>
      <c r="AW137" s="120">
        <f t="shared" si="476"/>
        <v>5.2970647001832336E-2</v>
      </c>
      <c r="AX137" s="120">
        <f t="shared" si="476"/>
        <v>6.3105169840044675E-2</v>
      </c>
      <c r="AY137" s="120">
        <f t="shared" si="476"/>
        <v>8.0695216146528359E-2</v>
      </c>
      <c r="AZ137" s="120">
        <f t="shared" si="476"/>
        <v>8.2400441718480405E-2</v>
      </c>
      <c r="BA137" s="120">
        <f t="shared" si="476"/>
        <v>8.3787778180155925E-2</v>
      </c>
      <c r="BB137" s="120">
        <f t="shared" si="476"/>
        <v>8.6627386965539843E-2</v>
      </c>
      <c r="BC137" s="120">
        <f t="shared" si="476"/>
        <v>7.4901375561123099E-2</v>
      </c>
      <c r="BD137" s="120">
        <f t="shared" ca="1" si="476"/>
        <v>6.3852638600226386E-2</v>
      </c>
      <c r="BE137" s="120"/>
      <c r="BF137" s="2"/>
      <c r="BG137" s="2"/>
      <c r="BH137" s="2"/>
      <c r="BI137" s="2"/>
      <c r="BJ137" s="2"/>
      <c r="BK137" s="2"/>
    </row>
    <row r="138" spans="1:63" ht="11.25" customHeight="1">
      <c r="A138" s="2"/>
      <c r="B138" s="9" t="s">
        <v>244</v>
      </c>
      <c r="C138" s="6"/>
      <c r="D138" s="120">
        <f t="shared" ref="D138:W138" si="479">IFERROR(D108/D$111,"n/a")</f>
        <v>4.2053591323138302E-2</v>
      </c>
      <c r="E138" s="120">
        <f t="shared" si="479"/>
        <v>3.6655208680681388E-2</v>
      </c>
      <c r="F138" s="120">
        <f t="shared" si="479"/>
        <v>2.466458666995202E-2</v>
      </c>
      <c r="G138" s="120">
        <f t="shared" si="479"/>
        <v>3.0772921249425152E-2</v>
      </c>
      <c r="H138" s="120">
        <f t="shared" si="479"/>
        <v>4.0301125053782277E-2</v>
      </c>
      <c r="I138" s="120">
        <f t="shared" si="479"/>
        <v>4.4057850098596751E-2</v>
      </c>
      <c r="J138" s="120">
        <f t="shared" si="479"/>
        <v>4.144524149866996E-2</v>
      </c>
      <c r="K138" s="120">
        <f t="shared" si="479"/>
        <v>4.3106449065190101E-2</v>
      </c>
      <c r="L138" s="120">
        <f t="shared" si="479"/>
        <v>4.8324952018157896E-2</v>
      </c>
      <c r="M138" s="120">
        <f t="shared" si="479"/>
        <v>5.0625970895674374E-2</v>
      </c>
      <c r="N138" s="120">
        <f t="shared" si="479"/>
        <v>5.0891389250284261E-2</v>
      </c>
      <c r="O138" s="120">
        <f t="shared" si="479"/>
        <v>5.5000692626582505E-2</v>
      </c>
      <c r="P138" s="120">
        <f t="shared" si="479"/>
        <v>7.0822482835771638E-2</v>
      </c>
      <c r="Q138" s="120">
        <f t="shared" si="479"/>
        <v>7.7521441203129371E-2</v>
      </c>
      <c r="R138" s="120">
        <f t="shared" si="479"/>
        <v>5.1831882369118988E-2</v>
      </c>
      <c r="S138" s="120">
        <f t="shared" si="479"/>
        <v>5.1184923852013474E-2</v>
      </c>
      <c r="T138" s="120">
        <f t="shared" si="479"/>
        <v>5.4225845702656254E-2</v>
      </c>
      <c r="U138" s="120">
        <f t="shared" si="479"/>
        <v>5.0107428443505173E-2</v>
      </c>
      <c r="V138" s="250">
        <v>0.05</v>
      </c>
      <c r="W138" s="120">
        <f t="shared" ca="1" si="479"/>
        <v>4.6314947191797698E-2</v>
      </c>
      <c r="X138" s="120"/>
      <c r="Y138" s="120"/>
      <c r="Z138" s="120"/>
      <c r="AA138" s="120"/>
      <c r="AB138" s="2"/>
      <c r="AC138" s="2"/>
      <c r="AD138" s="2"/>
      <c r="AE138" s="2"/>
      <c r="AF138" s="2"/>
      <c r="AG138" s="2"/>
      <c r="AH138" s="2"/>
      <c r="AI138" s="2"/>
      <c r="AJ138" s="2"/>
      <c r="AK138" s="2"/>
      <c r="AL138" s="2"/>
      <c r="AM138" s="2"/>
      <c r="AN138" s="2"/>
      <c r="AO138" s="2"/>
      <c r="AP138" s="2"/>
      <c r="AQ138" s="2"/>
      <c r="AR138" s="2"/>
      <c r="AS138" s="2"/>
      <c r="AT138" s="2"/>
      <c r="AU138" s="2"/>
      <c r="AV138" s="2"/>
      <c r="AW138" s="120">
        <f t="shared" si="476"/>
        <v>4.4883251981948903E-2</v>
      </c>
      <c r="AX138" s="120">
        <f t="shared" si="476"/>
        <v>5.0131956024540139E-2</v>
      </c>
      <c r="AY138" s="120">
        <f t="shared" si="476"/>
        <v>4.4780532379726332E-2</v>
      </c>
      <c r="AZ138" s="120">
        <f t="shared" si="476"/>
        <v>3.3128544049710343E-2</v>
      </c>
      <c r="BA138" s="120">
        <f t="shared" si="476"/>
        <v>4.2255082279405172E-2</v>
      </c>
      <c r="BB138" s="120">
        <f t="shared" si="476"/>
        <v>5.1407497970975886E-2</v>
      </c>
      <c r="BC138" s="120">
        <f t="shared" si="476"/>
        <v>6.1827161133459409E-2</v>
      </c>
      <c r="BD138" s="120">
        <f t="shared" ca="1" si="476"/>
        <v>4.9793354576878876E-2</v>
      </c>
      <c r="BE138" s="120"/>
      <c r="BF138" s="2"/>
      <c r="BG138" s="2"/>
      <c r="BH138" s="2"/>
      <c r="BI138" s="2"/>
      <c r="BJ138" s="2"/>
      <c r="BK138" s="2"/>
    </row>
    <row r="139" spans="1:63" ht="11.25" customHeight="1">
      <c r="A139" s="2"/>
      <c r="B139" s="9" t="s">
        <v>245</v>
      </c>
      <c r="C139" s="6"/>
      <c r="D139" s="120">
        <f t="shared" ref="D139:W139" si="480">IFERROR(D109/D$111,"n/a")</f>
        <v>5.0154472907759755E-2</v>
      </c>
      <c r="E139" s="120">
        <f t="shared" si="480"/>
        <v>4.5731067177711394E-2</v>
      </c>
      <c r="F139" s="120">
        <f t="shared" si="480"/>
        <v>3.0357074980940511E-2</v>
      </c>
      <c r="G139" s="120">
        <f t="shared" si="480"/>
        <v>3.8581498648033175E-2</v>
      </c>
      <c r="H139" s="120">
        <f t="shared" si="480"/>
        <v>4.253214651253083E-2</v>
      </c>
      <c r="I139" s="120">
        <f t="shared" si="480"/>
        <v>3.6385310997036256E-2</v>
      </c>
      <c r="J139" s="120">
        <f t="shared" si="480"/>
        <v>3.1843463311373874E-2</v>
      </c>
      <c r="K139" s="120">
        <f t="shared" si="480"/>
        <v>3.0621425069647861E-2</v>
      </c>
      <c r="L139" s="120">
        <f t="shared" si="480"/>
        <v>2.9483908283964907E-2</v>
      </c>
      <c r="M139" s="120">
        <f t="shared" si="480"/>
        <v>2.8542466277918233E-2</v>
      </c>
      <c r="N139" s="120">
        <f t="shared" si="480"/>
        <v>2.4301946276154496E-2</v>
      </c>
      <c r="O139" s="120">
        <f t="shared" si="480"/>
        <v>1.8438194103325835E-2</v>
      </c>
      <c r="P139" s="120">
        <f t="shared" si="480"/>
        <v>2.1487309278315311E-2</v>
      </c>
      <c r="Q139" s="120">
        <f t="shared" si="480"/>
        <v>2.8403987566341382E-2</v>
      </c>
      <c r="R139" s="120">
        <f t="shared" si="480"/>
        <v>2.4820786392316371E-2</v>
      </c>
      <c r="S139" s="120">
        <f t="shared" si="480"/>
        <v>1.4136354650151601E-2</v>
      </c>
      <c r="T139" s="120">
        <f t="shared" si="480"/>
        <v>1.9805787317574715E-2</v>
      </c>
      <c r="U139" s="120">
        <f t="shared" si="480"/>
        <v>2.0963864366373194E-2</v>
      </c>
      <c r="V139" s="250">
        <v>0.01</v>
      </c>
      <c r="W139" s="120">
        <f t="shared" ca="1" si="480"/>
        <v>9.2629894383595389E-3</v>
      </c>
      <c r="X139" s="120"/>
      <c r="Y139" s="120"/>
      <c r="Z139" s="120"/>
      <c r="AA139" s="120"/>
      <c r="AB139" s="2"/>
      <c r="AC139" s="2"/>
      <c r="AD139" s="2"/>
      <c r="AE139" s="2"/>
      <c r="AF139" s="2"/>
      <c r="AG139" s="2"/>
      <c r="AH139" s="2"/>
      <c r="AI139" s="2"/>
      <c r="AJ139" s="2"/>
      <c r="AK139" s="2"/>
      <c r="AL139" s="2"/>
      <c r="AM139" s="2"/>
      <c r="AN139" s="2"/>
      <c r="AO139" s="2"/>
      <c r="AP139" s="2"/>
      <c r="AQ139" s="2"/>
      <c r="AR139" s="2"/>
      <c r="AS139" s="2"/>
      <c r="AT139" s="2"/>
      <c r="AU139" s="2"/>
      <c r="AV139" s="2"/>
      <c r="AW139" s="120">
        <f t="shared" si="476"/>
        <v>6.4552860666614156E-2</v>
      </c>
      <c r="AX139" s="120">
        <f t="shared" si="476"/>
        <v>5.6686066844077121E-2</v>
      </c>
      <c r="AY139" s="120">
        <f t="shared" si="476"/>
        <v>5.0218809144028646E-2</v>
      </c>
      <c r="AZ139" s="120">
        <f t="shared" si="476"/>
        <v>4.0735836490491423E-2</v>
      </c>
      <c r="BA139" s="120">
        <f t="shared" si="476"/>
        <v>3.5011148127356444E-2</v>
      </c>
      <c r="BB139" s="120">
        <f t="shared" si="476"/>
        <v>2.4806302404382405E-2</v>
      </c>
      <c r="BC139" s="120">
        <f t="shared" si="476"/>
        <v>2.174178530588379E-2</v>
      </c>
      <c r="BD139" s="120">
        <f t="shared" ca="1" si="476"/>
        <v>1.4350879056829901E-2</v>
      </c>
      <c r="BE139" s="120"/>
      <c r="BF139" s="2"/>
      <c r="BG139" s="2"/>
      <c r="BH139" s="2"/>
      <c r="BI139" s="2"/>
      <c r="BJ139" s="2"/>
      <c r="BK139" s="2"/>
    </row>
    <row r="140" spans="1:63" ht="13.5" customHeight="1">
      <c r="A140" s="2"/>
      <c r="B140" s="9" t="s">
        <v>188</v>
      </c>
      <c r="C140" s="6"/>
      <c r="D140" s="216">
        <f t="shared" ref="D140:W140" si="481">IFERROR(D110/D$111,"n/a")</f>
        <v>3.3602745199398668E-2</v>
      </c>
      <c r="E140" s="216">
        <f t="shared" si="481"/>
        <v>3.1749214435222564E-2</v>
      </c>
      <c r="F140" s="216">
        <f t="shared" si="481"/>
        <v>3.2877571481809455E-2</v>
      </c>
      <c r="G140" s="216">
        <f t="shared" si="481"/>
        <v>3.5524833025995198E-2</v>
      </c>
      <c r="H140" s="216">
        <f t="shared" si="481"/>
        <v>3.0950257667947172E-2</v>
      </c>
      <c r="I140" s="216">
        <f t="shared" si="481"/>
        <v>3.138801319556192E-2</v>
      </c>
      <c r="J140" s="216">
        <f t="shared" si="481"/>
        <v>2.8258382063021677E-2</v>
      </c>
      <c r="K140" s="216">
        <f t="shared" si="481"/>
        <v>3.2562745837526219E-2</v>
      </c>
      <c r="L140" s="216">
        <f t="shared" si="481"/>
        <v>3.1716052154734949E-2</v>
      </c>
      <c r="M140" s="216">
        <f t="shared" si="481"/>
        <v>3.1281517438375532E-2</v>
      </c>
      <c r="N140" s="216">
        <f t="shared" si="481"/>
        <v>2.9880595031359609E-2</v>
      </c>
      <c r="O140" s="216">
        <f t="shared" si="481"/>
        <v>3.7358246950257676E-2</v>
      </c>
      <c r="P140" s="216">
        <f t="shared" si="481"/>
        <v>3.7465974507319248E-2</v>
      </c>
      <c r="Q140" s="216">
        <f t="shared" si="481"/>
        <v>3.7461039064672262E-2</v>
      </c>
      <c r="R140" s="216">
        <f t="shared" si="481"/>
        <v>3.2185117395142432E-2</v>
      </c>
      <c r="S140" s="216">
        <f t="shared" si="481"/>
        <v>2.3685710246390414E-2</v>
      </c>
      <c r="T140" s="216">
        <f t="shared" si="481"/>
        <v>2.3021772552533588E-2</v>
      </c>
      <c r="U140" s="216">
        <f t="shared" si="481"/>
        <v>2.1322277658768034E-2</v>
      </c>
      <c r="V140" s="251">
        <v>0.02</v>
      </c>
      <c r="W140" s="216">
        <f t="shared" ca="1" si="481"/>
        <v>1.9408168347039033E-2</v>
      </c>
      <c r="X140" s="216"/>
      <c r="Y140" s="216"/>
      <c r="Z140" s="216"/>
      <c r="AA140" s="216"/>
      <c r="AB140" s="2"/>
      <c r="AC140" s="2"/>
      <c r="AD140" s="2"/>
      <c r="AE140" s="2"/>
      <c r="AF140" s="2"/>
      <c r="AG140" s="2"/>
      <c r="AH140" s="2"/>
      <c r="AI140" s="2"/>
      <c r="AJ140" s="2"/>
      <c r="AK140" s="2"/>
      <c r="AL140" s="2"/>
      <c r="AM140" s="2"/>
      <c r="AN140" s="2"/>
      <c r="AO140" s="2"/>
      <c r="AP140" s="2"/>
      <c r="AQ140" s="2"/>
      <c r="AR140" s="2"/>
      <c r="AS140" s="2"/>
      <c r="AT140" s="2"/>
      <c r="AU140" s="2"/>
      <c r="AV140" s="2"/>
      <c r="AW140" s="216">
        <f t="shared" si="476"/>
        <v>5.0267687148254594E-2</v>
      </c>
      <c r="AX140" s="216">
        <f t="shared" si="476"/>
        <v>4.6380056643565516E-2</v>
      </c>
      <c r="AY140" s="216">
        <f t="shared" si="476"/>
        <v>3.9775918522585364E-2</v>
      </c>
      <c r="AZ140" s="216">
        <f t="shared" si="476"/>
        <v>3.3498329542308435E-2</v>
      </c>
      <c r="BA140" s="216">
        <f t="shared" si="476"/>
        <v>3.0794811602883918E-2</v>
      </c>
      <c r="BB140" s="216">
        <f t="shared" si="476"/>
        <v>3.2675405953193612E-2</v>
      </c>
      <c r="BC140" s="216">
        <f t="shared" si="476"/>
        <v>3.2141760140923778E-2</v>
      </c>
      <c r="BD140" s="216">
        <f t="shared" ca="1" si="476"/>
        <v>2.0752254471447632E-2</v>
      </c>
      <c r="BE140" s="216"/>
      <c r="BF140" s="2"/>
      <c r="BG140" s="2"/>
      <c r="BH140" s="2"/>
      <c r="BI140" s="2"/>
      <c r="BJ140" s="2"/>
      <c r="BK140" s="2"/>
    </row>
    <row r="141" spans="1:63" ht="11.25" customHeight="1">
      <c r="A141" s="2"/>
      <c r="B141" s="36" t="s">
        <v>897</v>
      </c>
      <c r="C141" s="6"/>
      <c r="D141" s="236">
        <f>SUM(D135:D140)</f>
        <v>1</v>
      </c>
      <c r="E141" s="236">
        <f t="shared" ref="E141:T141" si="482">SUM(E135:E140)</f>
        <v>1</v>
      </c>
      <c r="F141" s="236">
        <f t="shared" si="482"/>
        <v>0.99999999999999989</v>
      </c>
      <c r="G141" s="236">
        <f t="shared" si="482"/>
        <v>0.99999999999999978</v>
      </c>
      <c r="H141" s="236">
        <f t="shared" si="482"/>
        <v>0.99999999999999967</v>
      </c>
      <c r="I141" s="236">
        <f t="shared" si="482"/>
        <v>0.99999999999999989</v>
      </c>
      <c r="J141" s="236">
        <f t="shared" si="482"/>
        <v>1</v>
      </c>
      <c r="K141" s="236">
        <f t="shared" si="482"/>
        <v>1</v>
      </c>
      <c r="L141" s="236">
        <f t="shared" si="482"/>
        <v>0.99999999999999989</v>
      </c>
      <c r="M141" s="236">
        <f t="shared" si="482"/>
        <v>0.99999999999999967</v>
      </c>
      <c r="N141" s="236">
        <f t="shared" si="482"/>
        <v>1</v>
      </c>
      <c r="O141" s="236">
        <f t="shared" si="482"/>
        <v>0.99999999999999989</v>
      </c>
      <c r="P141" s="236">
        <f t="shared" si="482"/>
        <v>1</v>
      </c>
      <c r="Q141" s="236">
        <f t="shared" si="482"/>
        <v>0.99999999999999989</v>
      </c>
      <c r="R141" s="236">
        <f t="shared" si="482"/>
        <v>0.99999999999999989</v>
      </c>
      <c r="S141" s="236">
        <f t="shared" si="482"/>
        <v>1</v>
      </c>
      <c r="T141" s="236">
        <f t="shared" si="482"/>
        <v>0.99999999999999978</v>
      </c>
      <c r="U141" s="236">
        <f t="shared" ref="U141" si="483">SUM(U135:U140)</f>
        <v>1</v>
      </c>
      <c r="V141" s="236">
        <f t="shared" ref="V141:W141" si="484">SUM(V135:V140)</f>
        <v>1.0000000000000002</v>
      </c>
      <c r="W141" s="236">
        <f t="shared" ca="1" si="484"/>
        <v>1</v>
      </c>
      <c r="X141" s="236"/>
      <c r="Y141" s="236"/>
      <c r="Z141" s="236"/>
      <c r="AA141" s="236"/>
      <c r="AB141" s="2"/>
      <c r="AC141" s="2"/>
      <c r="AD141" s="2"/>
      <c r="AE141" s="2"/>
      <c r="AF141" s="2"/>
      <c r="AG141" s="2"/>
      <c r="AH141" s="2"/>
      <c r="AI141" s="2"/>
      <c r="AJ141" s="2"/>
      <c r="AK141" s="2"/>
      <c r="AL141" s="2"/>
      <c r="AM141" s="2"/>
      <c r="AN141" s="2"/>
      <c r="AO141" s="2"/>
      <c r="AP141" s="2"/>
      <c r="AQ141" s="2"/>
      <c r="AR141" s="2"/>
      <c r="AS141" s="2"/>
      <c r="AT141" s="2"/>
      <c r="AU141" s="2"/>
      <c r="AV141" s="2"/>
      <c r="AW141" s="236">
        <f t="shared" ref="AW141:AY141" si="485">SUM(AW135:AW140)</f>
        <v>1</v>
      </c>
      <c r="AX141" s="236">
        <f t="shared" si="485"/>
        <v>1</v>
      </c>
      <c r="AY141" s="236">
        <f t="shared" si="485"/>
        <v>1</v>
      </c>
      <c r="AZ141" s="236">
        <f t="shared" ref="AZ141" si="486">SUM(AZ135:AZ140)</f>
        <v>1</v>
      </c>
      <c r="BA141" s="236">
        <f t="shared" ref="BA141" si="487">SUM(BA135:BA140)</f>
        <v>1</v>
      </c>
      <c r="BB141" s="236">
        <f t="shared" ref="BB141" si="488">SUM(BB135:BB140)</f>
        <v>0.99999999999999989</v>
      </c>
      <c r="BC141" s="236">
        <f t="shared" ref="BC141:BD141" si="489">SUM(BC135:BC140)</f>
        <v>1</v>
      </c>
      <c r="BD141" s="236">
        <f t="shared" ca="1" si="489"/>
        <v>0.99999999999999989</v>
      </c>
      <c r="BE141" s="236"/>
      <c r="BF141" s="2"/>
      <c r="BG141" s="2"/>
      <c r="BH141" s="2"/>
      <c r="BI141" s="2"/>
      <c r="BJ141" s="2"/>
      <c r="BK141" s="2"/>
    </row>
    <row r="142" spans="1:63" ht="11.25" customHeight="1">
      <c r="A142" s="2"/>
      <c r="B142" s="36"/>
      <c r="C142" s="6"/>
      <c r="D142" s="236"/>
      <c r="E142" s="236"/>
      <c r="F142" s="236"/>
      <c r="G142" s="236"/>
      <c r="H142" s="120"/>
      <c r="I142" s="120"/>
      <c r="J142" s="120"/>
      <c r="K142" s="120"/>
      <c r="L142" s="120"/>
      <c r="M142" s="120"/>
      <c r="N142" s="120"/>
      <c r="O142" s="120"/>
      <c r="P142" s="120"/>
      <c r="Q142" s="120"/>
      <c r="R142" s="120"/>
      <c r="S142" s="120"/>
      <c r="T142" s="120"/>
      <c r="U142" s="120"/>
      <c r="V142" s="120"/>
      <c r="W142" s="120"/>
      <c r="X142" s="120"/>
      <c r="Y142" s="120"/>
      <c r="Z142" s="120"/>
      <c r="AA142" s="120"/>
      <c r="AB142" s="2"/>
      <c r="AC142" s="2"/>
      <c r="AD142" s="2"/>
      <c r="AE142" s="2"/>
      <c r="AF142" s="2"/>
      <c r="AG142" s="2"/>
      <c r="AH142" s="2"/>
      <c r="AI142" s="2"/>
      <c r="AJ142" s="2"/>
      <c r="AK142" s="2"/>
      <c r="AL142" s="2"/>
      <c r="AM142" s="2"/>
      <c r="AN142" s="2"/>
      <c r="AO142" s="2"/>
      <c r="AP142" s="2"/>
      <c r="AQ142" s="2"/>
      <c r="AR142" s="2"/>
      <c r="AS142" s="2"/>
      <c r="AT142" s="2"/>
      <c r="AU142" s="2"/>
      <c r="AV142" s="2"/>
      <c r="AW142" s="236"/>
      <c r="AX142" s="120"/>
      <c r="AY142" s="120"/>
      <c r="AZ142" s="120"/>
      <c r="BA142" s="120"/>
      <c r="BB142" s="120"/>
      <c r="BC142" s="120"/>
      <c r="BD142" s="120"/>
      <c r="BE142" s="120"/>
      <c r="BF142" s="2"/>
      <c r="BG142" s="2"/>
      <c r="BH142" s="2"/>
      <c r="BI142" s="2"/>
      <c r="BJ142" s="2"/>
      <c r="BK142" s="2"/>
    </row>
    <row r="143" spans="1:63" ht="11.25" customHeight="1">
      <c r="A143" s="2"/>
      <c r="B143" s="65" t="s">
        <v>291</v>
      </c>
      <c r="C143" s="6"/>
      <c r="D143" s="236"/>
      <c r="E143" s="236"/>
      <c r="F143" s="236"/>
      <c r="G143" s="236"/>
      <c r="H143" s="120"/>
      <c r="I143" s="120"/>
      <c r="J143" s="120"/>
      <c r="K143" s="120"/>
      <c r="L143" s="120"/>
      <c r="M143" s="120"/>
      <c r="N143" s="120"/>
      <c r="O143" s="120"/>
      <c r="P143" s="120"/>
      <c r="Q143" s="120"/>
      <c r="R143" s="120"/>
      <c r="S143" s="120"/>
      <c r="T143" s="120"/>
      <c r="U143" s="120"/>
      <c r="V143" s="120"/>
      <c r="W143" s="120"/>
      <c r="X143" s="120"/>
      <c r="Y143" s="120"/>
      <c r="Z143" s="120"/>
      <c r="AA143" s="120"/>
      <c r="AB143" s="2"/>
      <c r="AC143" s="2"/>
      <c r="AD143" s="2"/>
      <c r="AE143" s="2"/>
      <c r="AF143" s="2"/>
      <c r="AG143" s="2"/>
      <c r="AH143" s="2"/>
      <c r="AI143" s="2"/>
      <c r="AJ143" s="2"/>
      <c r="AK143" s="2"/>
      <c r="AL143" s="2"/>
      <c r="AM143" s="2"/>
      <c r="AN143" s="2"/>
      <c r="AO143" s="2"/>
      <c r="AP143" s="2"/>
      <c r="AQ143" s="2"/>
      <c r="AR143" s="2"/>
      <c r="AS143" s="2"/>
      <c r="AT143" s="2"/>
      <c r="AU143" s="2"/>
      <c r="AV143" s="2"/>
      <c r="AW143" s="236"/>
      <c r="AX143" s="120"/>
      <c r="AY143" s="120"/>
      <c r="AZ143" s="120"/>
      <c r="BA143" s="120"/>
      <c r="BB143" s="120"/>
      <c r="BC143" s="120"/>
      <c r="BD143" s="120"/>
      <c r="BE143" s="120"/>
      <c r="BF143" s="2"/>
      <c r="BG143" s="2"/>
      <c r="BH143" s="2"/>
      <c r="BI143" s="2"/>
      <c r="BJ143" s="2"/>
      <c r="BK143" s="2"/>
    </row>
    <row r="144" spans="1:63" ht="11.25" customHeight="1">
      <c r="A144" s="2"/>
      <c r="B144" s="636" t="s">
        <v>284</v>
      </c>
      <c r="C144" s="636"/>
      <c r="D144" s="137">
        <v>0.56000000000000005</v>
      </c>
      <c r="E144" s="137">
        <v>0.57999999999999996</v>
      </c>
      <c r="F144" s="137">
        <v>0.59</v>
      </c>
      <c r="G144" s="137">
        <v>0.73</v>
      </c>
      <c r="H144" s="137">
        <v>0.67</v>
      </c>
      <c r="I144" s="137">
        <v>0.64</v>
      </c>
      <c r="J144" s="137">
        <v>0.65</v>
      </c>
      <c r="K144" s="137">
        <v>0.66</v>
      </c>
      <c r="L144" s="137">
        <v>0.64</v>
      </c>
      <c r="M144" s="137">
        <v>0.64</v>
      </c>
      <c r="N144" s="137">
        <v>0.72</v>
      </c>
      <c r="O144" s="137">
        <v>0.69</v>
      </c>
      <c r="P144" s="137">
        <v>0.63</v>
      </c>
      <c r="Q144" s="137">
        <v>0.66</v>
      </c>
      <c r="R144" s="137">
        <v>0.69</v>
      </c>
      <c r="S144" s="137">
        <v>0.72</v>
      </c>
      <c r="T144" s="137">
        <v>0.69</v>
      </c>
      <c r="U144" s="137">
        <v>0.65</v>
      </c>
      <c r="V144" s="120"/>
      <c r="W144" s="120"/>
      <c r="X144" s="120"/>
      <c r="Y144" s="120"/>
      <c r="Z144" s="120"/>
      <c r="AA144" s="120"/>
      <c r="AB144" s="2"/>
      <c r="AC144" s="2"/>
      <c r="AD144" s="2"/>
      <c r="AE144" s="2"/>
      <c r="AF144" s="2"/>
      <c r="AG144" s="2"/>
      <c r="AH144" s="2"/>
      <c r="AI144" s="2"/>
      <c r="AJ144" s="2"/>
      <c r="AK144" s="2"/>
      <c r="AL144" s="2"/>
      <c r="AM144" s="2"/>
      <c r="AN144" s="2"/>
      <c r="AO144" s="2"/>
      <c r="AP144" s="2"/>
      <c r="AQ144" s="2"/>
      <c r="AR144" s="2"/>
      <c r="AS144" s="2"/>
      <c r="AT144" s="2"/>
      <c r="AU144" s="2"/>
      <c r="AV144" s="2"/>
      <c r="AW144" s="236"/>
      <c r="AX144" s="120"/>
      <c r="AY144" s="120"/>
      <c r="AZ144" s="120"/>
      <c r="BA144" s="120"/>
      <c r="BB144" s="120"/>
      <c r="BC144" s="120"/>
      <c r="BD144" s="120"/>
      <c r="BE144" s="120"/>
      <c r="BF144" s="2"/>
      <c r="BG144" s="2"/>
      <c r="BH144" s="2"/>
      <c r="BI144" s="2"/>
      <c r="BJ144" s="2"/>
      <c r="BK144" s="2"/>
    </row>
    <row r="145" spans="1:63" ht="11.25" customHeight="1">
      <c r="A145" s="2"/>
      <c r="B145" s="636" t="s">
        <v>285</v>
      </c>
      <c r="C145" s="636"/>
      <c r="D145" s="137">
        <v>0.22</v>
      </c>
      <c r="E145" s="137">
        <v>0.21</v>
      </c>
      <c r="F145" s="137">
        <v>0.22</v>
      </c>
      <c r="G145" s="137">
        <v>0.06</v>
      </c>
      <c r="H145" s="137">
        <v>0.06</v>
      </c>
      <c r="I145" s="137">
        <v>0.11</v>
      </c>
      <c r="J145" s="137">
        <v>0.11</v>
      </c>
      <c r="K145" s="137">
        <v>0.12</v>
      </c>
      <c r="L145" s="137">
        <v>0.11</v>
      </c>
      <c r="M145" s="137">
        <v>0.13</v>
      </c>
      <c r="N145" s="137">
        <v>0.08</v>
      </c>
      <c r="O145" s="137">
        <v>0.12</v>
      </c>
      <c r="P145" s="137">
        <v>0.15</v>
      </c>
      <c r="Q145" s="137">
        <v>0.12</v>
      </c>
      <c r="R145" s="137">
        <v>0.12</v>
      </c>
      <c r="S145" s="137">
        <v>0.11</v>
      </c>
      <c r="T145" s="137">
        <v>0.09</v>
      </c>
      <c r="U145" s="137">
        <v>0.16</v>
      </c>
      <c r="V145" s="120"/>
      <c r="W145" s="120"/>
      <c r="X145" s="120"/>
      <c r="Y145" s="120"/>
      <c r="Z145" s="120"/>
      <c r="AA145" s="120"/>
      <c r="AB145" s="2"/>
      <c r="AC145" s="2"/>
      <c r="AD145" s="2"/>
      <c r="AE145" s="2"/>
      <c r="AF145" s="2"/>
      <c r="AG145" s="2"/>
      <c r="AH145" s="2"/>
      <c r="AI145" s="2"/>
      <c r="AJ145" s="2"/>
      <c r="AK145" s="2"/>
      <c r="AL145" s="2"/>
      <c r="AM145" s="2"/>
      <c r="AN145" s="2"/>
      <c r="AO145" s="2"/>
      <c r="AP145" s="2"/>
      <c r="AQ145" s="2"/>
      <c r="AR145" s="2"/>
      <c r="AS145" s="2"/>
      <c r="AT145" s="2"/>
      <c r="AU145" s="2"/>
      <c r="AV145" s="2"/>
      <c r="AW145" s="236"/>
      <c r="AX145" s="120"/>
      <c r="AY145" s="120"/>
      <c r="AZ145" s="120"/>
      <c r="BA145" s="120"/>
      <c r="BB145" s="120"/>
      <c r="BC145" s="120"/>
      <c r="BD145" s="120"/>
      <c r="BE145" s="120"/>
      <c r="BF145" s="2"/>
      <c r="BG145" s="2"/>
      <c r="BH145" s="2"/>
      <c r="BI145" s="2"/>
      <c r="BJ145" s="2"/>
      <c r="BK145" s="2"/>
    </row>
    <row r="146" spans="1:63" ht="11.25" customHeight="1">
      <c r="A146" s="2"/>
      <c r="B146" s="636" t="s">
        <v>286</v>
      </c>
      <c r="C146" s="636"/>
      <c r="D146" s="137">
        <v>0.11</v>
      </c>
      <c r="E146" s="137">
        <v>0.1</v>
      </c>
      <c r="F146" s="137">
        <v>0.1</v>
      </c>
      <c r="G146" s="137">
        <v>0.12</v>
      </c>
      <c r="H146" s="137">
        <v>0.17</v>
      </c>
      <c r="I146" s="137">
        <v>0.15</v>
      </c>
      <c r="J146" s="137">
        <v>0.13</v>
      </c>
      <c r="K146" s="137">
        <v>0.12</v>
      </c>
      <c r="L146" s="137">
        <v>0.15</v>
      </c>
      <c r="M146" s="137">
        <v>0.12</v>
      </c>
      <c r="N146" s="137">
        <v>0.1</v>
      </c>
      <c r="O146" s="137">
        <v>7.0000000000000007E-2</v>
      </c>
      <c r="P146" s="137">
        <v>0.08</v>
      </c>
      <c r="Q146" s="137">
        <v>0.08</v>
      </c>
      <c r="R146" s="137">
        <v>0.08</v>
      </c>
      <c r="S146" s="137">
        <v>0.08</v>
      </c>
      <c r="T146" s="137">
        <v>0.12</v>
      </c>
      <c r="U146" s="137">
        <v>0.09</v>
      </c>
      <c r="V146" s="120"/>
      <c r="W146" s="120"/>
      <c r="X146" s="120"/>
      <c r="Y146" s="120"/>
      <c r="Z146" s="120"/>
      <c r="AA146" s="120"/>
      <c r="AB146" s="2"/>
      <c r="AC146" s="2"/>
      <c r="AD146" s="2"/>
      <c r="AE146" s="2"/>
      <c r="AF146" s="2"/>
      <c r="AG146" s="2"/>
      <c r="AH146" s="2"/>
      <c r="AI146" s="2"/>
      <c r="AJ146" s="2"/>
      <c r="AK146" s="2"/>
      <c r="AL146" s="2"/>
      <c r="AM146" s="2"/>
      <c r="AN146" s="2"/>
      <c r="AO146" s="2"/>
      <c r="AP146" s="2"/>
      <c r="AQ146" s="2"/>
      <c r="AR146" s="2"/>
      <c r="AS146" s="2"/>
      <c r="AT146" s="2"/>
      <c r="AU146" s="2"/>
      <c r="AV146" s="2"/>
      <c r="AW146" s="236"/>
      <c r="AX146" s="120"/>
      <c r="AY146" s="120"/>
      <c r="AZ146" s="120"/>
      <c r="BA146" s="120"/>
      <c r="BB146" s="120"/>
      <c r="BC146" s="120"/>
      <c r="BD146" s="120"/>
      <c r="BE146" s="120"/>
      <c r="BF146" s="2"/>
      <c r="BG146" s="2"/>
      <c r="BH146" s="2"/>
      <c r="BI146" s="2"/>
      <c r="BJ146" s="2"/>
      <c r="BK146" s="2"/>
    </row>
    <row r="147" spans="1:63" ht="11.25" customHeight="1">
      <c r="A147" s="2"/>
      <c r="B147" s="636" t="s">
        <v>287</v>
      </c>
      <c r="C147" s="636"/>
      <c r="D147" s="137">
        <v>0.05</v>
      </c>
      <c r="E147" s="137">
        <v>0.05</v>
      </c>
      <c r="F147" s="137">
        <v>0.04</v>
      </c>
      <c r="G147" s="137">
        <v>0.04</v>
      </c>
      <c r="H147" s="137">
        <v>0.04</v>
      </c>
      <c r="I147" s="137">
        <v>0.04</v>
      </c>
      <c r="J147" s="137">
        <v>0.05</v>
      </c>
      <c r="K147" s="137">
        <v>0.05</v>
      </c>
      <c r="L147" s="137">
        <v>0.05</v>
      </c>
      <c r="M147" s="137">
        <v>0.05</v>
      </c>
      <c r="N147" s="137">
        <v>0.05</v>
      </c>
      <c r="O147" s="137">
        <v>0.06</v>
      </c>
      <c r="P147" s="137">
        <v>7.0000000000000007E-2</v>
      </c>
      <c r="Q147" s="137">
        <v>7.0000000000000007E-2</v>
      </c>
      <c r="R147" s="137">
        <v>0.06</v>
      </c>
      <c r="S147" s="137">
        <v>0.05</v>
      </c>
      <c r="T147" s="137">
        <v>0.06</v>
      </c>
      <c r="U147" s="137">
        <v>0.06</v>
      </c>
      <c r="V147" s="120"/>
      <c r="W147" s="120"/>
      <c r="X147" s="120"/>
      <c r="Y147" s="120"/>
      <c r="Z147" s="120"/>
      <c r="AA147" s="120"/>
      <c r="AB147" s="2"/>
      <c r="AC147" s="2"/>
      <c r="AD147" s="2"/>
      <c r="AE147" s="2"/>
      <c r="AF147" s="2"/>
      <c r="AG147" s="2"/>
      <c r="AH147" s="2"/>
      <c r="AI147" s="2"/>
      <c r="AJ147" s="2"/>
      <c r="AK147" s="2"/>
      <c r="AL147" s="2"/>
      <c r="AM147" s="2"/>
      <c r="AN147" s="2"/>
      <c r="AO147" s="2"/>
      <c r="AP147" s="2"/>
      <c r="AQ147" s="2"/>
      <c r="AR147" s="2"/>
      <c r="AS147" s="2"/>
      <c r="AT147" s="2"/>
      <c r="AU147" s="2"/>
      <c r="AV147" s="2"/>
      <c r="AW147" s="236"/>
      <c r="AX147" s="120"/>
      <c r="AY147" s="120"/>
      <c r="AZ147" s="120"/>
      <c r="BA147" s="120"/>
      <c r="BB147" s="120"/>
      <c r="BC147" s="120"/>
      <c r="BD147" s="120"/>
      <c r="BE147" s="120"/>
      <c r="BF147" s="2"/>
      <c r="BG147" s="2"/>
      <c r="BH147" s="2"/>
      <c r="BI147" s="2"/>
      <c r="BJ147" s="2"/>
      <c r="BK147" s="2"/>
    </row>
    <row r="148" spans="1:63" ht="13.5" customHeight="1">
      <c r="A148" s="2"/>
      <c r="B148" s="636" t="s">
        <v>288</v>
      </c>
      <c r="C148" s="636"/>
      <c r="D148" s="637">
        <v>0.06</v>
      </c>
      <c r="E148" s="637">
        <v>0.06</v>
      </c>
      <c r="F148" s="637">
        <v>0.05</v>
      </c>
      <c r="G148" s="637">
        <v>0.05</v>
      </c>
      <c r="H148" s="637">
        <v>0.06</v>
      </c>
      <c r="I148" s="637">
        <v>0.06</v>
      </c>
      <c r="J148" s="637">
        <v>0.06</v>
      </c>
      <c r="K148" s="637">
        <v>0.05</v>
      </c>
      <c r="L148" s="637">
        <v>0.05</v>
      </c>
      <c r="M148" s="637">
        <v>0.06</v>
      </c>
      <c r="N148" s="637">
        <v>0.05</v>
      </c>
      <c r="O148" s="637">
        <v>0.06</v>
      </c>
      <c r="P148" s="637">
        <v>7.0000000000000007E-2</v>
      </c>
      <c r="Q148" s="637">
        <v>7.0000000000000007E-2</v>
      </c>
      <c r="R148" s="637">
        <v>0.05</v>
      </c>
      <c r="S148" s="637">
        <v>0.04</v>
      </c>
      <c r="T148" s="637">
        <v>0.04</v>
      </c>
      <c r="U148" s="637">
        <v>0.04</v>
      </c>
      <c r="V148" s="120"/>
      <c r="W148" s="120"/>
      <c r="X148" s="120"/>
      <c r="Y148" s="120"/>
      <c r="Z148" s="120"/>
      <c r="AA148" s="120"/>
      <c r="AB148" s="2"/>
      <c r="AC148" s="2"/>
      <c r="AD148" s="2"/>
      <c r="AE148" s="2"/>
      <c r="AF148" s="2"/>
      <c r="AG148" s="2"/>
      <c r="AH148" s="2"/>
      <c r="AI148" s="2"/>
      <c r="AJ148" s="2"/>
      <c r="AK148" s="2"/>
      <c r="AL148" s="2"/>
      <c r="AM148" s="2"/>
      <c r="AN148" s="2"/>
      <c r="AO148" s="2"/>
      <c r="AP148" s="2"/>
      <c r="AQ148" s="2"/>
      <c r="AR148" s="2"/>
      <c r="AS148" s="2"/>
      <c r="AT148" s="2"/>
      <c r="AU148" s="2"/>
      <c r="AV148" s="2"/>
      <c r="AW148" s="236"/>
      <c r="AX148" s="120"/>
      <c r="AY148" s="120"/>
      <c r="AZ148" s="120"/>
      <c r="BA148" s="120"/>
      <c r="BB148" s="120"/>
      <c r="BC148" s="120"/>
      <c r="BD148" s="120"/>
      <c r="BE148" s="120"/>
      <c r="BF148" s="2"/>
      <c r="BG148" s="2"/>
      <c r="BH148" s="2"/>
      <c r="BI148" s="2"/>
      <c r="BJ148" s="2"/>
      <c r="BK148" s="2"/>
    </row>
    <row r="149" spans="1:63" ht="11.25" customHeight="1">
      <c r="A149" s="2"/>
      <c r="B149" s="635" t="s">
        <v>897</v>
      </c>
      <c r="C149" s="636"/>
      <c r="D149" s="484">
        <f>SUM(D144:D148)</f>
        <v>1</v>
      </c>
      <c r="E149" s="484">
        <f t="shared" ref="E149:U149" si="490">SUM(E144:E148)</f>
        <v>1</v>
      </c>
      <c r="F149" s="484">
        <f t="shared" si="490"/>
        <v>1</v>
      </c>
      <c r="G149" s="484">
        <f t="shared" si="490"/>
        <v>1</v>
      </c>
      <c r="H149" s="484">
        <f t="shared" si="490"/>
        <v>1</v>
      </c>
      <c r="I149" s="484">
        <f t="shared" si="490"/>
        <v>1</v>
      </c>
      <c r="J149" s="484">
        <f t="shared" si="490"/>
        <v>1</v>
      </c>
      <c r="K149" s="484">
        <f t="shared" si="490"/>
        <v>1</v>
      </c>
      <c r="L149" s="484">
        <f t="shared" si="490"/>
        <v>1</v>
      </c>
      <c r="M149" s="484">
        <f t="shared" si="490"/>
        <v>1</v>
      </c>
      <c r="N149" s="484">
        <f t="shared" si="490"/>
        <v>1</v>
      </c>
      <c r="O149" s="484">
        <f t="shared" si="490"/>
        <v>1</v>
      </c>
      <c r="P149" s="484">
        <f t="shared" si="490"/>
        <v>1</v>
      </c>
      <c r="Q149" s="484">
        <f t="shared" si="490"/>
        <v>1</v>
      </c>
      <c r="R149" s="484">
        <f t="shared" si="490"/>
        <v>1</v>
      </c>
      <c r="S149" s="484">
        <f t="shared" si="490"/>
        <v>1</v>
      </c>
      <c r="T149" s="484">
        <f t="shared" si="490"/>
        <v>1</v>
      </c>
      <c r="U149" s="484">
        <f t="shared" si="490"/>
        <v>1</v>
      </c>
      <c r="V149" s="120"/>
      <c r="W149" s="120"/>
      <c r="X149" s="120"/>
      <c r="Y149" s="120"/>
      <c r="Z149" s="120"/>
      <c r="AA149" s="120"/>
      <c r="AB149" s="2"/>
      <c r="AC149" s="2"/>
      <c r="AD149" s="2"/>
      <c r="AE149" s="2"/>
      <c r="AF149" s="2"/>
      <c r="AG149" s="2"/>
      <c r="AH149" s="2"/>
      <c r="AI149" s="2"/>
      <c r="AJ149" s="2"/>
      <c r="AK149" s="2"/>
      <c r="AL149" s="2"/>
      <c r="AM149" s="2"/>
      <c r="AN149" s="2"/>
      <c r="AO149" s="2"/>
      <c r="AP149" s="2"/>
      <c r="AQ149" s="2"/>
      <c r="AR149" s="2"/>
      <c r="AS149" s="2"/>
      <c r="AT149" s="2"/>
      <c r="AU149" s="2"/>
      <c r="AV149" s="2"/>
      <c r="AW149" s="236"/>
      <c r="AX149" s="120"/>
      <c r="AY149" s="120"/>
      <c r="AZ149" s="120"/>
      <c r="BA149" s="120"/>
      <c r="BB149" s="120"/>
      <c r="BC149" s="120"/>
      <c r="BD149" s="120"/>
      <c r="BE149" s="120"/>
      <c r="BF149" s="2"/>
      <c r="BG149" s="2"/>
      <c r="BH149" s="2"/>
      <c r="BI149" s="2"/>
      <c r="BJ149" s="2"/>
      <c r="BK149" s="2"/>
    </row>
    <row r="150" spans="1:63" ht="11.25" customHeight="1">
      <c r="A150" s="76"/>
      <c r="B150" s="36"/>
      <c r="C150" s="18"/>
      <c r="D150" s="1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c r="AA150" s="188"/>
      <c r="AB150" s="18"/>
      <c r="AC150" s="18"/>
      <c r="AD150" s="18"/>
      <c r="AE150" s="18"/>
      <c r="AF150" s="18"/>
      <c r="AG150" s="18"/>
      <c r="AH150" s="18"/>
      <c r="AI150" s="18"/>
      <c r="AJ150" s="18"/>
      <c r="AK150" s="18"/>
      <c r="AL150" s="18"/>
      <c r="AM150" s="18"/>
      <c r="AN150" s="18"/>
      <c r="AO150" s="18"/>
      <c r="AP150" s="18"/>
      <c r="AQ150" s="18"/>
      <c r="AR150" s="18"/>
      <c r="AS150" s="18"/>
      <c r="AT150" s="18"/>
      <c r="AU150" s="18"/>
      <c r="AV150" s="188"/>
      <c r="AW150" s="188"/>
      <c r="AX150" s="188"/>
      <c r="AY150" s="188"/>
      <c r="AZ150" s="188"/>
      <c r="BA150" s="188"/>
      <c r="BB150" s="188"/>
      <c r="BC150" s="188"/>
      <c r="BD150" s="188"/>
      <c r="BE150" s="188"/>
      <c r="BF150" s="2"/>
      <c r="BG150" s="50"/>
      <c r="BH150" s="50"/>
      <c r="BI150" s="50"/>
      <c r="BJ150" s="50"/>
      <c r="BK150" s="50"/>
    </row>
    <row r="151" spans="1:63" ht="11.25" customHeight="1">
      <c r="A151" s="2"/>
      <c r="B151" s="128" t="s">
        <v>29</v>
      </c>
      <c r="C151" s="6"/>
      <c r="D151" s="236"/>
      <c r="E151" s="236"/>
      <c r="F151" s="236"/>
      <c r="G151" s="236"/>
      <c r="H151" s="236"/>
      <c r="I151" s="236"/>
      <c r="J151" s="236"/>
      <c r="K151" s="236"/>
      <c r="L151" s="236"/>
      <c r="M151" s="236"/>
      <c r="N151" s="236"/>
      <c r="O151" s="236"/>
      <c r="P151" s="236"/>
      <c r="Q151" s="236"/>
      <c r="R151" s="236"/>
      <c r="S151" s="236"/>
      <c r="T151" s="236"/>
      <c r="U151" s="236"/>
      <c r="V151" s="120"/>
      <c r="W151" s="120"/>
      <c r="X151" s="120"/>
      <c r="Y151" s="120"/>
      <c r="Z151" s="120"/>
      <c r="AA151" s="120"/>
      <c r="AB151" s="2"/>
      <c r="AC151" s="2"/>
      <c r="AD151" s="2"/>
      <c r="AE151" s="2"/>
      <c r="AF151" s="2"/>
      <c r="AG151" s="2"/>
      <c r="AH151" s="2"/>
      <c r="AI151" s="2"/>
      <c r="AJ151" s="2"/>
      <c r="AK151" s="2"/>
      <c r="AL151" s="2"/>
      <c r="AM151" s="2"/>
      <c r="AN151" s="2"/>
      <c r="AO151" s="2"/>
      <c r="AP151" s="2"/>
      <c r="AQ151" s="2"/>
      <c r="AR151" s="2"/>
      <c r="AS151" s="2"/>
      <c r="AT151" s="2"/>
      <c r="AU151" s="2"/>
      <c r="AV151" s="2"/>
      <c r="AW151" s="236"/>
      <c r="AX151" s="120"/>
      <c r="AY151" s="120"/>
      <c r="AZ151" s="120"/>
      <c r="BA151" s="120"/>
      <c r="BB151" s="120"/>
      <c r="BC151" s="120"/>
      <c r="BD151" s="120"/>
      <c r="BE151" s="120"/>
      <c r="BF151" s="2"/>
      <c r="BG151" s="2"/>
      <c r="BH151" s="2"/>
      <c r="BI151" s="2"/>
      <c r="BJ151" s="2"/>
      <c r="BK151" s="2"/>
    </row>
    <row r="152" spans="1:63" ht="11.25" customHeight="1">
      <c r="A152" s="2"/>
      <c r="B152" s="75" t="s">
        <v>426</v>
      </c>
      <c r="C152" s="270"/>
      <c r="D152" s="270"/>
      <c r="E152" s="270"/>
      <c r="F152" s="270"/>
      <c r="G152" s="270"/>
      <c r="H152" s="270"/>
      <c r="I152" s="270"/>
      <c r="J152" s="270"/>
      <c r="K152" s="270"/>
      <c r="L152" s="270"/>
      <c r="M152" s="270"/>
      <c r="N152" s="270"/>
      <c r="O152" s="270"/>
      <c r="P152" s="270"/>
      <c r="Q152" s="270"/>
      <c r="R152" s="270"/>
      <c r="S152" s="270"/>
      <c r="T152" s="270"/>
      <c r="U152" s="270"/>
      <c r="V152" s="270"/>
      <c r="W152" s="270"/>
      <c r="X152" s="270"/>
      <c r="Y152" s="270"/>
      <c r="Z152" s="270"/>
      <c r="AA152" s="270"/>
      <c r="AB152" s="270"/>
      <c r="AC152" s="270"/>
      <c r="AD152" s="270"/>
      <c r="AE152" s="270"/>
      <c r="AF152" s="270"/>
      <c r="AG152" s="270"/>
      <c r="AH152" s="270"/>
      <c r="AI152" s="270"/>
      <c r="AJ152" s="270"/>
      <c r="AK152" s="270"/>
      <c r="AL152" s="270"/>
      <c r="AM152" s="270"/>
      <c r="AN152" s="270"/>
      <c r="AO152" s="270"/>
      <c r="AP152" s="270"/>
      <c r="AQ152" s="270"/>
      <c r="AR152" s="270"/>
      <c r="AS152" s="270"/>
      <c r="AT152" s="270"/>
      <c r="AU152" s="270"/>
      <c r="AV152" s="270"/>
      <c r="AW152" s="270"/>
      <c r="AX152" s="270"/>
      <c r="AY152" s="270"/>
      <c r="AZ152" s="270"/>
      <c r="BA152" s="270"/>
      <c r="BB152" s="270"/>
      <c r="BC152" s="270"/>
      <c r="BD152" s="270"/>
      <c r="BE152" s="2"/>
      <c r="BF152" s="2"/>
      <c r="BG152" s="2"/>
      <c r="BH152" s="2"/>
      <c r="BI152" s="2"/>
      <c r="BJ152" s="2"/>
      <c r="BK152" s="2"/>
    </row>
    <row r="153" spans="1:63" ht="11.25" customHeight="1">
      <c r="A153" s="2"/>
      <c r="B153" s="116"/>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row>
    <row r="154" spans="1:63" ht="11.25" customHeight="1">
      <c r="A154" s="2"/>
      <c r="B154" s="11" t="s">
        <v>972</v>
      </c>
      <c r="C154" s="10"/>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row>
    <row r="155" spans="1:63" ht="11.25" customHeight="1">
      <c r="A155" s="2"/>
      <c r="B155" s="116"/>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row>
    <row r="156" spans="1:63" ht="11.25" customHeight="1">
      <c r="A156" s="2"/>
      <c r="B156" s="641" t="s">
        <v>973</v>
      </c>
      <c r="C156" s="2"/>
      <c r="D156" s="20">
        <f>+D186</f>
        <v>271.649812</v>
      </c>
      <c r="E156" s="20">
        <f t="shared" ref="E156:U156" si="491">+E186</f>
        <v>275.30602999999996</v>
      </c>
      <c r="F156" s="20">
        <f t="shared" si="491"/>
        <v>316.55001500000003</v>
      </c>
      <c r="G156" s="20">
        <f t="shared" si="491"/>
        <v>314.95041600000008</v>
      </c>
      <c r="H156" s="20">
        <f t="shared" si="491"/>
        <v>322.47225600000007</v>
      </c>
      <c r="I156" s="20">
        <f t="shared" si="491"/>
        <v>332.00569999999993</v>
      </c>
      <c r="J156" s="20">
        <f t="shared" si="491"/>
        <v>366.00793199999998</v>
      </c>
      <c r="K156" s="20">
        <f t="shared" si="491"/>
        <v>384.8143849999999</v>
      </c>
      <c r="L156" s="20">
        <f t="shared" si="491"/>
        <v>438.636751</v>
      </c>
      <c r="M156" s="20">
        <f t="shared" si="491"/>
        <v>475.78123699999998</v>
      </c>
      <c r="N156" s="20">
        <f t="shared" si="491"/>
        <v>540.209881</v>
      </c>
      <c r="O156" s="20">
        <f t="shared" si="491"/>
        <v>537.22807800000021</v>
      </c>
      <c r="P156" s="20">
        <f t="shared" si="491"/>
        <v>448.38290500000005</v>
      </c>
      <c r="Q156" s="20">
        <f t="shared" si="491"/>
        <v>421.03737900000004</v>
      </c>
      <c r="R156" s="20">
        <f t="shared" si="491"/>
        <v>473.03734700000001</v>
      </c>
      <c r="S156" s="20">
        <f t="shared" si="491"/>
        <v>540.06044899999995</v>
      </c>
      <c r="T156" s="20">
        <f t="shared" si="491"/>
        <v>521.89697100000012</v>
      </c>
      <c r="U156" s="20">
        <f t="shared" ca="1" si="491"/>
        <v>596.24062000000004</v>
      </c>
      <c r="V156" s="19">
        <f>+V158-V157</f>
        <v>663.8879657</v>
      </c>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649">
        <f>0.89*AW158</f>
        <v>869.92782999999986</v>
      </c>
      <c r="AX156" s="20">
        <f t="shared" ref="AX156:BC156" si="492">+AX186</f>
        <v>911.29636400000004</v>
      </c>
      <c r="AY156" s="20">
        <f t="shared" si="492"/>
        <v>927.3173509999998</v>
      </c>
      <c r="AZ156" s="20">
        <f t="shared" si="492"/>
        <v>1178.4562730000002</v>
      </c>
      <c r="BA156" s="20">
        <f t="shared" si="492"/>
        <v>1405.3002730000001</v>
      </c>
      <c r="BB156" s="20">
        <f t="shared" si="492"/>
        <v>1991.8559470000005</v>
      </c>
      <c r="BC156" s="20">
        <f t="shared" si="492"/>
        <v>1882.5180800000001</v>
      </c>
      <c r="BD156" s="2"/>
      <c r="BE156" s="2"/>
      <c r="BF156" s="2"/>
      <c r="BG156" s="2"/>
      <c r="BH156" s="2"/>
      <c r="BI156" s="2"/>
      <c r="BJ156" s="2"/>
      <c r="BK156" s="2"/>
    </row>
    <row r="157" spans="1:63" ht="11.25" customHeight="1">
      <c r="A157" s="2"/>
      <c r="B157" s="641" t="s">
        <v>974</v>
      </c>
      <c r="C157" s="2"/>
      <c r="D157" s="21">
        <f>IFERROR(D158-D156,"n/a")</f>
        <v>38.947371000000032</v>
      </c>
      <c r="E157" s="21">
        <f t="shared" ref="E157:U157" si="493">IFERROR(E158-E156,"n/a")</f>
        <v>35.49233700000002</v>
      </c>
      <c r="F157" s="21">
        <f t="shared" si="493"/>
        <v>39.876189000000011</v>
      </c>
      <c r="G157" s="21">
        <f t="shared" si="493"/>
        <v>46.482641000000001</v>
      </c>
      <c r="H157" s="21">
        <f t="shared" si="493"/>
        <v>39.937973999999997</v>
      </c>
      <c r="I157" s="21">
        <f t="shared" si="493"/>
        <v>40.139422000000081</v>
      </c>
      <c r="J157" s="21">
        <f t="shared" si="493"/>
        <v>48.662446999999986</v>
      </c>
      <c r="K157" s="21">
        <f t="shared" si="493"/>
        <v>53.374921000000086</v>
      </c>
      <c r="L157" s="21">
        <f t="shared" si="493"/>
        <v>52.439122000000054</v>
      </c>
      <c r="M157" s="21">
        <f t="shared" si="493"/>
        <v>58.35957100000013</v>
      </c>
      <c r="N157" s="21">
        <f t="shared" si="493"/>
        <v>72.932861999999886</v>
      </c>
      <c r="O157" s="21">
        <f t="shared" si="493"/>
        <v>88.303789999999822</v>
      </c>
      <c r="P157" s="21">
        <f t="shared" si="493"/>
        <v>60.250067999999942</v>
      </c>
      <c r="Q157" s="21">
        <f t="shared" si="493"/>
        <v>59.803874999999948</v>
      </c>
      <c r="R157" s="21">
        <f t="shared" si="493"/>
        <v>73.695410999999979</v>
      </c>
      <c r="S157" s="21">
        <f t="shared" si="493"/>
        <v>85.46856600000001</v>
      </c>
      <c r="T157" s="21">
        <f t="shared" si="493"/>
        <v>70.747229999999945</v>
      </c>
      <c r="U157" s="21">
        <f t="shared" ca="1" si="493"/>
        <v>77.26955699999985</v>
      </c>
      <c r="V157" s="21">
        <f>+R157*(1+V162)</f>
        <v>95.804034299999969</v>
      </c>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509">
        <f t="shared" ref="AW157:AX157" si="494">IFERROR(AW158-AW156,"n/a")</f>
        <v>107.51917000000003</v>
      </c>
      <c r="AX157" s="21">
        <f t="shared" si="494"/>
        <v>120.17719299999999</v>
      </c>
      <c r="AY157" s="21">
        <f t="shared" ref="AY157" si="495">IFERROR(AY158-AY156,"n/a")</f>
        <v>142.66809700000033</v>
      </c>
      <c r="AZ157" s="21">
        <f t="shared" ref="AZ157" si="496">IFERROR(AZ158-AZ156,"n/a")</f>
        <v>160.79853799999978</v>
      </c>
      <c r="BA157" s="21">
        <f t="shared" ref="BA157" si="497">IFERROR(BA158-BA156,"n/a")</f>
        <v>182.1147639999997</v>
      </c>
      <c r="BB157" s="21">
        <f t="shared" ref="BB157" si="498">IFERROR(BB158-BB156,"n/a")</f>
        <v>272.03534499999978</v>
      </c>
      <c r="BC157" s="21">
        <f t="shared" ref="BC157" si="499">IFERROR(BC158-BC156,"n/a")</f>
        <v>279.21791999999982</v>
      </c>
      <c r="BD157" s="2"/>
      <c r="BE157" s="2"/>
      <c r="BF157" s="2"/>
      <c r="BG157" s="2"/>
      <c r="BH157" s="2"/>
      <c r="BI157" s="2"/>
      <c r="BJ157" s="2"/>
      <c r="BK157" s="2"/>
    </row>
    <row r="158" spans="1:63" ht="11.25" customHeight="1">
      <c r="A158" s="2"/>
      <c r="B158" s="642" t="s">
        <v>897</v>
      </c>
      <c r="C158" s="2"/>
      <c r="D158" s="20">
        <f>+D111</f>
        <v>310.59718300000003</v>
      </c>
      <c r="E158" s="20">
        <f t="shared" ref="E158:V158" si="500">+E111</f>
        <v>310.79836699999998</v>
      </c>
      <c r="F158" s="20">
        <f t="shared" si="500"/>
        <v>356.42620400000004</v>
      </c>
      <c r="G158" s="20">
        <f t="shared" si="500"/>
        <v>361.43305700000008</v>
      </c>
      <c r="H158" s="20">
        <f t="shared" si="500"/>
        <v>362.41023000000007</v>
      </c>
      <c r="I158" s="20">
        <f t="shared" si="500"/>
        <v>372.14512200000001</v>
      </c>
      <c r="J158" s="20">
        <f t="shared" si="500"/>
        <v>414.67037899999997</v>
      </c>
      <c r="K158" s="20">
        <f t="shared" si="500"/>
        <v>438.18930599999999</v>
      </c>
      <c r="L158" s="20">
        <f t="shared" si="500"/>
        <v>491.07587300000006</v>
      </c>
      <c r="M158" s="20">
        <f t="shared" si="500"/>
        <v>534.14080800000011</v>
      </c>
      <c r="N158" s="20">
        <f t="shared" si="500"/>
        <v>613.14274299999988</v>
      </c>
      <c r="O158" s="20">
        <f t="shared" si="500"/>
        <v>625.53186800000003</v>
      </c>
      <c r="P158" s="20">
        <f t="shared" si="500"/>
        <v>508.63297299999999</v>
      </c>
      <c r="Q158" s="20">
        <f t="shared" si="500"/>
        <v>480.84125399999999</v>
      </c>
      <c r="R158" s="20">
        <f t="shared" si="500"/>
        <v>546.73275799999999</v>
      </c>
      <c r="S158" s="20">
        <f t="shared" si="500"/>
        <v>625.52901499999996</v>
      </c>
      <c r="T158" s="20">
        <f t="shared" si="500"/>
        <v>592.64420100000007</v>
      </c>
      <c r="U158" s="20">
        <f t="shared" si="500"/>
        <v>673.51017699999989</v>
      </c>
      <c r="V158" s="20">
        <f t="shared" si="500"/>
        <v>759.69200000000001</v>
      </c>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6">
        <f t="shared" ref="AW158" si="501">+AW111</f>
        <v>977.44699999999989</v>
      </c>
      <c r="AX158" s="20">
        <f t="shared" ref="AX158:BC158" si="502">+AX111</f>
        <v>1031.473557</v>
      </c>
      <c r="AY158" s="20">
        <f t="shared" si="502"/>
        <v>1069.9854480000001</v>
      </c>
      <c r="AZ158" s="20">
        <f t="shared" si="502"/>
        <v>1339.254811</v>
      </c>
      <c r="BA158" s="20">
        <f t="shared" si="502"/>
        <v>1587.4150369999998</v>
      </c>
      <c r="BB158" s="20">
        <f t="shared" si="502"/>
        <v>2263.8912920000002</v>
      </c>
      <c r="BC158" s="20">
        <f t="shared" si="502"/>
        <v>2161.7359999999999</v>
      </c>
      <c r="BD158" s="2"/>
      <c r="BE158" s="2"/>
      <c r="BF158" s="2"/>
      <c r="BG158" s="2"/>
      <c r="BH158" s="2"/>
      <c r="BI158" s="2"/>
      <c r="BJ158" s="2"/>
      <c r="BK158" s="2"/>
    </row>
    <row r="159" spans="1:63" ht="11.25" customHeight="1">
      <c r="A159" s="2"/>
      <c r="B159" s="642"/>
      <c r="C159" s="2"/>
      <c r="D159" s="20"/>
      <c r="E159" s="20"/>
      <c r="F159" s="20"/>
      <c r="G159" s="20"/>
      <c r="H159" s="20"/>
      <c r="I159" s="20"/>
      <c r="J159" s="20"/>
      <c r="K159" s="20"/>
      <c r="L159" s="20"/>
      <c r="M159" s="20"/>
      <c r="N159" s="20"/>
      <c r="O159" s="20"/>
      <c r="P159" s="20"/>
      <c r="Q159" s="20"/>
      <c r="R159" s="20"/>
      <c r="S159" s="20"/>
      <c r="T159" s="20"/>
      <c r="U159" s="20"/>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0"/>
      <c r="AY159" s="20"/>
      <c r="AZ159" s="20"/>
      <c r="BA159" s="20"/>
      <c r="BB159" s="20"/>
      <c r="BC159" s="20"/>
      <c r="BD159" s="2"/>
      <c r="BE159" s="2"/>
      <c r="BF159" s="2"/>
      <c r="BG159" s="2"/>
      <c r="BH159" s="2"/>
      <c r="BI159" s="2"/>
      <c r="BJ159" s="2"/>
      <c r="BK159" s="2"/>
    </row>
    <row r="160" spans="1:63" ht="11.25" customHeight="1">
      <c r="A160" s="2"/>
      <c r="B160" s="78" t="s">
        <v>249</v>
      </c>
      <c r="C160" s="2"/>
      <c r="D160" s="20"/>
      <c r="E160" s="20"/>
      <c r="F160" s="20"/>
      <c r="G160" s="20"/>
      <c r="H160" s="20"/>
      <c r="I160" s="20"/>
      <c r="J160" s="20"/>
      <c r="K160" s="20"/>
      <c r="L160" s="20"/>
      <c r="M160" s="20"/>
      <c r="N160" s="20"/>
      <c r="O160" s="20"/>
      <c r="P160" s="20"/>
      <c r="Q160" s="20"/>
      <c r="R160" s="20"/>
      <c r="S160" s="20"/>
      <c r="T160" s="20"/>
      <c r="U160" s="20"/>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0"/>
      <c r="AY160" s="20"/>
      <c r="AZ160" s="20"/>
      <c r="BA160" s="20"/>
      <c r="BB160" s="20"/>
      <c r="BC160" s="20"/>
      <c r="BD160" s="2"/>
      <c r="BE160" s="2"/>
      <c r="BF160" s="2"/>
      <c r="BG160" s="2"/>
      <c r="BH160" s="2"/>
      <c r="BI160" s="2"/>
      <c r="BJ160" s="2"/>
      <c r="BK160" s="2"/>
    </row>
    <row r="161" spans="1:63" ht="11.25" customHeight="1">
      <c r="A161" s="2"/>
      <c r="B161" s="79" t="s">
        <v>973</v>
      </c>
      <c r="C161" s="2"/>
      <c r="D161" s="20"/>
      <c r="E161" s="20"/>
      <c r="F161" s="20"/>
      <c r="G161" s="20"/>
      <c r="H161" s="120">
        <f>IFERROR((H156/D156)-1,"n/a")</f>
        <v>0.18708808824796863</v>
      </c>
      <c r="I161" s="120">
        <f t="shared" ref="I161:V163" si="503">IFERROR((I156/E156)-1,"n/a")</f>
        <v>0.20595142794365962</v>
      </c>
      <c r="J161" s="120">
        <f t="shared" si="503"/>
        <v>0.15624045065990577</v>
      </c>
      <c r="K161" s="120">
        <f t="shared" si="503"/>
        <v>0.22182529519186223</v>
      </c>
      <c r="L161" s="120">
        <f t="shared" si="503"/>
        <v>0.36023097441288066</v>
      </c>
      <c r="M161" s="120">
        <f t="shared" si="503"/>
        <v>0.43305141146673098</v>
      </c>
      <c r="N161" s="120">
        <f t="shared" si="503"/>
        <v>0.47595129441074513</v>
      </c>
      <c r="O161" s="120">
        <f t="shared" si="503"/>
        <v>0.39607067443697663</v>
      </c>
      <c r="P161" s="120">
        <f t="shared" si="503"/>
        <v>2.2219191569746055E-2</v>
      </c>
      <c r="Q161" s="120">
        <f t="shared" si="503"/>
        <v>-0.11506098547555788</v>
      </c>
      <c r="R161" s="120">
        <f t="shared" si="503"/>
        <v>-0.12434525239644767</v>
      </c>
      <c r="S161" s="120">
        <f t="shared" si="503"/>
        <v>5.27219465249118E-3</v>
      </c>
      <c r="T161" s="120">
        <f t="shared" si="503"/>
        <v>0.16395376625698987</v>
      </c>
      <c r="U161" s="120">
        <f t="shared" ca="1" si="503"/>
        <v>0.41612277137037745</v>
      </c>
      <c r="V161" s="120">
        <f t="shared" si="503"/>
        <v>0.40345782401827979</v>
      </c>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120">
        <f>IFERROR((AX156/AW156)-1,"n/a")</f>
        <v>4.755398387473142E-2</v>
      </c>
      <c r="AY161" s="120">
        <f t="shared" ref="AY161:BC161" si="504">IFERROR((AY156/AX156)-1,"n/a")</f>
        <v>1.7580435556308061E-2</v>
      </c>
      <c r="AZ161" s="120">
        <f t="shared" si="504"/>
        <v>0.27082305936492768</v>
      </c>
      <c r="BA161" s="120">
        <f t="shared" si="504"/>
        <v>0.19249250498070869</v>
      </c>
      <c r="BB161" s="120">
        <f t="shared" si="504"/>
        <v>0.41738814491783738</v>
      </c>
      <c r="BC161" s="120">
        <f t="shared" si="504"/>
        <v>-5.4892457039716014E-2</v>
      </c>
      <c r="BD161" s="2"/>
      <c r="BE161" s="2"/>
      <c r="BF161" s="2"/>
      <c r="BG161" s="2"/>
      <c r="BH161" s="2"/>
      <c r="BI161" s="2"/>
      <c r="BJ161" s="2"/>
      <c r="BK161" s="2"/>
    </row>
    <row r="162" spans="1:63" ht="11.25" customHeight="1">
      <c r="A162" s="2"/>
      <c r="B162" s="79" t="s">
        <v>974</v>
      </c>
      <c r="C162" s="2"/>
      <c r="D162" s="20"/>
      <c r="E162" s="20"/>
      <c r="F162" s="20"/>
      <c r="G162" s="20"/>
      <c r="H162" s="216">
        <f t="shared" ref="H162:H163" si="505">IFERROR((H157/D157)-1,"n/a")</f>
        <v>2.543439966718064E-2</v>
      </c>
      <c r="I162" s="216">
        <f t="shared" si="503"/>
        <v>0.13093206570195859</v>
      </c>
      <c r="J162" s="216">
        <f t="shared" si="503"/>
        <v>0.22033845812095976</v>
      </c>
      <c r="K162" s="216">
        <f t="shared" si="503"/>
        <v>0.14827642861342771</v>
      </c>
      <c r="L162" s="216">
        <f t="shared" si="503"/>
        <v>0.31301407527582792</v>
      </c>
      <c r="M162" s="216">
        <f t="shared" si="503"/>
        <v>0.45392155871103501</v>
      </c>
      <c r="N162" s="216">
        <f t="shared" si="503"/>
        <v>0.49875040192697062</v>
      </c>
      <c r="O162" s="216">
        <f t="shared" si="503"/>
        <v>0.65440600839483554</v>
      </c>
      <c r="P162" s="216">
        <f t="shared" si="503"/>
        <v>0.14895264646116457</v>
      </c>
      <c r="Q162" s="216">
        <f t="shared" si="503"/>
        <v>2.4748365610840706E-2</v>
      </c>
      <c r="R162" s="216">
        <f t="shared" si="503"/>
        <v>1.0455492614565021E-2</v>
      </c>
      <c r="S162" s="216">
        <f t="shared" si="503"/>
        <v>-3.2107613954053593E-2</v>
      </c>
      <c r="T162" s="216">
        <f t="shared" si="503"/>
        <v>0.1742265585492786</v>
      </c>
      <c r="U162" s="216">
        <f t="shared" ca="1" si="503"/>
        <v>0.2920493362679244</v>
      </c>
      <c r="V162" s="253">
        <v>0.3</v>
      </c>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16">
        <f>IFERROR((AX157/AW157)-1,"n/a")</f>
        <v>0.11772805723853663</v>
      </c>
      <c r="AY162" s="216">
        <f t="shared" ref="AY162:BC162" si="506">IFERROR((AY157/AX157)-1,"n/a")</f>
        <v>0.18714785591639127</v>
      </c>
      <c r="AZ162" s="216">
        <f t="shared" si="506"/>
        <v>0.12708125629515754</v>
      </c>
      <c r="BA162" s="216">
        <f t="shared" si="506"/>
        <v>0.13256479981179892</v>
      </c>
      <c r="BB162" s="216">
        <f t="shared" si="506"/>
        <v>0.49375777682692568</v>
      </c>
      <c r="BC162" s="216">
        <f t="shared" si="506"/>
        <v>2.6403094789024806E-2</v>
      </c>
      <c r="BD162" s="2"/>
      <c r="BE162" s="2"/>
      <c r="BF162" s="2"/>
      <c r="BG162" s="2"/>
      <c r="BH162" s="2"/>
      <c r="BI162" s="2"/>
      <c r="BJ162" s="2"/>
      <c r="BK162" s="2"/>
    </row>
    <row r="163" spans="1:63" ht="11.25" customHeight="1">
      <c r="A163" s="2"/>
      <c r="B163" s="643" t="s">
        <v>897</v>
      </c>
      <c r="C163" s="2"/>
      <c r="D163" s="20"/>
      <c r="E163" s="20"/>
      <c r="F163" s="20"/>
      <c r="G163" s="20"/>
      <c r="H163" s="120">
        <f t="shared" si="505"/>
        <v>0.16681750458760614</v>
      </c>
      <c r="I163" s="120">
        <f t="shared" si="503"/>
        <v>0.19738441868969026</v>
      </c>
      <c r="J163" s="120">
        <f t="shared" si="503"/>
        <v>0.16341159641562131</v>
      </c>
      <c r="K163" s="120">
        <f t="shared" si="503"/>
        <v>0.21236643276931888</v>
      </c>
      <c r="L163" s="120">
        <f t="shared" si="503"/>
        <v>0.35502762435817536</v>
      </c>
      <c r="M163" s="120">
        <f t="shared" si="503"/>
        <v>0.43530245708823267</v>
      </c>
      <c r="N163" s="120">
        <f t="shared" si="503"/>
        <v>0.47862681795267537</v>
      </c>
      <c r="O163" s="120">
        <f t="shared" si="503"/>
        <v>0.42753796004323319</v>
      </c>
      <c r="P163" s="120">
        <f t="shared" si="503"/>
        <v>3.5752316424635167E-2</v>
      </c>
      <c r="Q163" s="120">
        <f t="shared" si="503"/>
        <v>-9.9785586874688081E-2</v>
      </c>
      <c r="R163" s="120">
        <f t="shared" si="503"/>
        <v>-0.10831080650986336</v>
      </c>
      <c r="S163" s="120">
        <f t="shared" si="503"/>
        <v>-4.5609187093731407E-6</v>
      </c>
      <c r="T163" s="120">
        <f t="shared" si="503"/>
        <v>0.16517062884163436</v>
      </c>
      <c r="U163" s="120">
        <f t="shared" si="503"/>
        <v>0.40069133294457271</v>
      </c>
      <c r="V163" s="120">
        <f t="shared" si="503"/>
        <v>0.38951249743846517</v>
      </c>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120">
        <f>IFERROR((AX158/AW158)-1,"n/a")</f>
        <v>5.5273131944750142E-2</v>
      </c>
      <c r="AY163" s="120">
        <f t="shared" ref="AY163:BC163" si="507">IFERROR((AY158/AX158)-1,"n/a")</f>
        <v>3.7336770039951839E-2</v>
      </c>
      <c r="AZ163" s="120">
        <f t="shared" si="507"/>
        <v>0.25165703281601992</v>
      </c>
      <c r="BA163" s="120">
        <f t="shared" si="507"/>
        <v>0.18529724437928463</v>
      </c>
      <c r="BB163" s="120">
        <f t="shared" si="507"/>
        <v>0.42614958232879618</v>
      </c>
      <c r="BC163" s="120">
        <f t="shared" si="507"/>
        <v>-4.5123762064455342E-2</v>
      </c>
      <c r="BD163" s="2"/>
      <c r="BE163" s="2"/>
      <c r="BF163" s="2"/>
      <c r="BG163" s="2"/>
      <c r="BH163" s="2"/>
      <c r="BI163" s="2"/>
      <c r="BJ163" s="2"/>
      <c r="BK163" s="2"/>
    </row>
    <row r="164" spans="1:63" ht="11.25" customHeight="1">
      <c r="A164" s="2"/>
      <c r="B164" s="642"/>
      <c r="C164" s="2"/>
      <c r="D164" s="20"/>
      <c r="E164" s="20"/>
      <c r="F164" s="20"/>
      <c r="G164" s="20"/>
      <c r="H164" s="20"/>
      <c r="I164" s="20"/>
      <c r="J164" s="20"/>
      <c r="K164" s="20"/>
      <c r="L164" s="20"/>
      <c r="M164" s="20"/>
      <c r="N164" s="20"/>
      <c r="O164" s="20"/>
      <c r="P164" s="20"/>
      <c r="Q164" s="20"/>
      <c r="R164" s="20"/>
      <c r="S164" s="20"/>
      <c r="T164" s="20"/>
      <c r="U164" s="20"/>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0"/>
      <c r="AY164" s="20"/>
      <c r="AZ164" s="20"/>
      <c r="BA164" s="20"/>
      <c r="BB164" s="20"/>
      <c r="BC164" s="20"/>
      <c r="BD164" s="2"/>
      <c r="BE164" s="2"/>
      <c r="BF164" s="2"/>
      <c r="BG164" s="2"/>
      <c r="BH164" s="2"/>
      <c r="BI164" s="2"/>
      <c r="BJ164" s="2"/>
      <c r="BK164" s="2"/>
    </row>
    <row r="165" spans="1:63" ht="11.25" customHeight="1">
      <c r="A165" s="2"/>
      <c r="B165" s="78" t="s">
        <v>290</v>
      </c>
      <c r="C165" s="2"/>
      <c r="D165" s="20"/>
      <c r="E165" s="20"/>
      <c r="F165" s="20"/>
      <c r="G165" s="20"/>
      <c r="H165" s="20"/>
      <c r="I165" s="20"/>
      <c r="J165" s="20"/>
      <c r="K165" s="20"/>
      <c r="L165" s="20"/>
      <c r="M165" s="20"/>
      <c r="N165" s="20"/>
      <c r="O165" s="20"/>
      <c r="P165" s="20"/>
      <c r="Q165" s="20"/>
      <c r="R165" s="20"/>
      <c r="S165" s="20"/>
      <c r="T165" s="20"/>
      <c r="U165" s="20"/>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0"/>
      <c r="AY165" s="20"/>
      <c r="AZ165" s="20"/>
      <c r="BA165" s="20"/>
      <c r="BB165" s="20"/>
      <c r="BC165" s="20"/>
      <c r="BD165" s="2"/>
      <c r="BE165" s="2"/>
      <c r="BF165" s="2"/>
      <c r="BG165" s="2"/>
      <c r="BH165" s="2"/>
      <c r="BI165" s="2"/>
      <c r="BJ165" s="2"/>
      <c r="BK165" s="2"/>
    </row>
    <row r="166" spans="1:63" ht="11.25" customHeight="1">
      <c r="A166" s="2"/>
      <c r="B166" s="79" t="s">
        <v>973</v>
      </c>
      <c r="C166" s="2"/>
      <c r="D166" s="20"/>
      <c r="E166" s="120">
        <f>IFERROR((E156/D156)-1,"n/a")</f>
        <v>1.345930620412128E-2</v>
      </c>
      <c r="F166" s="120">
        <f t="shared" ref="F166:V168" si="508">IFERROR((F156/E156)-1,"n/a")</f>
        <v>0.14981141168611556</v>
      </c>
      <c r="G166" s="120">
        <f t="shared" si="508"/>
        <v>-5.0532267389087338E-3</v>
      </c>
      <c r="H166" s="120">
        <f t="shared" si="508"/>
        <v>2.3882616494146802E-2</v>
      </c>
      <c r="I166" s="120">
        <f t="shared" si="508"/>
        <v>2.9563609962153903E-2</v>
      </c>
      <c r="J166" s="120">
        <f t="shared" si="508"/>
        <v>0.10241460312277795</v>
      </c>
      <c r="K166" s="120">
        <f t="shared" si="508"/>
        <v>5.1382637794854968E-2</v>
      </c>
      <c r="L166" s="120">
        <f t="shared" si="508"/>
        <v>0.13986578490302559</v>
      </c>
      <c r="M166" s="120">
        <f t="shared" si="508"/>
        <v>8.4681654957817099E-2</v>
      </c>
      <c r="N166" s="120">
        <f t="shared" si="508"/>
        <v>0.13541652967706264</v>
      </c>
      <c r="O166" s="120">
        <f t="shared" si="508"/>
        <v>-5.5197120690945178E-3</v>
      </c>
      <c r="P166" s="120">
        <f t="shared" si="508"/>
        <v>-0.16537700957618251</v>
      </c>
      <c r="Q166" s="120">
        <f t="shared" si="508"/>
        <v>-6.0986995032738855E-2</v>
      </c>
      <c r="R166" s="120">
        <f t="shared" si="508"/>
        <v>0.12350439793137702</v>
      </c>
      <c r="S166" s="120">
        <f t="shared" si="508"/>
        <v>0.14168670280488427</v>
      </c>
      <c r="T166" s="120">
        <f t="shared" si="508"/>
        <v>-3.3632305482899416E-2</v>
      </c>
      <c r="U166" s="120">
        <f t="shared" ca="1" si="508"/>
        <v>0.14244889917171011</v>
      </c>
      <c r="V166" s="120">
        <f t="shared" ca="1" si="508"/>
        <v>0.11345645269857663</v>
      </c>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Y166" s="20"/>
      <c r="AZ166" s="20"/>
      <c r="BA166" s="20"/>
      <c r="BB166" s="20"/>
      <c r="BC166" s="20"/>
      <c r="BD166" s="2"/>
      <c r="BE166" s="2"/>
      <c r="BF166" s="2"/>
      <c r="BG166" s="2"/>
      <c r="BH166" s="2"/>
      <c r="BI166" s="2"/>
      <c r="BJ166" s="2"/>
      <c r="BK166" s="2"/>
    </row>
    <row r="167" spans="1:63" ht="11.25" customHeight="1">
      <c r="A167" s="2"/>
      <c r="B167" s="79" t="s">
        <v>974</v>
      </c>
      <c r="C167" s="2"/>
      <c r="D167" s="20"/>
      <c r="E167" s="216">
        <f t="shared" ref="E167:T168" si="509">IFERROR((E157/D157)-1,"n/a")</f>
        <v>-8.8710326558370522E-2</v>
      </c>
      <c r="F167" s="216">
        <f t="shared" si="509"/>
        <v>0.12351545067319702</v>
      </c>
      <c r="G167" s="216">
        <f t="shared" si="509"/>
        <v>0.16567410692130058</v>
      </c>
      <c r="H167" s="216">
        <f t="shared" si="509"/>
        <v>-0.14079808847350139</v>
      </c>
      <c r="I167" s="216">
        <f t="shared" si="509"/>
        <v>5.0440215119595955E-3</v>
      </c>
      <c r="J167" s="216">
        <f t="shared" si="509"/>
        <v>0.21233551893198377</v>
      </c>
      <c r="K167" s="216">
        <f t="shared" si="509"/>
        <v>9.684005409756935E-2</v>
      </c>
      <c r="L167" s="216">
        <f t="shared" si="509"/>
        <v>-1.7532559907677103E-2</v>
      </c>
      <c r="M167" s="216">
        <f t="shared" si="509"/>
        <v>0.11290137542730161</v>
      </c>
      <c r="N167" s="216">
        <f t="shared" si="509"/>
        <v>0.24971552652434204</v>
      </c>
      <c r="O167" s="216">
        <f t="shared" si="509"/>
        <v>0.21075448814829123</v>
      </c>
      <c r="P167" s="216">
        <f t="shared" si="509"/>
        <v>-0.31769555983950337</v>
      </c>
      <c r="Q167" s="216">
        <f t="shared" si="509"/>
        <v>-7.4056845877750188E-3</v>
      </c>
      <c r="R167" s="216">
        <f t="shared" si="509"/>
        <v>0.232284881205441</v>
      </c>
      <c r="S167" s="216">
        <f t="shared" si="509"/>
        <v>0.15975424847009867</v>
      </c>
      <c r="T167" s="216">
        <f t="shared" si="509"/>
        <v>-0.1722426932961536</v>
      </c>
      <c r="U167" s="216">
        <f t="shared" ca="1" si="508"/>
        <v>9.2191976986235602E-2</v>
      </c>
      <c r="V167" s="216">
        <f t="shared" ca="1" si="508"/>
        <v>0.23986778259904029</v>
      </c>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Y167" s="20"/>
      <c r="AZ167" s="20"/>
      <c r="BA167" s="20"/>
      <c r="BB167" s="20"/>
      <c r="BC167" s="20"/>
      <c r="BD167" s="2"/>
      <c r="BE167" s="2"/>
      <c r="BF167" s="2"/>
      <c r="BG167" s="2"/>
      <c r="BH167" s="2"/>
      <c r="BI167" s="2"/>
      <c r="BJ167" s="2"/>
      <c r="BK167" s="2"/>
    </row>
    <row r="168" spans="1:63" ht="11.25" customHeight="1">
      <c r="A168" s="2"/>
      <c r="B168" s="643" t="s">
        <v>897</v>
      </c>
      <c r="C168" s="2"/>
      <c r="D168" s="20"/>
      <c r="E168" s="120">
        <f t="shared" si="509"/>
        <v>6.477328546794503E-4</v>
      </c>
      <c r="F168" s="120">
        <f t="shared" si="508"/>
        <v>0.14680848371381594</v>
      </c>
      <c r="G168" s="120">
        <f t="shared" si="508"/>
        <v>1.404737626978747E-2</v>
      </c>
      <c r="H168" s="120">
        <f t="shared" si="508"/>
        <v>2.7036071578809828E-3</v>
      </c>
      <c r="I168" s="120">
        <f t="shared" si="508"/>
        <v>2.6861526508233258E-2</v>
      </c>
      <c r="J168" s="120">
        <f t="shared" si="508"/>
        <v>0.11427062854259296</v>
      </c>
      <c r="K168" s="120">
        <f t="shared" si="508"/>
        <v>5.6717161849653142E-2</v>
      </c>
      <c r="L168" s="120">
        <f t="shared" si="508"/>
        <v>0.12069342239949621</v>
      </c>
      <c r="M168" s="120">
        <f t="shared" si="508"/>
        <v>8.7695073954488612E-2</v>
      </c>
      <c r="N168" s="120">
        <f t="shared" si="508"/>
        <v>0.14790469819336427</v>
      </c>
      <c r="O168" s="120">
        <f t="shared" si="508"/>
        <v>2.0205939222867286E-2</v>
      </c>
      <c r="P168" s="120">
        <f t="shared" si="508"/>
        <v>-0.18687919989393731</v>
      </c>
      <c r="Q168" s="120">
        <f t="shared" si="508"/>
        <v>-5.4640026257204544E-2</v>
      </c>
      <c r="R168" s="120">
        <f t="shared" si="508"/>
        <v>0.13703379951671124</v>
      </c>
      <c r="S168" s="120">
        <f t="shared" si="508"/>
        <v>0.14412207032965085</v>
      </c>
      <c r="T168" s="120">
        <f t="shared" si="508"/>
        <v>-5.2571204870488497E-2</v>
      </c>
      <c r="U168" s="120">
        <f t="shared" si="508"/>
        <v>0.13644945122815733</v>
      </c>
      <c r="V168" s="120">
        <f t="shared" si="508"/>
        <v>0.12795919934555067</v>
      </c>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Y168" s="20"/>
      <c r="AZ168" s="20"/>
      <c r="BA168" s="20"/>
      <c r="BB168" s="20"/>
      <c r="BC168" s="20"/>
      <c r="BD168" s="2"/>
      <c r="BE168" s="2"/>
      <c r="BF168" s="2"/>
      <c r="BG168" s="2"/>
      <c r="BH168" s="2"/>
      <c r="BI168" s="2"/>
      <c r="BJ168" s="2"/>
      <c r="BK168" s="2"/>
    </row>
    <row r="169" spans="1:63" ht="11.25" customHeight="1">
      <c r="A169" s="2"/>
      <c r="B169" s="116"/>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row>
    <row r="170" spans="1:63" ht="11.25" customHeight="1">
      <c r="A170" s="2"/>
      <c r="B170" s="11" t="s">
        <v>476</v>
      </c>
      <c r="C170" s="10"/>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row>
    <row r="171" spans="1:63" ht="11.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row>
    <row r="172" spans="1:63" ht="11.25" customHeight="1">
      <c r="A172" s="2"/>
      <c r="B172" s="65" t="s">
        <v>476</v>
      </c>
      <c r="C172" s="2"/>
      <c r="D172" s="2"/>
      <c r="E172" s="2"/>
      <c r="F172" s="2"/>
      <c r="G172" s="2"/>
      <c r="H172" s="2"/>
      <c r="I172" s="2"/>
      <c r="J172" s="2"/>
      <c r="K172" s="2"/>
      <c r="L172" s="2"/>
      <c r="M172" s="2"/>
      <c r="N172" s="2"/>
      <c r="O172" s="2"/>
      <c r="P172" s="2"/>
      <c r="Q172" s="2"/>
      <c r="R172" s="2"/>
      <c r="S172" s="2"/>
      <c r="T172" s="2"/>
      <c r="U172" s="39"/>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row>
    <row r="173" spans="1:63" s="159" customFormat="1" ht="11.25" customHeight="1">
      <c r="A173" s="6"/>
      <c r="B173" s="13" t="s">
        <v>230</v>
      </c>
      <c r="C173" s="6"/>
      <c r="D173" s="16">
        <v>0</v>
      </c>
      <c r="E173" s="16">
        <v>0</v>
      </c>
      <c r="F173" s="16">
        <v>0</v>
      </c>
      <c r="G173" s="20">
        <f t="shared" ref="G173:G185" si="510">AZ173-SUM(D173:F173)</f>
        <v>0</v>
      </c>
      <c r="H173" s="16">
        <v>0</v>
      </c>
      <c r="I173" s="16">
        <v>0</v>
      </c>
      <c r="J173" s="16">
        <v>0</v>
      </c>
      <c r="K173" s="20">
        <f t="shared" ref="K173:K185" si="511">BA173-SUM(H173:J173)</f>
        <v>0</v>
      </c>
      <c r="L173" s="16">
        <v>0</v>
      </c>
      <c r="M173" s="16">
        <v>0</v>
      </c>
      <c r="N173" s="16">
        <v>0</v>
      </c>
      <c r="O173" s="20">
        <f t="shared" ref="O173:O185" si="512">BB173-SUM(L173:N173)</f>
        <v>0</v>
      </c>
      <c r="P173" s="16">
        <v>0</v>
      </c>
      <c r="Q173" s="16">
        <v>0</v>
      </c>
      <c r="R173" s="16">
        <v>0</v>
      </c>
      <c r="S173" s="20">
        <f t="shared" ref="S173:S185" si="513">BC173-SUM(P173:R173)</f>
        <v>0</v>
      </c>
      <c r="T173" s="16">
        <v>0</v>
      </c>
      <c r="U173" s="16">
        <f ca="1">(U221*(U$301*(T$186/T$301)))/1000</f>
        <v>0</v>
      </c>
      <c r="V173" s="681">
        <f ca="1">+V221*V$186</f>
        <v>0</v>
      </c>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20"/>
      <c r="AU173" s="20"/>
      <c r="AV173" s="20"/>
      <c r="AW173" s="650">
        <f>+AW$186*AW221</f>
        <v>0</v>
      </c>
      <c r="AX173" s="16">
        <v>0</v>
      </c>
      <c r="AY173" s="16">
        <v>0</v>
      </c>
      <c r="AZ173" s="16">
        <v>0</v>
      </c>
      <c r="BA173" s="16">
        <v>0</v>
      </c>
      <c r="BB173" s="16">
        <v>0</v>
      </c>
      <c r="BC173" s="16">
        <v>0</v>
      </c>
      <c r="BD173" s="6"/>
      <c r="BE173" s="6"/>
      <c r="BF173" s="6"/>
      <c r="BG173" s="6"/>
      <c r="BH173" s="6"/>
      <c r="BI173" s="6"/>
      <c r="BJ173" s="6"/>
      <c r="BK173" s="6"/>
    </row>
    <row r="174" spans="1:63" s="159" customFormat="1" ht="11.25" customHeight="1">
      <c r="A174" s="6"/>
      <c r="B174" s="13" t="s">
        <v>231</v>
      </c>
      <c r="C174" s="6"/>
      <c r="D174" s="16">
        <v>0</v>
      </c>
      <c r="E174" s="16">
        <v>0</v>
      </c>
      <c r="F174" s="16">
        <v>0</v>
      </c>
      <c r="G174" s="20">
        <f t="shared" si="510"/>
        <v>0</v>
      </c>
      <c r="H174" s="16">
        <v>0</v>
      </c>
      <c r="I174" s="16">
        <v>0</v>
      </c>
      <c r="J174" s="16">
        <v>0</v>
      </c>
      <c r="K174" s="20">
        <f t="shared" si="511"/>
        <v>0</v>
      </c>
      <c r="L174" s="16">
        <v>0</v>
      </c>
      <c r="M174" s="16">
        <v>0</v>
      </c>
      <c r="N174" s="16">
        <v>0</v>
      </c>
      <c r="O174" s="20">
        <f t="shared" si="512"/>
        <v>0</v>
      </c>
      <c r="P174" s="16">
        <v>0</v>
      </c>
      <c r="Q174" s="16">
        <v>0.48370999999999997</v>
      </c>
      <c r="R174" s="16">
        <v>28.994752000000002</v>
      </c>
      <c r="S174" s="20">
        <f t="shared" si="513"/>
        <v>78.566812999999996</v>
      </c>
      <c r="T174" s="16">
        <v>45.44896</v>
      </c>
      <c r="U174" s="16">
        <v>90.111260000000001</v>
      </c>
      <c r="V174" s="681">
        <f t="shared" ref="V174:V185" si="514">+V222*V$186</f>
        <v>132.77759313999999</v>
      </c>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20"/>
      <c r="AU174" s="20"/>
      <c r="AV174" s="20"/>
      <c r="AW174" s="650">
        <f t="shared" ref="AW174:AW185" si="515">+AW$186*AW222</f>
        <v>0</v>
      </c>
      <c r="AX174" s="16">
        <v>0</v>
      </c>
      <c r="AY174" s="16">
        <v>0</v>
      </c>
      <c r="AZ174" s="16">
        <v>0</v>
      </c>
      <c r="BA174" s="16">
        <v>0</v>
      </c>
      <c r="BB174" s="16">
        <v>0</v>
      </c>
      <c r="BC174" s="16">
        <v>108.04527499999999</v>
      </c>
      <c r="BD174" s="6"/>
      <c r="BE174" s="6"/>
      <c r="BF174" s="6"/>
      <c r="BG174" s="6"/>
      <c r="BH174" s="6"/>
      <c r="BI174" s="6"/>
      <c r="BJ174" s="6"/>
      <c r="BK174" s="6"/>
    </row>
    <row r="175" spans="1:63" s="159" customFormat="1" ht="11.25" customHeight="1">
      <c r="A175" s="6"/>
      <c r="B175" s="13" t="s">
        <v>232</v>
      </c>
      <c r="C175" s="6"/>
      <c r="D175" s="16">
        <v>0</v>
      </c>
      <c r="E175" s="16">
        <v>0</v>
      </c>
      <c r="F175" s="16">
        <v>25.829998</v>
      </c>
      <c r="G175" s="20">
        <f t="shared" si="510"/>
        <v>65.104486999999992</v>
      </c>
      <c r="H175" s="16">
        <v>45.613201000000004</v>
      </c>
      <c r="I175" s="16">
        <v>61.189745000000002</v>
      </c>
      <c r="J175" s="16">
        <v>66.930524000000005</v>
      </c>
      <c r="K175" s="20">
        <f t="shared" si="511"/>
        <v>88.593894999999975</v>
      </c>
      <c r="L175" s="16">
        <v>86.291789999999992</v>
      </c>
      <c r="M175" s="16">
        <v>100.72972299999999</v>
      </c>
      <c r="N175" s="16">
        <v>148.81293299999999</v>
      </c>
      <c r="O175" s="20">
        <f t="shared" si="512"/>
        <v>172.85543500000006</v>
      </c>
      <c r="P175" s="16">
        <v>139.29547700000001</v>
      </c>
      <c r="Q175" s="16">
        <v>127.824564</v>
      </c>
      <c r="R175" s="16">
        <v>173.18578500000001</v>
      </c>
      <c r="S175" s="20">
        <f t="shared" si="513"/>
        <v>188.99456099999998</v>
      </c>
      <c r="T175" s="16">
        <v>190.69575399999999</v>
      </c>
      <c r="U175" s="16">
        <v>209.56753099999997</v>
      </c>
      <c r="V175" s="681">
        <f t="shared" si="514"/>
        <v>212.44414902400001</v>
      </c>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20"/>
      <c r="AU175" s="20"/>
      <c r="AV175" s="20"/>
      <c r="AW175" s="650">
        <f t="shared" si="515"/>
        <v>0</v>
      </c>
      <c r="AX175" s="16">
        <v>0</v>
      </c>
      <c r="AY175" s="16">
        <v>0</v>
      </c>
      <c r="AZ175" s="16">
        <v>90.934484999999995</v>
      </c>
      <c r="BA175" s="16">
        <v>262.32736499999999</v>
      </c>
      <c r="BB175" s="16">
        <v>508.68988100000001</v>
      </c>
      <c r="BC175" s="16">
        <v>629.300387</v>
      </c>
      <c r="BD175" s="6"/>
      <c r="BE175" s="6"/>
      <c r="BF175" s="6"/>
      <c r="BG175" s="6"/>
      <c r="BH175" s="6"/>
      <c r="BI175" s="6"/>
      <c r="BJ175" s="6"/>
      <c r="BK175" s="6"/>
    </row>
    <row r="176" spans="1:63" s="159" customFormat="1" ht="11.25" customHeight="1">
      <c r="A176" s="6"/>
      <c r="B176" s="13" t="s">
        <v>246</v>
      </c>
      <c r="C176" s="6"/>
      <c r="D176" s="16">
        <f>(95707.564+1279.497)/1000</f>
        <v>96.987060999999997</v>
      </c>
      <c r="E176" s="16">
        <f>(100229.077+724.04)/1000</f>
        <v>100.95311699999999</v>
      </c>
      <c r="F176" s="16">
        <f>(109428.962+766.811)/1000</f>
        <v>110.195773</v>
      </c>
      <c r="G176" s="20">
        <f t="shared" si="510"/>
        <v>90.104164000000026</v>
      </c>
      <c r="H176" s="16">
        <f>(111021.375+457.038)/1000</f>
        <v>111.478413</v>
      </c>
      <c r="I176" s="16">
        <f>(101327.247+171.448)/1000</f>
        <v>101.49869500000001</v>
      </c>
      <c r="J176" s="16">
        <f>(122606.053+14.701)/1000</f>
        <v>122.62075400000001</v>
      </c>
      <c r="K176" s="20">
        <f t="shared" si="511"/>
        <v>105.44522699999993</v>
      </c>
      <c r="L176" s="16">
        <f>(132325.105+3.145)/1000</f>
        <v>132.32825</v>
      </c>
      <c r="M176" s="16">
        <f>(142919.242+10.212)/1000</f>
        <v>142.92945399999999</v>
      </c>
      <c r="N176" s="16">
        <f>(142152.179+4.48)/1000</f>
        <v>142.15665900000002</v>
      </c>
      <c r="O176" s="20">
        <f t="shared" si="512"/>
        <v>117.76427100000012</v>
      </c>
      <c r="P176" s="16">
        <f>(88841.656+11.515)/1000</f>
        <v>88.853171000000003</v>
      </c>
      <c r="Q176" s="16">
        <f>(97189.205+5.386)/1000</f>
        <v>97.194591000000003</v>
      </c>
      <c r="R176" s="16">
        <f>(3.5+78277.122)/1000</f>
        <v>78.280622000000008</v>
      </c>
      <c r="S176" s="20">
        <f t="shared" si="513"/>
        <v>92.942312999999956</v>
      </c>
      <c r="T176" s="16">
        <f>(100388.853+0.734)/1000</f>
        <v>100.38958700000001</v>
      </c>
      <c r="U176" s="16">
        <v>101.106641</v>
      </c>
      <c r="V176" s="681">
        <f t="shared" si="514"/>
        <v>112.86095416900001</v>
      </c>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20"/>
      <c r="AU176" s="20"/>
      <c r="AV176" s="20"/>
      <c r="AW176" s="650">
        <f t="shared" si="515"/>
        <v>86.992782999999989</v>
      </c>
      <c r="AX176" s="16">
        <f>(81680.746+96989.486)/1000</f>
        <v>178.67023200000003</v>
      </c>
      <c r="AY176" s="16">
        <f>(249548.139+23266.355)/1000</f>
        <v>272.81449400000002</v>
      </c>
      <c r="AZ176" s="16">
        <f>(394836.964+3403.151)/1000</f>
        <v>398.240115</v>
      </c>
      <c r="BA176" s="16">
        <f>(440383.1+659.989)/1000</f>
        <v>441.04308899999995</v>
      </c>
      <c r="BB176" s="16">
        <f>(535153.763+24.871)/1000</f>
        <v>535.1786340000001</v>
      </c>
      <c r="BC176" s="16">
        <f>(357247.365+23.332)/1000</f>
        <v>357.27069699999998</v>
      </c>
      <c r="BD176" s="6"/>
      <c r="BE176" s="6"/>
      <c r="BF176" s="6"/>
      <c r="BG176" s="6"/>
      <c r="BH176" s="6"/>
      <c r="BI176" s="6"/>
      <c r="BJ176" s="6"/>
      <c r="BK176" s="6"/>
    </row>
    <row r="177" spans="1:63" s="159" customFormat="1" ht="11.25" customHeight="1">
      <c r="A177" s="6"/>
      <c r="B177" s="13" t="s">
        <v>233</v>
      </c>
      <c r="C177" s="6"/>
      <c r="D177" s="16">
        <v>51.419279000000003</v>
      </c>
      <c r="E177" s="16">
        <v>48.709060000000001</v>
      </c>
      <c r="F177" s="16">
        <v>55.726974999999996</v>
      </c>
      <c r="G177" s="20">
        <f t="shared" si="510"/>
        <v>42.103688999999974</v>
      </c>
      <c r="H177" s="16">
        <v>45.307582000000004</v>
      </c>
      <c r="I177" s="16">
        <v>45.342157</v>
      </c>
      <c r="J177" s="16">
        <v>48.812968999999995</v>
      </c>
      <c r="K177" s="20">
        <f t="shared" si="511"/>
        <v>51.596231999999986</v>
      </c>
      <c r="L177" s="16">
        <v>60.867538999999994</v>
      </c>
      <c r="M177" s="16">
        <v>64.478128999999996</v>
      </c>
      <c r="N177" s="16">
        <v>66.299632000000003</v>
      </c>
      <c r="O177" s="20">
        <f t="shared" si="512"/>
        <v>66.898974000000038</v>
      </c>
      <c r="P177" s="16">
        <v>57.616256</v>
      </c>
      <c r="Q177" s="16">
        <v>44.651154000000005</v>
      </c>
      <c r="R177" s="16">
        <v>44.470241999999999</v>
      </c>
      <c r="S177" s="20">
        <f t="shared" si="513"/>
        <v>44.568420999999972</v>
      </c>
      <c r="T177" s="16">
        <v>48.472211000000001</v>
      </c>
      <c r="U177" s="16">
        <v>52.681063999999999</v>
      </c>
      <c r="V177" s="681">
        <f t="shared" si="514"/>
        <v>53.111037256000003</v>
      </c>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20"/>
      <c r="AU177" s="20"/>
      <c r="AV177" s="20"/>
      <c r="AW177" s="650">
        <f t="shared" si="515"/>
        <v>173.98556599999998</v>
      </c>
      <c r="AX177" s="16">
        <v>187.37056700000002</v>
      </c>
      <c r="AY177" s="16">
        <v>186.70085800000001</v>
      </c>
      <c r="AZ177" s="16">
        <v>197.959003</v>
      </c>
      <c r="BA177" s="16">
        <v>191.05894000000001</v>
      </c>
      <c r="BB177" s="16">
        <v>258.54427400000003</v>
      </c>
      <c r="BC177" s="16">
        <v>191.306073</v>
      </c>
      <c r="BD177" s="6"/>
      <c r="BE177" s="6"/>
      <c r="BF177" s="6"/>
      <c r="BG177" s="6"/>
      <c r="BH177" s="6"/>
      <c r="BI177" s="6"/>
      <c r="BJ177" s="6"/>
      <c r="BK177" s="6"/>
    </row>
    <row r="178" spans="1:63" s="159" customFormat="1" ht="11.25" customHeight="1">
      <c r="A178" s="6"/>
      <c r="B178" s="13" t="s">
        <v>234</v>
      </c>
      <c r="C178" s="6"/>
      <c r="D178" s="16">
        <v>1.852768</v>
      </c>
      <c r="E178" s="16">
        <v>2.2436129999999999</v>
      </c>
      <c r="F178" s="16">
        <v>2.415743</v>
      </c>
      <c r="G178" s="20">
        <f t="shared" si="510"/>
        <v>1.9387410000000003</v>
      </c>
      <c r="H178" s="16">
        <v>1.201403</v>
      </c>
      <c r="I178" s="16">
        <v>1.3293969999999999</v>
      </c>
      <c r="J178" s="16">
        <v>1.2034719999999999</v>
      </c>
      <c r="K178" s="20">
        <f t="shared" si="511"/>
        <v>1.9344800000000006</v>
      </c>
      <c r="L178" s="16">
        <v>2.1544650000000001</v>
      </c>
      <c r="M178" s="16">
        <v>2.1299239999999999</v>
      </c>
      <c r="N178" s="16">
        <v>2.1246140000000002</v>
      </c>
      <c r="O178" s="20">
        <f t="shared" si="512"/>
        <v>2.4442879999999985</v>
      </c>
      <c r="P178" s="16">
        <v>3.1214589999999998</v>
      </c>
      <c r="Q178" s="16">
        <v>2.8002959999999999</v>
      </c>
      <c r="R178" s="16">
        <v>2.788643</v>
      </c>
      <c r="S178" s="20">
        <f t="shared" si="513"/>
        <v>1.6486439999999991</v>
      </c>
      <c r="T178" s="16">
        <v>1.3992950000000002</v>
      </c>
      <c r="U178" s="16">
        <v>1.0770920000000002</v>
      </c>
      <c r="V178" s="681">
        <f t="shared" si="514"/>
        <v>0</v>
      </c>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20"/>
      <c r="AU178" s="20"/>
      <c r="AV178" s="20"/>
      <c r="AW178" s="650">
        <f t="shared" si="515"/>
        <v>43.496391499999994</v>
      </c>
      <c r="AX178" s="16">
        <v>23.618466000000002</v>
      </c>
      <c r="AY178" s="16">
        <v>9.5358309999999999</v>
      </c>
      <c r="AZ178" s="16">
        <v>8.4508650000000003</v>
      </c>
      <c r="BA178" s="16">
        <v>5.6687520000000005</v>
      </c>
      <c r="BB178" s="16">
        <v>8.8532909999999987</v>
      </c>
      <c r="BC178" s="16">
        <v>10.359041999999999</v>
      </c>
      <c r="BD178" s="6"/>
      <c r="BE178" s="6"/>
      <c r="BF178" s="6"/>
      <c r="BG178" s="6"/>
      <c r="BH178" s="6"/>
      <c r="BI178" s="6"/>
      <c r="BJ178" s="6"/>
      <c r="BK178" s="6"/>
    </row>
    <row r="179" spans="1:63" s="159" customFormat="1" ht="11.25" customHeight="1">
      <c r="A179" s="6"/>
      <c r="B179" s="13" t="s">
        <v>235</v>
      </c>
      <c r="C179" s="6"/>
      <c r="D179" s="16">
        <v>37.999953999999995</v>
      </c>
      <c r="E179" s="16">
        <v>38.479201000000003</v>
      </c>
      <c r="F179" s="16">
        <v>37.682521000000001</v>
      </c>
      <c r="G179" s="20">
        <f t="shared" si="510"/>
        <v>35.206052999999997</v>
      </c>
      <c r="H179" s="16">
        <v>36.664175</v>
      </c>
      <c r="I179" s="16">
        <v>37.518815000000004</v>
      </c>
      <c r="J179" s="16">
        <v>37.739348</v>
      </c>
      <c r="K179" s="20">
        <f t="shared" si="511"/>
        <v>41.144225000000006</v>
      </c>
      <c r="L179" s="16">
        <v>47.447095000000004</v>
      </c>
      <c r="M179" s="16">
        <v>49.533008000000002</v>
      </c>
      <c r="N179" s="16">
        <v>52.861616999999995</v>
      </c>
      <c r="O179" s="20">
        <f t="shared" si="512"/>
        <v>56.770234999999985</v>
      </c>
      <c r="P179" s="16">
        <v>52.057042000000003</v>
      </c>
      <c r="Q179" s="16">
        <v>47.590122999999998</v>
      </c>
      <c r="R179" s="16">
        <v>47.211672</v>
      </c>
      <c r="S179" s="20">
        <f t="shared" si="513"/>
        <v>40.066079000000002</v>
      </c>
      <c r="T179" s="16">
        <v>43.019317999999998</v>
      </c>
      <c r="U179" s="16">
        <v>50.557516000000007</v>
      </c>
      <c r="V179" s="681">
        <f t="shared" si="514"/>
        <v>46.472157599000006</v>
      </c>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20"/>
      <c r="AU179" s="20"/>
      <c r="AV179" s="20"/>
      <c r="AW179" s="650">
        <f t="shared" si="515"/>
        <v>200.08340089999999</v>
      </c>
      <c r="AX179" s="16">
        <v>178.44039600000002</v>
      </c>
      <c r="AY179" s="16">
        <v>149.57871900000001</v>
      </c>
      <c r="AZ179" s="16">
        <v>149.367729</v>
      </c>
      <c r="BA179" s="16">
        <v>153.066563</v>
      </c>
      <c r="BB179" s="16">
        <v>206.61195499999999</v>
      </c>
      <c r="BC179" s="16">
        <v>186.924916</v>
      </c>
      <c r="BD179" s="6"/>
      <c r="BE179" s="6"/>
      <c r="BF179" s="6"/>
      <c r="BG179" s="6"/>
      <c r="BH179" s="6"/>
      <c r="BI179" s="6"/>
      <c r="BJ179" s="6"/>
      <c r="BK179" s="6"/>
    </row>
    <row r="180" spans="1:63" s="159" customFormat="1" ht="11.25" customHeight="1">
      <c r="A180" s="6"/>
      <c r="B180" s="13" t="s">
        <v>236</v>
      </c>
      <c r="C180" s="6"/>
      <c r="D180" s="16">
        <v>26.094253999999999</v>
      </c>
      <c r="E180" s="16">
        <v>26.050830000000001</v>
      </c>
      <c r="F180" s="16">
        <v>26.360109000000001</v>
      </c>
      <c r="G180" s="20">
        <f t="shared" si="510"/>
        <v>24.671349000000006</v>
      </c>
      <c r="H180" s="16">
        <v>23.190956999999997</v>
      </c>
      <c r="I180" s="16">
        <v>23.604843000000002</v>
      </c>
      <c r="J180" s="16">
        <v>27.233875999999999</v>
      </c>
      <c r="K180" s="20">
        <f t="shared" si="511"/>
        <v>29.383962999999994</v>
      </c>
      <c r="L180" s="16">
        <v>34.029969999999999</v>
      </c>
      <c r="M180" s="16">
        <v>36.441273000000002</v>
      </c>
      <c r="N180" s="16">
        <v>37.855128999999998</v>
      </c>
      <c r="O180" s="20">
        <f t="shared" si="512"/>
        <v>37.219870999999983</v>
      </c>
      <c r="P180" s="16">
        <v>32.631097000000004</v>
      </c>
      <c r="Q180" s="16">
        <v>29.537533</v>
      </c>
      <c r="R180" s="16">
        <v>29.417131000000001</v>
      </c>
      <c r="S180" s="20">
        <f t="shared" si="513"/>
        <v>23.081598999999997</v>
      </c>
      <c r="T180" s="16">
        <v>27.114454000000002</v>
      </c>
      <c r="U180" s="16">
        <v>27.586077</v>
      </c>
      <c r="V180" s="681">
        <f t="shared" si="514"/>
        <v>26.555518628000002</v>
      </c>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20"/>
      <c r="AU180" s="20"/>
      <c r="AV180" s="20"/>
      <c r="AW180" s="650">
        <f t="shared" si="515"/>
        <v>104.39133959999998</v>
      </c>
      <c r="AX180" s="16">
        <v>101.801017</v>
      </c>
      <c r="AY180" s="16">
        <v>93.366285000000005</v>
      </c>
      <c r="AZ180" s="16">
        <v>103.176542</v>
      </c>
      <c r="BA180" s="16">
        <v>103.41363899999999</v>
      </c>
      <c r="BB180" s="16">
        <v>145.54624299999998</v>
      </c>
      <c r="BC180" s="16">
        <v>114.66736</v>
      </c>
      <c r="BD180" s="6"/>
      <c r="BE180" s="6"/>
      <c r="BF180" s="6"/>
      <c r="BG180" s="6"/>
      <c r="BH180" s="6"/>
      <c r="BI180" s="6"/>
      <c r="BJ180" s="6"/>
      <c r="BK180" s="6"/>
    </row>
    <row r="181" spans="1:63" s="159" customFormat="1" ht="11.25" customHeight="1">
      <c r="A181" s="6"/>
      <c r="B181" s="13" t="s">
        <v>237</v>
      </c>
      <c r="C181" s="6"/>
      <c r="D181" s="16">
        <v>15.984202</v>
      </c>
      <c r="E181" s="16">
        <v>15.576754999999999</v>
      </c>
      <c r="F181" s="16">
        <v>15.184481999999999</v>
      </c>
      <c r="G181" s="20">
        <f t="shared" si="510"/>
        <v>14.481232000000006</v>
      </c>
      <c r="H181" s="16">
        <v>15.623227</v>
      </c>
      <c r="I181" s="16">
        <v>16.335174000000002</v>
      </c>
      <c r="J181" s="16">
        <v>16.189696999999999</v>
      </c>
      <c r="K181" s="20">
        <f t="shared" si="511"/>
        <v>18.319805000000002</v>
      </c>
      <c r="L181" s="16">
        <v>21.186906</v>
      </c>
      <c r="M181" s="16">
        <v>22.537886999999998</v>
      </c>
      <c r="N181" s="16">
        <v>25.338813999999999</v>
      </c>
      <c r="O181" s="20">
        <f t="shared" si="512"/>
        <v>24.225007000000005</v>
      </c>
      <c r="P181" s="16">
        <v>27.430079000000003</v>
      </c>
      <c r="Q181" s="16">
        <v>27.994409999999998</v>
      </c>
      <c r="R181" s="16">
        <v>26.323837000000001</v>
      </c>
      <c r="S181" s="20">
        <f t="shared" si="513"/>
        <v>25.67707399999999</v>
      </c>
      <c r="T181" s="16">
        <v>21.277009</v>
      </c>
      <c r="U181" s="16">
        <v>20.728245999999999</v>
      </c>
      <c r="V181" s="681">
        <f t="shared" si="514"/>
        <v>26.555518628000002</v>
      </c>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20"/>
      <c r="AU181" s="20"/>
      <c r="AV181" s="20"/>
      <c r="AW181" s="650">
        <f t="shared" si="515"/>
        <v>86.992782999999989</v>
      </c>
      <c r="AX181" s="16">
        <v>76.122259</v>
      </c>
      <c r="AY181" s="16">
        <v>69.250008000000008</v>
      </c>
      <c r="AZ181" s="16">
        <v>61.226671000000003</v>
      </c>
      <c r="BA181" s="16">
        <v>66.467903000000007</v>
      </c>
      <c r="BB181" s="16">
        <v>93.288613999999995</v>
      </c>
      <c r="BC181" s="16">
        <v>107.4254</v>
      </c>
      <c r="BD181" s="6"/>
      <c r="BE181" s="6"/>
      <c r="BF181" s="6"/>
      <c r="BG181" s="6"/>
      <c r="BH181" s="6"/>
      <c r="BI181" s="6"/>
      <c r="BJ181" s="6"/>
      <c r="BK181" s="6"/>
    </row>
    <row r="182" spans="1:63" s="159" customFormat="1" ht="11.25" customHeight="1">
      <c r="A182" s="6"/>
      <c r="B182" s="13" t="s">
        <v>238</v>
      </c>
      <c r="C182" s="6"/>
      <c r="D182" s="16">
        <v>7.6714690000000001</v>
      </c>
      <c r="E182" s="16">
        <v>7.628781</v>
      </c>
      <c r="F182" s="16">
        <v>7.6705579999999998</v>
      </c>
      <c r="G182" s="20">
        <f t="shared" si="510"/>
        <v>6.409550000000003</v>
      </c>
      <c r="H182" s="16">
        <v>8.7244400000000013</v>
      </c>
      <c r="I182" s="16">
        <v>9.0312800000000006</v>
      </c>
      <c r="J182" s="16">
        <v>6.9982769999999999</v>
      </c>
      <c r="K182" s="20">
        <f t="shared" si="511"/>
        <v>7.5062909999999974</v>
      </c>
      <c r="L182" s="16">
        <v>9.2644959999999994</v>
      </c>
      <c r="M182" s="16">
        <v>10.513833</v>
      </c>
      <c r="N182" s="16">
        <v>11.311235</v>
      </c>
      <c r="O182" s="20">
        <f t="shared" si="512"/>
        <v>9.0946050000000049</v>
      </c>
      <c r="P182" s="16">
        <v>8.1509509999999992</v>
      </c>
      <c r="Q182" s="16">
        <v>7.3948450000000001</v>
      </c>
      <c r="R182" s="16">
        <v>5.0444789999999999</v>
      </c>
      <c r="S182" s="20">
        <f t="shared" si="513"/>
        <v>5.0517350000000008</v>
      </c>
      <c r="T182" s="16">
        <v>5.5142910000000001</v>
      </c>
      <c r="U182" s="16">
        <v>5.5910989999999998</v>
      </c>
      <c r="V182" s="681">
        <f t="shared" si="514"/>
        <v>6.6388796570000004</v>
      </c>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20"/>
      <c r="AU182" s="20"/>
      <c r="AV182" s="20"/>
      <c r="AW182" s="650">
        <f t="shared" si="515"/>
        <v>34.797113199999998</v>
      </c>
      <c r="AX182" s="16">
        <v>36.652061000000003</v>
      </c>
      <c r="AY182" s="16">
        <v>25.624251000000001</v>
      </c>
      <c r="AZ182" s="16">
        <v>29.380358000000001</v>
      </c>
      <c r="BA182" s="16">
        <v>32.260288000000003</v>
      </c>
      <c r="BB182" s="16">
        <v>40.184169000000004</v>
      </c>
      <c r="BC182" s="16">
        <v>25.642009999999999</v>
      </c>
      <c r="BD182" s="6"/>
      <c r="BE182" s="6"/>
      <c r="BF182" s="6"/>
      <c r="BG182" s="6"/>
      <c r="BH182" s="6"/>
      <c r="BI182" s="6"/>
      <c r="BJ182" s="6"/>
      <c r="BK182" s="6"/>
    </row>
    <row r="183" spans="1:63" s="159" customFormat="1" ht="11.25" customHeight="1">
      <c r="A183" s="6"/>
      <c r="B183" s="13" t="s">
        <v>239</v>
      </c>
      <c r="C183" s="6"/>
      <c r="D183" s="16">
        <v>7.0224289999999998</v>
      </c>
      <c r="E183" s="16">
        <v>7.5754739999999998</v>
      </c>
      <c r="F183" s="16">
        <v>8.3492810000000013</v>
      </c>
      <c r="G183" s="20">
        <f t="shared" si="510"/>
        <v>10.249953000000005</v>
      </c>
      <c r="H183" s="16">
        <v>8.6974660000000004</v>
      </c>
      <c r="I183" s="16">
        <v>9.3076179999999997</v>
      </c>
      <c r="J183" s="16">
        <v>10.382372999999999</v>
      </c>
      <c r="K183" s="20">
        <f t="shared" si="511"/>
        <v>12.171077000000004</v>
      </c>
      <c r="L183" s="16">
        <v>13.376584999999999</v>
      </c>
      <c r="M183" s="16">
        <v>12.701869</v>
      </c>
      <c r="N183" s="16">
        <v>16.732222</v>
      </c>
      <c r="O183" s="20">
        <f t="shared" si="512"/>
        <v>15.181652</v>
      </c>
      <c r="P183" s="16">
        <v>10.717815</v>
      </c>
      <c r="Q183" s="16">
        <v>9.7999069999999993</v>
      </c>
      <c r="R183" s="16">
        <v>13.072664000000001</v>
      </c>
      <c r="S183" s="20">
        <f t="shared" si="513"/>
        <v>13.558946999999996</v>
      </c>
      <c r="T183" s="16">
        <v>12.802349</v>
      </c>
      <c r="U183" s="16">
        <v>11.893739</v>
      </c>
      <c r="V183" s="681">
        <f t="shared" si="514"/>
        <v>13.277759314000001</v>
      </c>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20"/>
      <c r="AU183" s="20"/>
      <c r="AV183" s="20"/>
      <c r="AW183" s="650">
        <f t="shared" si="515"/>
        <v>26.097834899999995</v>
      </c>
      <c r="AX183" s="16">
        <v>20.677658000000001</v>
      </c>
      <c r="AY183" s="16">
        <v>22.947286999999999</v>
      </c>
      <c r="AZ183" s="16">
        <v>33.197137000000005</v>
      </c>
      <c r="BA183" s="16">
        <v>40.558534000000002</v>
      </c>
      <c r="BB183" s="16">
        <v>57.992328000000001</v>
      </c>
      <c r="BC183" s="16">
        <v>47.149332999999999</v>
      </c>
      <c r="BD183" s="6"/>
      <c r="BE183" s="6"/>
      <c r="BF183" s="6"/>
      <c r="BG183" s="6"/>
      <c r="BH183" s="6"/>
      <c r="BI183" s="6"/>
      <c r="BJ183" s="6"/>
      <c r="BK183" s="6"/>
    </row>
    <row r="184" spans="1:63" s="159" customFormat="1" ht="11.25" customHeight="1">
      <c r="A184" s="6"/>
      <c r="B184" s="13" t="s">
        <v>240</v>
      </c>
      <c r="C184" s="6"/>
      <c r="D184" s="16">
        <v>21.653001</v>
      </c>
      <c r="E184" s="16">
        <v>21.626179</v>
      </c>
      <c r="F184" s="16">
        <v>21.894064</v>
      </c>
      <c r="G184" s="20">
        <f t="shared" si="510"/>
        <v>20.835231000000007</v>
      </c>
      <c r="H184" s="16">
        <v>20.609549999999999</v>
      </c>
      <c r="I184" s="16">
        <v>20.997915000000003</v>
      </c>
      <c r="J184" s="16">
        <v>22.268008000000002</v>
      </c>
      <c r="K184" s="20">
        <f t="shared" si="511"/>
        <v>22.824813999999996</v>
      </c>
      <c r="L184" s="16">
        <v>25.523797999999999</v>
      </c>
      <c r="M184" s="16">
        <v>27.207891</v>
      </c>
      <c r="N184" s="16">
        <v>29.754752</v>
      </c>
      <c r="O184" s="20">
        <f t="shared" si="512"/>
        <v>28.084780999999992</v>
      </c>
      <c r="P184" s="16">
        <v>23.463905</v>
      </c>
      <c r="Q184" s="16">
        <v>20.872897000000002</v>
      </c>
      <c r="R184" s="16">
        <v>20.137374999999999</v>
      </c>
      <c r="S184" s="20">
        <f t="shared" si="513"/>
        <v>22.140036000000009</v>
      </c>
      <c r="T184" s="16">
        <v>21.924461000000001</v>
      </c>
      <c r="U184" s="16">
        <v>21.803577000000001</v>
      </c>
      <c r="V184" s="681">
        <f t="shared" si="514"/>
        <v>26.555518628000002</v>
      </c>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20"/>
      <c r="AU184" s="20"/>
      <c r="AV184" s="20"/>
      <c r="AW184" s="650">
        <f t="shared" si="515"/>
        <v>86.992782999999989</v>
      </c>
      <c r="AX184" s="16">
        <v>81.182645999999991</v>
      </c>
      <c r="AY184" s="16">
        <v>77.564492000000001</v>
      </c>
      <c r="AZ184" s="16">
        <v>86.008475000000004</v>
      </c>
      <c r="BA184" s="16">
        <v>86.700287000000003</v>
      </c>
      <c r="BB184" s="16">
        <v>110.57122199999999</v>
      </c>
      <c r="BC184" s="16">
        <v>86.614213000000007</v>
      </c>
      <c r="BD184" s="6"/>
      <c r="BE184" s="6"/>
      <c r="BF184" s="6"/>
      <c r="BG184" s="6"/>
      <c r="BH184" s="6"/>
      <c r="BI184" s="6"/>
      <c r="BJ184" s="6"/>
      <c r="BK184" s="6"/>
    </row>
    <row r="185" spans="1:63" s="159" customFormat="1" ht="13.5" customHeight="1">
      <c r="A185" s="6"/>
      <c r="B185" s="647" t="s">
        <v>977</v>
      </c>
      <c r="C185" s="6"/>
      <c r="D185" s="17">
        <v>4.965395</v>
      </c>
      <c r="E185" s="17">
        <v>6.4630200000000002</v>
      </c>
      <c r="F185" s="17">
        <v>5.2405110000000006</v>
      </c>
      <c r="G185" s="21">
        <f t="shared" si="510"/>
        <v>3.8459669999999981</v>
      </c>
      <c r="H185" s="17">
        <v>5.3618419999999993</v>
      </c>
      <c r="I185" s="17">
        <v>5.8500609999999993</v>
      </c>
      <c r="J185" s="17">
        <v>5.6286339999999999</v>
      </c>
      <c r="K185" s="21">
        <f t="shared" si="511"/>
        <v>5.8943760000000012</v>
      </c>
      <c r="L185" s="17">
        <v>6.1658569999999999</v>
      </c>
      <c r="M185" s="17">
        <v>6.578246</v>
      </c>
      <c r="N185" s="17">
        <v>6.9622740000000007</v>
      </c>
      <c r="O185" s="21">
        <f t="shared" si="512"/>
        <v>6.6889590000000005</v>
      </c>
      <c r="P185" s="17">
        <v>5.0456530000000006</v>
      </c>
      <c r="Q185" s="17">
        <v>4.8933489999999997</v>
      </c>
      <c r="R185" s="17">
        <v>4.1101450000000002</v>
      </c>
      <c r="S185" s="21">
        <f t="shared" si="513"/>
        <v>3.7642269999999982</v>
      </c>
      <c r="T185" s="17">
        <v>3.8392820000000003</v>
      </c>
      <c r="U185" s="17">
        <v>3.536778</v>
      </c>
      <c r="V185" s="679">
        <f t="shared" si="514"/>
        <v>6.6388796570000004</v>
      </c>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21"/>
      <c r="AU185" s="21"/>
      <c r="AV185" s="21"/>
      <c r="AW185" s="651">
        <f t="shared" si="515"/>
        <v>26.097834899999995</v>
      </c>
      <c r="AX185" s="17">
        <v>26.761062000000003</v>
      </c>
      <c r="AY185" s="17">
        <v>19.935126</v>
      </c>
      <c r="AZ185" s="17">
        <v>20.514893000000001</v>
      </c>
      <c r="BA185" s="17">
        <v>22.734912999999999</v>
      </c>
      <c r="BB185" s="17">
        <v>26.395336</v>
      </c>
      <c r="BC185" s="17">
        <v>17.813374</v>
      </c>
      <c r="BD185" s="6"/>
      <c r="BE185" s="6"/>
      <c r="BF185" s="6"/>
      <c r="BG185" s="6"/>
      <c r="BH185" s="6"/>
      <c r="BI185" s="6"/>
      <c r="BJ185" s="6"/>
      <c r="BK185" s="6"/>
    </row>
    <row r="186" spans="1:63" s="159" customFormat="1" ht="11.25" customHeight="1">
      <c r="A186" s="6"/>
      <c r="B186" s="635" t="s">
        <v>971</v>
      </c>
      <c r="C186" s="6"/>
      <c r="D186" s="20">
        <f t="shared" ref="D186:U186" si="516">SUM(D173:D185)</f>
        <v>271.649812</v>
      </c>
      <c r="E186" s="20">
        <f t="shared" si="516"/>
        <v>275.30602999999996</v>
      </c>
      <c r="F186" s="20">
        <f t="shared" si="516"/>
        <v>316.55001500000003</v>
      </c>
      <c r="G186" s="20">
        <f t="shared" si="516"/>
        <v>314.95041600000008</v>
      </c>
      <c r="H186" s="20">
        <f t="shared" si="516"/>
        <v>322.47225600000007</v>
      </c>
      <c r="I186" s="20">
        <f t="shared" si="516"/>
        <v>332.00569999999993</v>
      </c>
      <c r="J186" s="20">
        <f t="shared" si="516"/>
        <v>366.00793199999998</v>
      </c>
      <c r="K186" s="20">
        <f t="shared" si="516"/>
        <v>384.8143849999999</v>
      </c>
      <c r="L186" s="20">
        <f t="shared" si="516"/>
        <v>438.636751</v>
      </c>
      <c r="M186" s="20">
        <f t="shared" si="516"/>
        <v>475.78123699999998</v>
      </c>
      <c r="N186" s="20">
        <f t="shared" si="516"/>
        <v>540.209881</v>
      </c>
      <c r="O186" s="20">
        <f t="shared" si="516"/>
        <v>537.22807800000021</v>
      </c>
      <c r="P186" s="20">
        <f t="shared" si="516"/>
        <v>448.38290500000005</v>
      </c>
      <c r="Q186" s="20">
        <f t="shared" si="516"/>
        <v>421.03737900000004</v>
      </c>
      <c r="R186" s="20">
        <f t="shared" si="516"/>
        <v>473.03734700000001</v>
      </c>
      <c r="S186" s="20">
        <f t="shared" si="516"/>
        <v>540.06044899999995</v>
      </c>
      <c r="T186" s="20">
        <f t="shared" si="516"/>
        <v>521.89697100000012</v>
      </c>
      <c r="U186" s="20">
        <f t="shared" ca="1" si="516"/>
        <v>596.24062000000004</v>
      </c>
      <c r="V186" s="681">
        <f>+V156</f>
        <v>663.8879657</v>
      </c>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20"/>
      <c r="AU186" s="20"/>
      <c r="AV186" s="20"/>
      <c r="AW186" s="650">
        <f>+AW156</f>
        <v>869.92782999999986</v>
      </c>
      <c r="AX186" s="20">
        <f t="shared" ref="AX186:BC186" si="517">SUM(AX173:AX185)</f>
        <v>911.29636400000004</v>
      </c>
      <c r="AY186" s="20">
        <f t="shared" si="517"/>
        <v>927.3173509999998</v>
      </c>
      <c r="AZ186" s="20">
        <f t="shared" si="517"/>
        <v>1178.4562730000002</v>
      </c>
      <c r="BA186" s="20">
        <f t="shared" si="517"/>
        <v>1405.3002730000001</v>
      </c>
      <c r="BB186" s="20">
        <f t="shared" si="517"/>
        <v>1991.8559470000005</v>
      </c>
      <c r="BC186" s="20">
        <f t="shared" si="517"/>
        <v>1882.5180800000001</v>
      </c>
      <c r="BD186" s="6"/>
      <c r="BE186" s="6"/>
      <c r="BF186" s="6"/>
      <c r="BG186" s="6"/>
      <c r="BH186" s="6"/>
      <c r="BI186" s="6"/>
      <c r="BJ186" s="6"/>
      <c r="BK186" s="6"/>
    </row>
    <row r="187" spans="1:63" s="159" customFormat="1" ht="11.25" customHeight="1">
      <c r="A187" s="6"/>
      <c r="B187" s="31"/>
      <c r="C187" s="6"/>
      <c r="D187" s="20"/>
      <c r="E187" s="20"/>
      <c r="F187" s="20"/>
      <c r="G187" s="20"/>
      <c r="H187" s="20"/>
      <c r="I187" s="20"/>
      <c r="J187" s="20"/>
      <c r="K187" s="20"/>
      <c r="L187" s="20"/>
      <c r="M187" s="20"/>
      <c r="N187" s="20"/>
      <c r="O187" s="20"/>
      <c r="P187" s="20"/>
      <c r="Q187" s="20"/>
      <c r="R187" s="20"/>
      <c r="S187" s="20"/>
      <c r="T187" s="20"/>
      <c r="U187" s="20"/>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20"/>
      <c r="AU187" s="20"/>
      <c r="AV187" s="20"/>
      <c r="AW187" s="20"/>
      <c r="AX187" s="20"/>
      <c r="AY187" s="20"/>
      <c r="AZ187" s="20"/>
      <c r="BA187" s="20"/>
      <c r="BB187" s="20"/>
      <c r="BC187" s="20"/>
      <c r="BD187" s="6"/>
      <c r="BE187" s="6"/>
      <c r="BF187" s="6"/>
      <c r="BG187" s="6"/>
      <c r="BH187" s="6"/>
      <c r="BI187" s="6"/>
      <c r="BJ187" s="6"/>
      <c r="BK187" s="6"/>
    </row>
    <row r="188" spans="1:63" ht="11.25" customHeight="1">
      <c r="A188" s="2"/>
      <c r="B188" s="32" t="s">
        <v>249</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row>
    <row r="189" spans="1:63" s="159" customFormat="1" ht="11.25" customHeight="1">
      <c r="A189" s="6"/>
      <c r="B189" s="9" t="str">
        <f t="shared" ref="B189:B202" si="518">B173</f>
        <v>2nm</v>
      </c>
      <c r="C189" s="6"/>
      <c r="D189" s="247"/>
      <c r="E189" s="260"/>
      <c r="F189" s="260"/>
      <c r="G189" s="260"/>
      <c r="H189" s="260" t="str">
        <f t="shared" ref="H189:H202" si="519">IFERROR((H173/D173)-1,"n/a")</f>
        <v>n/a</v>
      </c>
      <c r="I189" s="260" t="str">
        <f t="shared" ref="I189:I202" si="520">IFERROR((I173/E173)-1,"n/a")</f>
        <v>n/a</v>
      </c>
      <c r="J189" s="260" t="str">
        <f t="shared" ref="J189:J202" si="521">IFERROR((J173/F173)-1,"n/a")</f>
        <v>n/a</v>
      </c>
      <c r="K189" s="260" t="str">
        <f t="shared" ref="K189:K202" si="522">IFERROR((K173/G173)-1,"n/a")</f>
        <v>n/a</v>
      </c>
      <c r="L189" s="260" t="str">
        <f t="shared" ref="L189:L202" si="523">IFERROR((L173/H173)-1,"n/a")</f>
        <v>n/a</v>
      </c>
      <c r="M189" s="260" t="str">
        <f t="shared" ref="M189:M202" si="524">IFERROR((M173/I173)-1,"n/a")</f>
        <v>n/a</v>
      </c>
      <c r="N189" s="260" t="str">
        <f t="shared" ref="N189:N202" si="525">IFERROR((N173/J173)-1,"n/a")</f>
        <v>n/a</v>
      </c>
      <c r="O189" s="260" t="str">
        <f t="shared" ref="O189:O202" si="526">IFERROR((O173/K173)-1,"n/a")</f>
        <v>n/a</v>
      </c>
      <c r="P189" s="260" t="str">
        <f t="shared" ref="P189:P202" si="527">IFERROR((P173/L173)-1,"n/a")</f>
        <v>n/a</v>
      </c>
      <c r="Q189" s="260" t="str">
        <f t="shared" ref="Q189:Q202" si="528">IFERROR((Q173/M173)-1,"n/a")</f>
        <v>n/a</v>
      </c>
      <c r="R189" s="260" t="str">
        <f t="shared" ref="R189:R202" si="529">IFERROR((R173/N173)-1,"n/a")</f>
        <v>n/a</v>
      </c>
      <c r="S189" s="260" t="str">
        <f t="shared" ref="S189:S202" si="530">IFERROR((S173/O173)-1,"n/a")</f>
        <v>n/a</v>
      </c>
      <c r="T189" s="260" t="str">
        <f t="shared" ref="T189:T202" si="531">IFERROR((T173/P173)-1,"n/a")</f>
        <v>n/a</v>
      </c>
      <c r="U189" s="260" t="str">
        <f t="shared" ref="U189:V202" ca="1" si="532">IFERROR((U173/Q173)-1,"n/a")</f>
        <v>n/a</v>
      </c>
      <c r="V189" s="260" t="str">
        <f t="shared" ca="1" si="532"/>
        <v>n/a</v>
      </c>
      <c r="W189" s="6"/>
      <c r="X189" s="6"/>
      <c r="Y189" s="6"/>
      <c r="Z189" s="6"/>
      <c r="AA189" s="6"/>
      <c r="AB189" s="6"/>
      <c r="AC189" s="6"/>
      <c r="AD189" s="6"/>
      <c r="AE189" s="6"/>
      <c r="AF189" s="6"/>
      <c r="AG189" s="6"/>
      <c r="AH189" s="6"/>
      <c r="AI189" s="6"/>
      <c r="AJ189" s="6"/>
      <c r="AK189" s="6"/>
      <c r="AL189" s="6"/>
      <c r="AM189" s="6"/>
      <c r="AN189" s="6"/>
      <c r="AO189" s="6"/>
      <c r="AP189" s="6"/>
      <c r="AQ189" s="6"/>
      <c r="AR189" s="6"/>
      <c r="AS189" s="248"/>
      <c r="AT189" s="260"/>
      <c r="AU189" s="260"/>
      <c r="AV189" s="260"/>
      <c r="AW189" s="260"/>
      <c r="AX189" s="260" t="str">
        <f t="shared" ref="AX189:BC202" si="533">IFERROR((AX173/AW173)-1,"n/a")</f>
        <v>n/a</v>
      </c>
      <c r="AY189" s="260" t="str">
        <f t="shared" si="533"/>
        <v>n/a</v>
      </c>
      <c r="AZ189" s="260" t="str">
        <f t="shared" si="533"/>
        <v>n/a</v>
      </c>
      <c r="BA189" s="260" t="str">
        <f t="shared" si="533"/>
        <v>n/a</v>
      </c>
      <c r="BB189" s="260" t="str">
        <f t="shared" si="533"/>
        <v>n/a</v>
      </c>
      <c r="BC189" s="260" t="str">
        <f t="shared" si="533"/>
        <v>n/a</v>
      </c>
      <c r="BD189" s="6"/>
      <c r="BE189" s="6"/>
      <c r="BF189" s="6"/>
      <c r="BG189" s="6"/>
      <c r="BH189" s="6"/>
      <c r="BI189" s="6"/>
      <c r="BJ189" s="6"/>
      <c r="BK189" s="6"/>
    </row>
    <row r="190" spans="1:63" s="159" customFormat="1" ht="11.25" customHeight="1">
      <c r="A190" s="6"/>
      <c r="B190" s="9" t="str">
        <f t="shared" si="518"/>
        <v>3nm</v>
      </c>
      <c r="C190" s="6"/>
      <c r="D190" s="247"/>
      <c r="E190" s="260"/>
      <c r="F190" s="260"/>
      <c r="G190" s="260"/>
      <c r="H190" s="260" t="str">
        <f t="shared" si="519"/>
        <v>n/a</v>
      </c>
      <c r="I190" s="260" t="str">
        <f t="shared" si="520"/>
        <v>n/a</v>
      </c>
      <c r="J190" s="260" t="str">
        <f t="shared" si="521"/>
        <v>n/a</v>
      </c>
      <c r="K190" s="260" t="str">
        <f t="shared" si="522"/>
        <v>n/a</v>
      </c>
      <c r="L190" s="260" t="str">
        <f t="shared" si="523"/>
        <v>n/a</v>
      </c>
      <c r="M190" s="260" t="str">
        <f t="shared" si="524"/>
        <v>n/a</v>
      </c>
      <c r="N190" s="260" t="str">
        <f t="shared" si="525"/>
        <v>n/a</v>
      </c>
      <c r="O190" s="260" t="str">
        <f t="shared" si="526"/>
        <v>n/a</v>
      </c>
      <c r="P190" s="260" t="str">
        <f t="shared" si="527"/>
        <v>n/a</v>
      </c>
      <c r="Q190" s="260" t="str">
        <f t="shared" si="528"/>
        <v>n/a</v>
      </c>
      <c r="R190" s="260" t="str">
        <f t="shared" si="529"/>
        <v>n/a</v>
      </c>
      <c r="S190" s="260" t="str">
        <f t="shared" si="530"/>
        <v>n/a</v>
      </c>
      <c r="T190" s="260" t="str">
        <f t="shared" si="531"/>
        <v>n/a</v>
      </c>
      <c r="U190" s="260">
        <f t="shared" si="532"/>
        <v>185.29191044220713</v>
      </c>
      <c r="V190" s="260">
        <f t="shared" si="532"/>
        <v>3.5793664018923144</v>
      </c>
      <c r="W190" s="6"/>
      <c r="X190" s="6"/>
      <c r="Y190" s="6"/>
      <c r="Z190" s="6"/>
      <c r="AA190" s="6"/>
      <c r="AB190" s="6"/>
      <c r="AC190" s="6"/>
      <c r="AD190" s="6"/>
      <c r="AE190" s="6"/>
      <c r="AF190" s="6"/>
      <c r="AG190" s="6"/>
      <c r="AH190" s="6"/>
      <c r="AI190" s="6"/>
      <c r="AJ190" s="6"/>
      <c r="AK190" s="6"/>
      <c r="AL190" s="6"/>
      <c r="AM190" s="6"/>
      <c r="AN190" s="6"/>
      <c r="AO190" s="6"/>
      <c r="AP190" s="6"/>
      <c r="AQ190" s="6"/>
      <c r="AR190" s="6"/>
      <c r="AS190" s="248"/>
      <c r="AT190" s="260"/>
      <c r="AU190" s="260"/>
      <c r="AV190" s="260"/>
      <c r="AW190" s="260"/>
      <c r="AX190" s="260" t="str">
        <f t="shared" si="533"/>
        <v>n/a</v>
      </c>
      <c r="AY190" s="260" t="str">
        <f t="shared" si="533"/>
        <v>n/a</v>
      </c>
      <c r="AZ190" s="260" t="str">
        <f t="shared" si="533"/>
        <v>n/a</v>
      </c>
      <c r="BA190" s="260" t="str">
        <f t="shared" si="533"/>
        <v>n/a</v>
      </c>
      <c r="BB190" s="260" t="str">
        <f t="shared" si="533"/>
        <v>n/a</v>
      </c>
      <c r="BC190" s="260" t="str">
        <f t="shared" si="533"/>
        <v>n/a</v>
      </c>
      <c r="BD190" s="6"/>
      <c r="BE190" s="6"/>
      <c r="BF190" s="6"/>
      <c r="BG190" s="6"/>
      <c r="BH190" s="6"/>
      <c r="BI190" s="6"/>
      <c r="BJ190" s="6"/>
      <c r="BK190" s="6"/>
    </row>
    <row r="191" spans="1:63" s="159" customFormat="1" ht="11.25" customHeight="1">
      <c r="A191" s="6"/>
      <c r="B191" s="9" t="str">
        <f t="shared" si="518"/>
        <v>5nm</v>
      </c>
      <c r="C191" s="6"/>
      <c r="D191" s="247"/>
      <c r="E191" s="260"/>
      <c r="F191" s="260"/>
      <c r="G191" s="260"/>
      <c r="H191" s="260" t="str">
        <f t="shared" si="519"/>
        <v>n/a</v>
      </c>
      <c r="I191" s="260" t="str">
        <f t="shared" si="520"/>
        <v>n/a</v>
      </c>
      <c r="J191" s="260">
        <f t="shared" si="521"/>
        <v>1.5911935417106888</v>
      </c>
      <c r="K191" s="260">
        <f t="shared" si="522"/>
        <v>0.36079553165052958</v>
      </c>
      <c r="L191" s="260">
        <f t="shared" si="523"/>
        <v>0.89181614331342329</v>
      </c>
      <c r="M191" s="260">
        <f t="shared" si="524"/>
        <v>0.64618635034350924</v>
      </c>
      <c r="N191" s="260">
        <f t="shared" si="525"/>
        <v>1.2233941123783816</v>
      </c>
      <c r="O191" s="260">
        <f t="shared" si="526"/>
        <v>0.95109871848393279</v>
      </c>
      <c r="P191" s="260">
        <f t="shared" si="527"/>
        <v>0.61423788983865113</v>
      </c>
      <c r="Q191" s="260">
        <f t="shared" si="528"/>
        <v>0.26898556049836464</v>
      </c>
      <c r="R191" s="260">
        <f t="shared" si="529"/>
        <v>0.16378181323796648</v>
      </c>
      <c r="S191" s="260">
        <f t="shared" si="530"/>
        <v>9.336776711707051E-2</v>
      </c>
      <c r="T191" s="260">
        <f t="shared" si="531"/>
        <v>0.36900176593673595</v>
      </c>
      <c r="U191" s="260">
        <f t="shared" si="532"/>
        <v>0.63949341536576632</v>
      </c>
      <c r="V191" s="260">
        <f t="shared" si="532"/>
        <v>0.22668352384694845</v>
      </c>
      <c r="W191" s="6"/>
      <c r="X191" s="6"/>
      <c r="Y191" s="6"/>
      <c r="Z191" s="6"/>
      <c r="AA191" s="6"/>
      <c r="AB191" s="6"/>
      <c r="AC191" s="6"/>
      <c r="AD191" s="6"/>
      <c r="AE191" s="6"/>
      <c r="AF191" s="6"/>
      <c r="AG191" s="6"/>
      <c r="AH191" s="6"/>
      <c r="AI191" s="6"/>
      <c r="AJ191" s="6"/>
      <c r="AK191" s="6"/>
      <c r="AL191" s="6"/>
      <c r="AM191" s="6"/>
      <c r="AN191" s="6"/>
      <c r="AO191" s="6"/>
      <c r="AP191" s="6"/>
      <c r="AQ191" s="6"/>
      <c r="AR191" s="6"/>
      <c r="AS191" s="248"/>
      <c r="AT191" s="260"/>
      <c r="AU191" s="260"/>
      <c r="AV191" s="260"/>
      <c r="AW191" s="260"/>
      <c r="AX191" s="260" t="str">
        <f t="shared" si="533"/>
        <v>n/a</v>
      </c>
      <c r="AY191" s="260" t="str">
        <f t="shared" si="533"/>
        <v>n/a</v>
      </c>
      <c r="AZ191" s="260" t="str">
        <f t="shared" si="533"/>
        <v>n/a</v>
      </c>
      <c r="BA191" s="260">
        <f t="shared" si="533"/>
        <v>1.8847951907353959</v>
      </c>
      <c r="BB191" s="260">
        <f t="shared" si="533"/>
        <v>0.93914150359418302</v>
      </c>
      <c r="BC191" s="260">
        <f t="shared" si="533"/>
        <v>0.23710026581008403</v>
      </c>
      <c r="BD191" s="6"/>
      <c r="BE191" s="6"/>
      <c r="BF191" s="6"/>
      <c r="BG191" s="6"/>
      <c r="BH191" s="6"/>
      <c r="BI191" s="6"/>
      <c r="BJ191" s="6"/>
      <c r="BK191" s="6"/>
    </row>
    <row r="192" spans="1:63" s="159" customFormat="1" ht="11.25" customHeight="1">
      <c r="A192" s="6"/>
      <c r="B192" s="9" t="str">
        <f t="shared" si="518"/>
        <v>7/10nm</v>
      </c>
      <c r="C192" s="6"/>
      <c r="D192" s="247"/>
      <c r="E192" s="260"/>
      <c r="F192" s="260"/>
      <c r="G192" s="260"/>
      <c r="H192" s="260">
        <f t="shared" si="519"/>
        <v>0.149415312213657</v>
      </c>
      <c r="I192" s="260">
        <f t="shared" si="520"/>
        <v>5.4042709746151552E-3</v>
      </c>
      <c r="J192" s="260">
        <f t="shared" si="521"/>
        <v>0.11275369881928232</v>
      </c>
      <c r="K192" s="260">
        <f t="shared" si="522"/>
        <v>0.17025920133946193</v>
      </c>
      <c r="L192" s="260">
        <f t="shared" si="523"/>
        <v>0.18703026387718658</v>
      </c>
      <c r="M192" s="260">
        <f t="shared" si="524"/>
        <v>0.40819006589197993</v>
      </c>
      <c r="N192" s="260">
        <f t="shared" si="525"/>
        <v>0.15931972657744398</v>
      </c>
      <c r="O192" s="260">
        <f t="shared" si="526"/>
        <v>0.11682884423019169</v>
      </c>
      <c r="P192" s="260">
        <f t="shared" si="527"/>
        <v>-0.32853966556649838</v>
      </c>
      <c r="Q192" s="260">
        <f t="shared" si="528"/>
        <v>-0.31998207311419513</v>
      </c>
      <c r="R192" s="260">
        <f t="shared" si="529"/>
        <v>-0.44933552497178486</v>
      </c>
      <c r="S192" s="260">
        <f t="shared" si="530"/>
        <v>-0.21077664549038089</v>
      </c>
      <c r="T192" s="260">
        <f t="shared" si="531"/>
        <v>0.12983685185529281</v>
      </c>
      <c r="U192" s="260">
        <f t="shared" si="532"/>
        <v>4.0249667803015754E-2</v>
      </c>
      <c r="V192" s="260">
        <f t="shared" si="532"/>
        <v>0.44174830610058247</v>
      </c>
      <c r="W192" s="6"/>
      <c r="X192" s="6"/>
      <c r="Y192" s="6"/>
      <c r="Z192" s="6"/>
      <c r="AA192" s="6"/>
      <c r="AB192" s="6"/>
      <c r="AC192" s="6"/>
      <c r="AD192" s="6"/>
      <c r="AE192" s="6"/>
      <c r="AF192" s="6"/>
      <c r="AG192" s="6"/>
      <c r="AH192" s="6"/>
      <c r="AI192" s="6"/>
      <c r="AJ192" s="6"/>
      <c r="AK192" s="6"/>
      <c r="AL192" s="6"/>
      <c r="AM192" s="6"/>
      <c r="AN192" s="6"/>
      <c r="AO192" s="6"/>
      <c r="AP192" s="6"/>
      <c r="AQ192" s="6"/>
      <c r="AR192" s="6"/>
      <c r="AS192" s="248"/>
      <c r="AT192" s="260"/>
      <c r="AU192" s="260"/>
      <c r="AV192" s="260"/>
      <c r="AW192" s="260"/>
      <c r="AX192" s="260">
        <f t="shared" si="533"/>
        <v>1.0538512028061002</v>
      </c>
      <c r="AY192" s="260">
        <f t="shared" si="533"/>
        <v>0.52691632481901052</v>
      </c>
      <c r="AZ192" s="260">
        <f t="shared" si="533"/>
        <v>0.45974691139393786</v>
      </c>
      <c r="BA192" s="260">
        <f t="shared" si="533"/>
        <v>0.10748031749639275</v>
      </c>
      <c r="BB192" s="260">
        <f t="shared" si="533"/>
        <v>0.21343843118240113</v>
      </c>
      <c r="BC192" s="260">
        <f t="shared" si="533"/>
        <v>-0.33242720410994597</v>
      </c>
      <c r="BD192" s="6"/>
      <c r="BE192" s="6"/>
      <c r="BF192" s="6"/>
      <c r="BG192" s="6"/>
      <c r="BH192" s="6"/>
      <c r="BI192" s="6"/>
      <c r="BJ192" s="6"/>
      <c r="BK192" s="6"/>
    </row>
    <row r="193" spans="1:63" s="159" customFormat="1" ht="11.25" customHeight="1">
      <c r="A193" s="6"/>
      <c r="B193" s="9" t="str">
        <f t="shared" si="518"/>
        <v>16nm</v>
      </c>
      <c r="C193" s="6"/>
      <c r="D193" s="247"/>
      <c r="E193" s="260"/>
      <c r="F193" s="260"/>
      <c r="G193" s="260"/>
      <c r="H193" s="260">
        <f t="shared" si="519"/>
        <v>-0.11886002913420857</v>
      </c>
      <c r="I193" s="260">
        <f t="shared" si="520"/>
        <v>-6.912272583375656E-2</v>
      </c>
      <c r="J193" s="260">
        <f t="shared" si="521"/>
        <v>-0.12406928601453782</v>
      </c>
      <c r="K193" s="260">
        <f t="shared" si="522"/>
        <v>0.22545632521653913</v>
      </c>
      <c r="L193" s="260">
        <f t="shared" si="523"/>
        <v>0.34342942865500947</v>
      </c>
      <c r="M193" s="260">
        <f t="shared" si="524"/>
        <v>0.42203488466594119</v>
      </c>
      <c r="N193" s="260">
        <f t="shared" si="525"/>
        <v>0.35823805349762705</v>
      </c>
      <c r="O193" s="260">
        <f t="shared" si="526"/>
        <v>0.29658642514825617</v>
      </c>
      <c r="P193" s="260">
        <f t="shared" si="527"/>
        <v>-5.341571309462656E-2</v>
      </c>
      <c r="Q193" s="260">
        <f t="shared" si="528"/>
        <v>-0.30749922970004284</v>
      </c>
      <c r="R193" s="260">
        <f t="shared" si="529"/>
        <v>-0.3292535620710535</v>
      </c>
      <c r="S193" s="260">
        <f t="shared" si="530"/>
        <v>-0.33379514908554586</v>
      </c>
      <c r="T193" s="260">
        <f t="shared" si="531"/>
        <v>-0.15870599089257031</v>
      </c>
      <c r="U193" s="260">
        <f t="shared" si="532"/>
        <v>0.17983656144698945</v>
      </c>
      <c r="V193" s="260">
        <f t="shared" si="532"/>
        <v>0.19430510983052462</v>
      </c>
      <c r="W193" s="6"/>
      <c r="X193" s="6"/>
      <c r="Y193" s="6"/>
      <c r="Z193" s="6"/>
      <c r="AA193" s="6"/>
      <c r="AB193" s="6"/>
      <c r="AC193" s="6"/>
      <c r="AD193" s="6"/>
      <c r="AE193" s="6"/>
      <c r="AF193" s="6"/>
      <c r="AG193" s="6"/>
      <c r="AH193" s="6"/>
      <c r="AI193" s="6"/>
      <c r="AJ193" s="6"/>
      <c r="AK193" s="6"/>
      <c r="AL193" s="6"/>
      <c r="AM193" s="6"/>
      <c r="AN193" s="6"/>
      <c r="AO193" s="6"/>
      <c r="AP193" s="6"/>
      <c r="AQ193" s="6"/>
      <c r="AR193" s="6"/>
      <c r="AS193" s="248"/>
      <c r="AT193" s="260"/>
      <c r="AU193" s="260"/>
      <c r="AV193" s="260"/>
      <c r="AW193" s="260"/>
      <c r="AX193" s="260">
        <f t="shared" si="533"/>
        <v>7.6931674895376334E-2</v>
      </c>
      <c r="AY193" s="260">
        <f t="shared" si="533"/>
        <v>-3.5742486705503396E-3</v>
      </c>
      <c r="AZ193" s="260">
        <f t="shared" si="533"/>
        <v>6.0300445967955696E-2</v>
      </c>
      <c r="BA193" s="260">
        <f t="shared" si="533"/>
        <v>-3.4856020162922219E-2</v>
      </c>
      <c r="BB193" s="260">
        <f t="shared" si="533"/>
        <v>0.35321735795247289</v>
      </c>
      <c r="BC193" s="260">
        <f t="shared" si="533"/>
        <v>-0.26006455281233587</v>
      </c>
      <c r="BD193" s="6"/>
      <c r="BE193" s="6"/>
      <c r="BF193" s="6"/>
      <c r="BG193" s="6"/>
      <c r="BH193" s="6"/>
      <c r="BI193" s="6"/>
      <c r="BJ193" s="6"/>
      <c r="BK193" s="6"/>
    </row>
    <row r="194" spans="1:63" s="159" customFormat="1" ht="11.25" customHeight="1">
      <c r="A194" s="6"/>
      <c r="B194" s="9" t="str">
        <f t="shared" si="518"/>
        <v>20nm</v>
      </c>
      <c r="C194" s="6"/>
      <c r="D194" s="247"/>
      <c r="E194" s="260"/>
      <c r="F194" s="260"/>
      <c r="G194" s="260"/>
      <c r="H194" s="260">
        <f t="shared" si="519"/>
        <v>-0.35156317466622911</v>
      </c>
      <c r="I194" s="260">
        <f t="shared" si="520"/>
        <v>-0.40747490766009997</v>
      </c>
      <c r="J194" s="260">
        <f t="shared" si="521"/>
        <v>-0.50182117882572785</v>
      </c>
      <c r="K194" s="260">
        <f t="shared" si="522"/>
        <v>-2.197818068529811E-3</v>
      </c>
      <c r="L194" s="260">
        <f t="shared" si="523"/>
        <v>0.79329084412141482</v>
      </c>
      <c r="M194" s="260">
        <f t="shared" si="524"/>
        <v>0.60217301528437339</v>
      </c>
      <c r="N194" s="260">
        <f t="shared" si="525"/>
        <v>0.76540376510629282</v>
      </c>
      <c r="O194" s="260">
        <f t="shared" si="526"/>
        <v>0.26353748811049882</v>
      </c>
      <c r="P194" s="260">
        <f t="shared" si="527"/>
        <v>0.4488325407931899</v>
      </c>
      <c r="Q194" s="260">
        <f t="shared" si="528"/>
        <v>0.3147398686525904</v>
      </c>
      <c r="R194" s="260">
        <f t="shared" si="529"/>
        <v>0.31254100744888236</v>
      </c>
      <c r="S194" s="260">
        <f t="shared" si="530"/>
        <v>-0.32551156001256798</v>
      </c>
      <c r="T194" s="260">
        <f t="shared" si="531"/>
        <v>-0.55171764229483711</v>
      </c>
      <c r="U194" s="260">
        <f t="shared" si="532"/>
        <v>-0.61536494713416001</v>
      </c>
      <c r="V194" s="260">
        <f t="shared" si="532"/>
        <v>-1</v>
      </c>
      <c r="W194" s="6"/>
      <c r="X194" s="6"/>
      <c r="Y194" s="6"/>
      <c r="Z194" s="6"/>
      <c r="AA194" s="6"/>
      <c r="AB194" s="6"/>
      <c r="AC194" s="6"/>
      <c r="AD194" s="6"/>
      <c r="AE194" s="6"/>
      <c r="AF194" s="6"/>
      <c r="AG194" s="6"/>
      <c r="AH194" s="6"/>
      <c r="AI194" s="6"/>
      <c r="AJ194" s="6"/>
      <c r="AK194" s="6"/>
      <c r="AL194" s="6"/>
      <c r="AM194" s="6"/>
      <c r="AN194" s="6"/>
      <c r="AO194" s="6"/>
      <c r="AP194" s="6"/>
      <c r="AQ194" s="6"/>
      <c r="AR194" s="6"/>
      <c r="AS194" s="248"/>
      <c r="AT194" s="260"/>
      <c r="AU194" s="260"/>
      <c r="AV194" s="260"/>
      <c r="AW194" s="260"/>
      <c r="AX194" s="260">
        <f t="shared" si="533"/>
        <v>-0.45700171472845041</v>
      </c>
      <c r="AY194" s="260">
        <f t="shared" si="533"/>
        <v>-0.5962552775442741</v>
      </c>
      <c r="AZ194" s="260">
        <f t="shared" si="533"/>
        <v>-0.11377781338616422</v>
      </c>
      <c r="BA194" s="260">
        <f t="shared" si="533"/>
        <v>-0.32921044177134529</v>
      </c>
      <c r="BB194" s="260">
        <f t="shared" si="533"/>
        <v>0.56177073895629892</v>
      </c>
      <c r="BC194" s="260">
        <f t="shared" si="533"/>
        <v>0.17007810993674566</v>
      </c>
      <c r="BD194" s="6"/>
      <c r="BE194" s="6"/>
      <c r="BF194" s="6"/>
      <c r="BG194" s="6"/>
      <c r="BH194" s="6"/>
      <c r="BI194" s="6"/>
      <c r="BJ194" s="6"/>
      <c r="BK194" s="6"/>
    </row>
    <row r="195" spans="1:63" s="159" customFormat="1" ht="11.25" customHeight="1">
      <c r="A195" s="6"/>
      <c r="B195" s="9" t="str">
        <f t="shared" si="518"/>
        <v>28nm</v>
      </c>
      <c r="C195" s="6"/>
      <c r="D195" s="247"/>
      <c r="E195" s="260"/>
      <c r="F195" s="260"/>
      <c r="G195" s="260"/>
      <c r="H195" s="260">
        <f t="shared" si="519"/>
        <v>-3.5152121499936406E-2</v>
      </c>
      <c r="I195" s="260">
        <f t="shared" si="520"/>
        <v>-2.4958574373724618E-2</v>
      </c>
      <c r="J195" s="260">
        <f t="shared" si="521"/>
        <v>1.5080466617400923E-3</v>
      </c>
      <c r="K195" s="260">
        <f t="shared" si="522"/>
        <v>0.16866906381127156</v>
      </c>
      <c r="L195" s="260">
        <f t="shared" si="523"/>
        <v>0.29409962176975224</v>
      </c>
      <c r="M195" s="260">
        <f t="shared" si="524"/>
        <v>0.32021781604776156</v>
      </c>
      <c r="N195" s="260">
        <f t="shared" si="525"/>
        <v>0.40070297451879666</v>
      </c>
      <c r="O195" s="260">
        <f t="shared" si="526"/>
        <v>0.37978622759330083</v>
      </c>
      <c r="P195" s="260">
        <f t="shared" si="527"/>
        <v>9.7159731275434202E-2</v>
      </c>
      <c r="Q195" s="260">
        <f t="shared" si="528"/>
        <v>-3.9224046316751138E-2</v>
      </c>
      <c r="R195" s="260">
        <f t="shared" si="529"/>
        <v>-0.10688180423992699</v>
      </c>
      <c r="S195" s="260">
        <f t="shared" si="530"/>
        <v>-0.29424144536304964</v>
      </c>
      <c r="T195" s="260">
        <f t="shared" si="531"/>
        <v>-0.17361193899568872</v>
      </c>
      <c r="U195" s="260">
        <f t="shared" si="532"/>
        <v>6.2353127349555448E-2</v>
      </c>
      <c r="V195" s="260">
        <f t="shared" si="532"/>
        <v>-1.5663804514273405E-2</v>
      </c>
      <c r="W195" s="6"/>
      <c r="X195" s="6"/>
      <c r="Y195" s="6"/>
      <c r="Z195" s="6"/>
      <c r="AA195" s="6"/>
      <c r="AB195" s="6"/>
      <c r="AC195" s="6"/>
      <c r="AD195" s="6"/>
      <c r="AE195" s="6"/>
      <c r="AF195" s="6"/>
      <c r="AG195" s="6"/>
      <c r="AH195" s="6"/>
      <c r="AI195" s="6"/>
      <c r="AJ195" s="6"/>
      <c r="AK195" s="6"/>
      <c r="AL195" s="6"/>
      <c r="AM195" s="6"/>
      <c r="AN195" s="6"/>
      <c r="AO195" s="6"/>
      <c r="AP195" s="6"/>
      <c r="AQ195" s="6"/>
      <c r="AR195" s="6"/>
      <c r="AS195" s="248"/>
      <c r="AT195" s="260"/>
      <c r="AU195" s="260"/>
      <c r="AV195" s="260"/>
      <c r="AW195" s="260"/>
      <c r="AX195" s="260">
        <f t="shared" si="533"/>
        <v>-0.10816991715778046</v>
      </c>
      <c r="AY195" s="260">
        <f t="shared" si="533"/>
        <v>-0.16174407615638786</v>
      </c>
      <c r="AZ195" s="260">
        <f t="shared" si="533"/>
        <v>-1.4105616187287673E-3</v>
      </c>
      <c r="BA195" s="260">
        <f t="shared" si="533"/>
        <v>2.4763274000102253E-2</v>
      </c>
      <c r="BB195" s="260">
        <f t="shared" si="533"/>
        <v>0.34981769336520596</v>
      </c>
      <c r="BC195" s="260">
        <f t="shared" si="533"/>
        <v>-9.5285091320102988E-2</v>
      </c>
      <c r="BD195" s="6"/>
      <c r="BE195" s="6"/>
      <c r="BF195" s="6"/>
      <c r="BG195" s="6"/>
      <c r="BH195" s="6"/>
      <c r="BI195" s="6"/>
      <c r="BJ195" s="6"/>
      <c r="BK195" s="6"/>
    </row>
    <row r="196" spans="1:63" s="159" customFormat="1" ht="11.25" customHeight="1">
      <c r="A196" s="6"/>
      <c r="B196" s="9" t="str">
        <f t="shared" si="518"/>
        <v>40/45nm</v>
      </c>
      <c r="C196" s="6"/>
      <c r="D196" s="247"/>
      <c r="E196" s="260"/>
      <c r="F196" s="260"/>
      <c r="G196" s="260"/>
      <c r="H196" s="260">
        <f t="shared" si="519"/>
        <v>-0.11126192762590581</v>
      </c>
      <c r="I196" s="260">
        <f t="shared" si="520"/>
        <v>-9.3892862530675525E-2</v>
      </c>
      <c r="J196" s="260">
        <f t="shared" si="521"/>
        <v>3.3147321204172409E-2</v>
      </c>
      <c r="K196" s="260">
        <f t="shared" si="522"/>
        <v>0.19101565950041843</v>
      </c>
      <c r="L196" s="260">
        <f t="shared" si="523"/>
        <v>0.46738101407371868</v>
      </c>
      <c r="M196" s="260">
        <f t="shared" si="524"/>
        <v>0.54380493020012888</v>
      </c>
      <c r="N196" s="260">
        <f t="shared" si="525"/>
        <v>0.39000151869678779</v>
      </c>
      <c r="O196" s="260">
        <f t="shared" si="526"/>
        <v>0.26667294673628583</v>
      </c>
      <c r="P196" s="260">
        <f t="shared" si="527"/>
        <v>-4.1107088839631545E-2</v>
      </c>
      <c r="Q196" s="260">
        <f t="shared" si="528"/>
        <v>-0.18944837629574585</v>
      </c>
      <c r="R196" s="260">
        <f t="shared" si="529"/>
        <v>-0.22290237077253117</v>
      </c>
      <c r="S196" s="260">
        <f t="shared" si="530"/>
        <v>-0.37985816769757186</v>
      </c>
      <c r="T196" s="260">
        <f t="shared" si="531"/>
        <v>-0.16906091143671942</v>
      </c>
      <c r="U196" s="260">
        <f t="shared" si="532"/>
        <v>-6.6066993475724645E-2</v>
      </c>
      <c r="V196" s="260">
        <f t="shared" si="532"/>
        <v>-9.7277072057094904E-2</v>
      </c>
      <c r="W196" s="6"/>
      <c r="X196" s="6"/>
      <c r="Y196" s="6"/>
      <c r="Z196" s="6"/>
      <c r="AA196" s="6"/>
      <c r="AB196" s="6"/>
      <c r="AC196" s="6"/>
      <c r="AD196" s="6"/>
      <c r="AE196" s="6"/>
      <c r="AF196" s="6"/>
      <c r="AG196" s="6"/>
      <c r="AH196" s="6"/>
      <c r="AI196" s="6"/>
      <c r="AJ196" s="6"/>
      <c r="AK196" s="6"/>
      <c r="AL196" s="6"/>
      <c r="AM196" s="6"/>
      <c r="AN196" s="6"/>
      <c r="AO196" s="6"/>
      <c r="AP196" s="6"/>
      <c r="AQ196" s="6"/>
      <c r="AR196" s="6"/>
      <c r="AS196" s="248"/>
      <c r="AT196" s="260"/>
      <c r="AU196" s="260"/>
      <c r="AV196" s="260"/>
      <c r="AW196" s="260"/>
      <c r="AX196" s="260">
        <f t="shared" si="533"/>
        <v>-2.4813577543169818E-2</v>
      </c>
      <c r="AY196" s="260">
        <f t="shared" si="533"/>
        <v>-8.2855085819034557E-2</v>
      </c>
      <c r="AZ196" s="260">
        <f t="shared" si="533"/>
        <v>0.10507280010123554</v>
      </c>
      <c r="BA196" s="260">
        <f t="shared" si="533"/>
        <v>2.2979738941046879E-3</v>
      </c>
      <c r="BB196" s="260">
        <f t="shared" si="533"/>
        <v>0.40741825166794476</v>
      </c>
      <c r="BC196" s="260">
        <f t="shared" si="533"/>
        <v>-0.21215857148576467</v>
      </c>
      <c r="BD196" s="6"/>
      <c r="BE196" s="6"/>
      <c r="BF196" s="6"/>
      <c r="BG196" s="6"/>
      <c r="BH196" s="6"/>
      <c r="BI196" s="6"/>
      <c r="BJ196" s="6"/>
      <c r="BK196" s="6"/>
    </row>
    <row r="197" spans="1:63" s="159" customFormat="1" ht="11.25" customHeight="1">
      <c r="A197" s="6"/>
      <c r="B197" s="9" t="str">
        <f t="shared" si="518"/>
        <v>65nm</v>
      </c>
      <c r="C197" s="6"/>
      <c r="D197" s="247"/>
      <c r="E197" s="260"/>
      <c r="F197" s="260"/>
      <c r="G197" s="260"/>
      <c r="H197" s="260">
        <f t="shared" si="519"/>
        <v>-2.2583235622272491E-2</v>
      </c>
      <c r="I197" s="260">
        <f t="shared" si="520"/>
        <v>4.8689152522460866E-2</v>
      </c>
      <c r="J197" s="260">
        <f t="shared" si="521"/>
        <v>6.6200150917232525E-2</v>
      </c>
      <c r="K197" s="260">
        <f t="shared" si="522"/>
        <v>0.26507226733195033</v>
      </c>
      <c r="L197" s="260">
        <f t="shared" si="523"/>
        <v>0.35611586517945359</v>
      </c>
      <c r="M197" s="260">
        <f t="shared" si="524"/>
        <v>0.37971514720320676</v>
      </c>
      <c r="N197" s="260">
        <f t="shared" si="525"/>
        <v>0.56511971780571324</v>
      </c>
      <c r="O197" s="260">
        <f t="shared" si="526"/>
        <v>0.32233978473024161</v>
      </c>
      <c r="P197" s="260">
        <f t="shared" si="527"/>
        <v>0.29467129367544276</v>
      </c>
      <c r="Q197" s="260">
        <f t="shared" si="528"/>
        <v>0.24210446170042466</v>
      </c>
      <c r="R197" s="260">
        <f t="shared" si="529"/>
        <v>3.887407674250265E-2</v>
      </c>
      <c r="S197" s="260">
        <f t="shared" si="530"/>
        <v>5.9940828912866229E-2</v>
      </c>
      <c r="T197" s="260">
        <f t="shared" si="531"/>
        <v>-0.22431834775248016</v>
      </c>
      <c r="U197" s="260">
        <f t="shared" si="532"/>
        <v>-0.25955767597888291</v>
      </c>
      <c r="V197" s="260">
        <f t="shared" si="532"/>
        <v>8.8012104010521952E-3</v>
      </c>
      <c r="W197" s="6"/>
      <c r="X197" s="6"/>
      <c r="Y197" s="6"/>
      <c r="Z197" s="6"/>
      <c r="AA197" s="6"/>
      <c r="AB197" s="6"/>
      <c r="AC197" s="6"/>
      <c r="AD197" s="6"/>
      <c r="AE197" s="6"/>
      <c r="AF197" s="6"/>
      <c r="AG197" s="6"/>
      <c r="AH197" s="6"/>
      <c r="AI197" s="6"/>
      <c r="AJ197" s="6"/>
      <c r="AK197" s="6"/>
      <c r="AL197" s="6"/>
      <c r="AM197" s="6"/>
      <c r="AN197" s="6"/>
      <c r="AO197" s="6"/>
      <c r="AP197" s="6"/>
      <c r="AQ197" s="6"/>
      <c r="AR197" s="6"/>
      <c r="AS197" s="248"/>
      <c r="AT197" s="260"/>
      <c r="AU197" s="260"/>
      <c r="AV197" s="260"/>
      <c r="AW197" s="260"/>
      <c r="AX197" s="260">
        <f t="shared" si="533"/>
        <v>-0.12495891756905841</v>
      </c>
      <c r="AY197" s="260">
        <f t="shared" si="533"/>
        <v>-9.027912584675124E-2</v>
      </c>
      <c r="AZ197" s="260">
        <f t="shared" si="533"/>
        <v>-0.11586044870926226</v>
      </c>
      <c r="BA197" s="260">
        <f t="shared" si="533"/>
        <v>8.5603739585972338E-2</v>
      </c>
      <c r="BB197" s="260">
        <f t="shared" si="533"/>
        <v>0.40351372300702781</v>
      </c>
      <c r="BC197" s="260">
        <f t="shared" si="533"/>
        <v>0.15153817163582262</v>
      </c>
      <c r="BD197" s="6"/>
      <c r="BE197" s="6"/>
      <c r="BF197" s="6"/>
      <c r="BG197" s="6"/>
      <c r="BH197" s="6"/>
      <c r="BI197" s="6"/>
      <c r="BJ197" s="6"/>
      <c r="BK197" s="6"/>
    </row>
    <row r="198" spans="1:63" s="159" customFormat="1" ht="11.25" customHeight="1">
      <c r="A198" s="6"/>
      <c r="B198" s="9" t="str">
        <f t="shared" si="518"/>
        <v>90nm</v>
      </c>
      <c r="C198" s="6"/>
      <c r="D198" s="247"/>
      <c r="E198" s="260"/>
      <c r="F198" s="260"/>
      <c r="G198" s="260"/>
      <c r="H198" s="260">
        <f t="shared" si="519"/>
        <v>0.13725806621912984</v>
      </c>
      <c r="I198" s="260">
        <f t="shared" si="520"/>
        <v>0.1838431329985748</v>
      </c>
      <c r="J198" s="260">
        <f t="shared" si="521"/>
        <v>-8.7644340868030746E-2</v>
      </c>
      <c r="K198" s="260">
        <f t="shared" si="522"/>
        <v>0.17111045237185052</v>
      </c>
      <c r="L198" s="260">
        <f t="shared" si="523"/>
        <v>6.1901508864752097E-2</v>
      </c>
      <c r="M198" s="260">
        <f t="shared" si="524"/>
        <v>0.16415757234854844</v>
      </c>
      <c r="N198" s="260">
        <f t="shared" si="525"/>
        <v>0.61628855216791223</v>
      </c>
      <c r="O198" s="260">
        <f t="shared" si="526"/>
        <v>0.2115977118393102</v>
      </c>
      <c r="P198" s="260">
        <f t="shared" si="527"/>
        <v>-0.1201948816211913</v>
      </c>
      <c r="Q198" s="260">
        <f t="shared" si="528"/>
        <v>-0.29665565355660484</v>
      </c>
      <c r="R198" s="260">
        <f t="shared" si="529"/>
        <v>-0.55402933455100167</v>
      </c>
      <c r="S198" s="260">
        <f t="shared" si="530"/>
        <v>-0.44453497430619604</v>
      </c>
      <c r="T198" s="260">
        <f t="shared" si="531"/>
        <v>-0.32347881860656502</v>
      </c>
      <c r="U198" s="260">
        <f t="shared" si="532"/>
        <v>-0.24391937897278448</v>
      </c>
      <c r="V198" s="260">
        <f t="shared" si="532"/>
        <v>0.31606844968528969</v>
      </c>
      <c r="W198" s="6"/>
      <c r="X198" s="6"/>
      <c r="Y198" s="6"/>
      <c r="Z198" s="6"/>
      <c r="AA198" s="6"/>
      <c r="AB198" s="6"/>
      <c r="AC198" s="6"/>
      <c r="AD198" s="6"/>
      <c r="AE198" s="6"/>
      <c r="AF198" s="6"/>
      <c r="AG198" s="6"/>
      <c r="AH198" s="6"/>
      <c r="AI198" s="6"/>
      <c r="AJ198" s="6"/>
      <c r="AK198" s="6"/>
      <c r="AL198" s="6"/>
      <c r="AM198" s="6"/>
      <c r="AN198" s="6"/>
      <c r="AO198" s="6"/>
      <c r="AP198" s="6"/>
      <c r="AQ198" s="6"/>
      <c r="AR198" s="6"/>
      <c r="AS198" s="248"/>
      <c r="AT198" s="260"/>
      <c r="AU198" s="260"/>
      <c r="AV198" s="260"/>
      <c r="AW198" s="260"/>
      <c r="AX198" s="260">
        <f t="shared" si="533"/>
        <v>5.3307519774370427E-2</v>
      </c>
      <c r="AY198" s="260">
        <f t="shared" si="533"/>
        <v>-0.30087830531549098</v>
      </c>
      <c r="AZ198" s="260">
        <f t="shared" si="533"/>
        <v>0.14658406991096062</v>
      </c>
      <c r="BA198" s="260">
        <f t="shared" si="533"/>
        <v>9.8022290946897295E-2</v>
      </c>
      <c r="BB198" s="260">
        <f t="shared" si="533"/>
        <v>0.24562338067161704</v>
      </c>
      <c r="BC198" s="260">
        <f t="shared" si="533"/>
        <v>-0.3618877623175436</v>
      </c>
      <c r="BD198" s="6"/>
      <c r="BE198" s="6"/>
      <c r="BF198" s="6"/>
      <c r="BG198" s="6"/>
      <c r="BH198" s="6"/>
      <c r="BI198" s="6"/>
      <c r="BJ198" s="6"/>
      <c r="BK198" s="6"/>
    </row>
    <row r="199" spans="1:63" s="159" customFormat="1" ht="11.25" customHeight="1">
      <c r="A199" s="6"/>
      <c r="B199" s="9" t="str">
        <f t="shared" si="518"/>
        <v>0.11/0.13um</v>
      </c>
      <c r="C199" s="6"/>
      <c r="D199" s="247"/>
      <c r="E199" s="260"/>
      <c r="F199" s="260"/>
      <c r="G199" s="260"/>
      <c r="H199" s="260">
        <f t="shared" si="519"/>
        <v>0.23852672629370852</v>
      </c>
      <c r="I199" s="260">
        <f t="shared" si="520"/>
        <v>0.22865156688545163</v>
      </c>
      <c r="J199" s="260">
        <f t="shared" si="521"/>
        <v>0.24350503953573943</v>
      </c>
      <c r="K199" s="260">
        <f t="shared" si="522"/>
        <v>0.18742759113139318</v>
      </c>
      <c r="L199" s="260">
        <f t="shared" si="523"/>
        <v>0.53798646640297276</v>
      </c>
      <c r="M199" s="260">
        <f t="shared" si="524"/>
        <v>0.3646745064096959</v>
      </c>
      <c r="N199" s="260">
        <f t="shared" si="525"/>
        <v>0.6115990053526299</v>
      </c>
      <c r="O199" s="260">
        <f t="shared" si="526"/>
        <v>0.24735485610681751</v>
      </c>
      <c r="P199" s="260">
        <f t="shared" si="527"/>
        <v>-0.19876298771323164</v>
      </c>
      <c r="Q199" s="260">
        <f t="shared" si="528"/>
        <v>-0.22846732240743473</v>
      </c>
      <c r="R199" s="260">
        <f t="shared" si="529"/>
        <v>-0.21871321095309393</v>
      </c>
      <c r="S199" s="260">
        <f t="shared" si="530"/>
        <v>-0.10688593046395767</v>
      </c>
      <c r="T199" s="260">
        <f t="shared" si="531"/>
        <v>0.19449244085664841</v>
      </c>
      <c r="U199" s="260">
        <f t="shared" si="532"/>
        <v>0.21365835410478895</v>
      </c>
      <c r="V199" s="260">
        <f t="shared" si="532"/>
        <v>1.5688869078253731E-2</v>
      </c>
      <c r="W199" s="6"/>
      <c r="X199" s="6"/>
      <c r="Y199" s="6"/>
      <c r="Z199" s="6"/>
      <c r="AA199" s="6"/>
      <c r="AB199" s="6"/>
      <c r="AC199" s="6"/>
      <c r="AD199" s="6"/>
      <c r="AE199" s="6"/>
      <c r="AF199" s="6"/>
      <c r="AG199" s="6"/>
      <c r="AH199" s="6"/>
      <c r="AI199" s="6"/>
      <c r="AJ199" s="6"/>
      <c r="AK199" s="6"/>
      <c r="AL199" s="6"/>
      <c r="AM199" s="6"/>
      <c r="AN199" s="6"/>
      <c r="AO199" s="6"/>
      <c r="AP199" s="6"/>
      <c r="AQ199" s="6"/>
      <c r="AR199" s="6"/>
      <c r="AS199" s="248"/>
      <c r="AT199" s="260"/>
      <c r="AU199" s="260"/>
      <c r="AV199" s="260"/>
      <c r="AW199" s="260"/>
      <c r="AX199" s="260">
        <f t="shared" si="533"/>
        <v>-0.20768684148584282</v>
      </c>
      <c r="AY199" s="260">
        <f t="shared" si="533"/>
        <v>0.10976238218080581</v>
      </c>
      <c r="AZ199" s="260">
        <f t="shared" si="533"/>
        <v>0.44666936008600966</v>
      </c>
      <c r="BA199" s="260">
        <f t="shared" si="533"/>
        <v>0.22174794772211825</v>
      </c>
      <c r="BB199" s="260">
        <f t="shared" si="533"/>
        <v>0.42984280447611845</v>
      </c>
      <c r="BC199" s="260">
        <f t="shared" si="533"/>
        <v>-0.18697292165956847</v>
      </c>
      <c r="BD199" s="6"/>
      <c r="BE199" s="6"/>
      <c r="BF199" s="6"/>
      <c r="BG199" s="6"/>
      <c r="BH199" s="6"/>
      <c r="BI199" s="6"/>
      <c r="BJ199" s="6"/>
      <c r="BK199" s="6"/>
    </row>
    <row r="200" spans="1:63" s="159" customFormat="1" ht="11.25" customHeight="1">
      <c r="A200" s="6"/>
      <c r="B200" s="9" t="str">
        <f t="shared" si="518"/>
        <v>0.15/0.18um</v>
      </c>
      <c r="C200" s="6"/>
      <c r="D200" s="247"/>
      <c r="E200" s="260"/>
      <c r="F200" s="260"/>
      <c r="G200" s="260"/>
      <c r="H200" s="260">
        <f t="shared" si="519"/>
        <v>-4.8189671260810529E-2</v>
      </c>
      <c r="I200" s="260">
        <f t="shared" si="520"/>
        <v>-2.9051086648270052E-2</v>
      </c>
      <c r="J200" s="260">
        <f t="shared" si="521"/>
        <v>1.7079697949179407E-2</v>
      </c>
      <c r="K200" s="260">
        <f t="shared" si="522"/>
        <v>9.549128588975031E-2</v>
      </c>
      <c r="L200" s="260">
        <f t="shared" si="523"/>
        <v>0.23844518681873206</v>
      </c>
      <c r="M200" s="260">
        <f t="shared" si="524"/>
        <v>0.29574250586308204</v>
      </c>
      <c r="N200" s="260">
        <f t="shared" si="525"/>
        <v>0.33621076478865985</v>
      </c>
      <c r="O200" s="260">
        <f t="shared" si="526"/>
        <v>0.23044950114379881</v>
      </c>
      <c r="P200" s="260">
        <f t="shared" si="527"/>
        <v>-8.0704799497316126E-2</v>
      </c>
      <c r="Q200" s="260">
        <f t="shared" si="528"/>
        <v>-0.23283664286952632</v>
      </c>
      <c r="R200" s="260">
        <f t="shared" si="529"/>
        <v>-0.32322154793963676</v>
      </c>
      <c r="S200" s="260">
        <f t="shared" si="530"/>
        <v>-0.21167140309906585</v>
      </c>
      <c r="T200" s="260">
        <f t="shared" si="531"/>
        <v>-6.5609027994274594E-2</v>
      </c>
      <c r="U200" s="260">
        <f t="shared" si="532"/>
        <v>4.4587964957619297E-2</v>
      </c>
      <c r="V200" s="260">
        <f t="shared" si="532"/>
        <v>0.3187179872252468</v>
      </c>
      <c r="W200" s="6"/>
      <c r="X200" s="6"/>
      <c r="Y200" s="6"/>
      <c r="Z200" s="6"/>
      <c r="AA200" s="6"/>
      <c r="AB200" s="6"/>
      <c r="AC200" s="6"/>
      <c r="AD200" s="6"/>
      <c r="AE200" s="6"/>
      <c r="AF200" s="6"/>
      <c r="AG200" s="6"/>
      <c r="AH200" s="6"/>
      <c r="AI200" s="6"/>
      <c r="AJ200" s="6"/>
      <c r="AK200" s="6"/>
      <c r="AL200" s="6"/>
      <c r="AM200" s="6"/>
      <c r="AN200" s="6"/>
      <c r="AO200" s="6"/>
      <c r="AP200" s="6"/>
      <c r="AQ200" s="6"/>
      <c r="AR200" s="6"/>
      <c r="AS200" s="248"/>
      <c r="AT200" s="260"/>
      <c r="AU200" s="260"/>
      <c r="AV200" s="260"/>
      <c r="AW200" s="260"/>
      <c r="AX200" s="260">
        <f t="shared" si="533"/>
        <v>-6.6788724301417024E-2</v>
      </c>
      <c r="AY200" s="260">
        <f t="shared" si="533"/>
        <v>-4.4568071851217916E-2</v>
      </c>
      <c r="AZ200" s="260">
        <f t="shared" si="533"/>
        <v>0.10886402762748704</v>
      </c>
      <c r="BA200" s="260">
        <f t="shared" si="533"/>
        <v>8.0435329192849458E-3</v>
      </c>
      <c r="BB200" s="260">
        <f t="shared" si="533"/>
        <v>0.27532705860593043</v>
      </c>
      <c r="BC200" s="260">
        <f t="shared" si="533"/>
        <v>-0.21666586085120765</v>
      </c>
      <c r="BD200" s="6"/>
      <c r="BE200" s="6"/>
      <c r="BF200" s="6"/>
      <c r="BG200" s="6"/>
      <c r="BH200" s="6"/>
      <c r="BI200" s="6"/>
      <c r="BJ200" s="6"/>
      <c r="BK200" s="6"/>
    </row>
    <row r="201" spans="1:63" s="159" customFormat="1" ht="13.5" customHeight="1">
      <c r="A201" s="6"/>
      <c r="B201" s="9" t="str">
        <f t="shared" si="518"/>
        <v>≥0.25um</v>
      </c>
      <c r="C201" s="6"/>
      <c r="D201" s="229"/>
      <c r="E201" s="350"/>
      <c r="F201" s="350"/>
      <c r="G201" s="350"/>
      <c r="H201" s="350">
        <f t="shared" si="519"/>
        <v>7.9841986387789721E-2</v>
      </c>
      <c r="I201" s="350">
        <f t="shared" si="520"/>
        <v>-9.4840956704451029E-2</v>
      </c>
      <c r="J201" s="350">
        <f t="shared" si="521"/>
        <v>7.4062052345658547E-2</v>
      </c>
      <c r="K201" s="350">
        <f t="shared" si="522"/>
        <v>0.53261221430137184</v>
      </c>
      <c r="L201" s="350">
        <f t="shared" si="523"/>
        <v>0.14995126674750958</v>
      </c>
      <c r="M201" s="350">
        <f t="shared" si="524"/>
        <v>0.12447477043401789</v>
      </c>
      <c r="N201" s="350">
        <f t="shared" si="525"/>
        <v>0.23693848276509022</v>
      </c>
      <c r="O201" s="350">
        <f t="shared" si="526"/>
        <v>0.13480358226214273</v>
      </c>
      <c r="P201" s="350">
        <f t="shared" si="527"/>
        <v>-0.18167855660616183</v>
      </c>
      <c r="Q201" s="350">
        <f t="shared" si="528"/>
        <v>-0.25613164968290947</v>
      </c>
      <c r="R201" s="350">
        <f t="shared" si="529"/>
        <v>-0.40965480531217247</v>
      </c>
      <c r="S201" s="350">
        <f t="shared" si="530"/>
        <v>-0.43724770924743328</v>
      </c>
      <c r="T201" s="350">
        <f t="shared" si="531"/>
        <v>-0.2390911543064892</v>
      </c>
      <c r="U201" s="350">
        <f t="shared" si="532"/>
        <v>-0.27722751841325843</v>
      </c>
      <c r="V201" s="350">
        <f t="shared" si="532"/>
        <v>0.61524220118754935</v>
      </c>
      <c r="W201" s="6"/>
      <c r="X201" s="6"/>
      <c r="Y201" s="6"/>
      <c r="Z201" s="6"/>
      <c r="AA201" s="6"/>
      <c r="AB201" s="6"/>
      <c r="AC201" s="6"/>
      <c r="AD201" s="6"/>
      <c r="AE201" s="6"/>
      <c r="AF201" s="6"/>
      <c r="AG201" s="6"/>
      <c r="AH201" s="6"/>
      <c r="AI201" s="6"/>
      <c r="AJ201" s="6"/>
      <c r="AK201" s="6"/>
      <c r="AL201" s="6"/>
      <c r="AM201" s="6"/>
      <c r="AN201" s="6"/>
      <c r="AO201" s="6"/>
      <c r="AP201" s="6"/>
      <c r="AQ201" s="6"/>
      <c r="AR201" s="6"/>
      <c r="AS201" s="249"/>
      <c r="AT201" s="350"/>
      <c r="AU201" s="350"/>
      <c r="AV201" s="350"/>
      <c r="AW201" s="350"/>
      <c r="AX201" s="350">
        <f t="shared" si="533"/>
        <v>2.5413108119555439E-2</v>
      </c>
      <c r="AY201" s="350">
        <f t="shared" si="533"/>
        <v>-0.25506969790660783</v>
      </c>
      <c r="AZ201" s="350">
        <f t="shared" si="533"/>
        <v>2.9082685506979011E-2</v>
      </c>
      <c r="BA201" s="350">
        <f t="shared" si="533"/>
        <v>0.10821504162853768</v>
      </c>
      <c r="BB201" s="350">
        <f t="shared" si="533"/>
        <v>0.16100448679966362</v>
      </c>
      <c r="BC201" s="350">
        <f t="shared" si="533"/>
        <v>-0.32513175812575379</v>
      </c>
      <c r="BD201" s="6"/>
      <c r="BE201" s="6"/>
      <c r="BF201" s="6"/>
      <c r="BG201" s="6"/>
      <c r="BH201" s="6"/>
      <c r="BI201" s="6"/>
      <c r="BJ201" s="6"/>
      <c r="BK201" s="6"/>
    </row>
    <row r="202" spans="1:63" s="159" customFormat="1" ht="11.25" customHeight="1">
      <c r="A202" s="6"/>
      <c r="B202" s="36" t="str">
        <f t="shared" si="518"/>
        <v>Total Wafer Revenue</v>
      </c>
      <c r="C202" s="6"/>
      <c r="D202" s="247"/>
      <c r="E202" s="260"/>
      <c r="F202" s="260"/>
      <c r="G202" s="260"/>
      <c r="H202" s="260">
        <f t="shared" si="519"/>
        <v>0.18708808824796863</v>
      </c>
      <c r="I202" s="260">
        <f t="shared" si="520"/>
        <v>0.20595142794365962</v>
      </c>
      <c r="J202" s="260">
        <f t="shared" si="521"/>
        <v>0.15624045065990577</v>
      </c>
      <c r="K202" s="260">
        <f t="shared" si="522"/>
        <v>0.22182529519186223</v>
      </c>
      <c r="L202" s="260">
        <f t="shared" si="523"/>
        <v>0.36023097441288066</v>
      </c>
      <c r="M202" s="260">
        <f t="shared" si="524"/>
        <v>0.43305141146673098</v>
      </c>
      <c r="N202" s="260">
        <f t="shared" si="525"/>
        <v>0.47595129441074513</v>
      </c>
      <c r="O202" s="260">
        <f t="shared" si="526"/>
        <v>0.39607067443697663</v>
      </c>
      <c r="P202" s="260">
        <f t="shared" si="527"/>
        <v>2.2219191569746055E-2</v>
      </c>
      <c r="Q202" s="260">
        <f t="shared" si="528"/>
        <v>-0.11506098547555788</v>
      </c>
      <c r="R202" s="260">
        <f t="shared" si="529"/>
        <v>-0.12434525239644767</v>
      </c>
      <c r="S202" s="260">
        <f t="shared" si="530"/>
        <v>5.27219465249118E-3</v>
      </c>
      <c r="T202" s="260">
        <f t="shared" si="531"/>
        <v>0.16395376625698987</v>
      </c>
      <c r="U202" s="260">
        <f t="shared" ca="1" si="532"/>
        <v>0.41612277137037745</v>
      </c>
      <c r="V202" s="260">
        <f t="shared" si="532"/>
        <v>0.40345782401827979</v>
      </c>
      <c r="W202" s="6"/>
      <c r="X202" s="6"/>
      <c r="Y202" s="6"/>
      <c r="Z202" s="6"/>
      <c r="AA202" s="6"/>
      <c r="AB202" s="6"/>
      <c r="AC202" s="6"/>
      <c r="AD202" s="6"/>
      <c r="AE202" s="6"/>
      <c r="AF202" s="6"/>
      <c r="AG202" s="6"/>
      <c r="AH202" s="6"/>
      <c r="AI202" s="6"/>
      <c r="AJ202" s="6"/>
      <c r="AK202" s="6"/>
      <c r="AL202" s="6"/>
      <c r="AM202" s="6"/>
      <c r="AN202" s="6"/>
      <c r="AO202" s="6"/>
      <c r="AP202" s="6"/>
      <c r="AQ202" s="6"/>
      <c r="AR202" s="6"/>
      <c r="AS202" s="247"/>
      <c r="AT202" s="260"/>
      <c r="AU202" s="260"/>
      <c r="AV202" s="260"/>
      <c r="AW202" s="260"/>
      <c r="AX202" s="260">
        <f t="shared" si="533"/>
        <v>4.755398387473142E-2</v>
      </c>
      <c r="AY202" s="260">
        <f t="shared" si="533"/>
        <v>1.7580435556308061E-2</v>
      </c>
      <c r="AZ202" s="260">
        <f t="shared" si="533"/>
        <v>0.27082305936492768</v>
      </c>
      <c r="BA202" s="260">
        <f t="shared" si="533"/>
        <v>0.19249250498070869</v>
      </c>
      <c r="BB202" s="260">
        <f t="shared" si="533"/>
        <v>0.41738814491783738</v>
      </c>
      <c r="BC202" s="260">
        <f t="shared" si="533"/>
        <v>-5.4892457039716014E-2</v>
      </c>
      <c r="BD202" s="6"/>
      <c r="BE202" s="6"/>
      <c r="BF202" s="6"/>
      <c r="BG202" s="6"/>
      <c r="BH202" s="6"/>
      <c r="BI202" s="6"/>
      <c r="BJ202" s="6"/>
      <c r="BK202" s="6"/>
    </row>
    <row r="203" spans="1:63" s="159" customFormat="1" ht="11.25" customHeight="1">
      <c r="A203" s="6"/>
      <c r="B203" s="31"/>
      <c r="C203" s="6"/>
      <c r="D203" s="20"/>
      <c r="E203" s="20"/>
      <c r="F203" s="20"/>
      <c r="G203" s="20"/>
      <c r="H203" s="20"/>
      <c r="I203" s="20"/>
      <c r="J203" s="20"/>
      <c r="K203" s="20"/>
      <c r="L203" s="20"/>
      <c r="M203" s="20"/>
      <c r="N203" s="20"/>
      <c r="O203" s="20"/>
      <c r="P203" s="20"/>
      <c r="Q203" s="20"/>
      <c r="R203" s="20"/>
      <c r="S203" s="20"/>
      <c r="T203" s="20"/>
      <c r="U203" s="20"/>
      <c r="V203" s="20"/>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20"/>
      <c r="AU203" s="20"/>
      <c r="AV203" s="20"/>
      <c r="AW203" s="20"/>
      <c r="AX203" s="20"/>
      <c r="AY203" s="20"/>
      <c r="AZ203" s="20"/>
      <c r="BA203" s="20"/>
      <c r="BB203" s="20"/>
      <c r="BC203" s="20"/>
      <c r="BD203" s="6"/>
      <c r="BE203" s="6"/>
      <c r="BF203" s="6"/>
      <c r="BG203" s="6"/>
      <c r="BH203" s="6"/>
      <c r="BI203" s="6"/>
      <c r="BJ203" s="6"/>
      <c r="BK203" s="6"/>
    </row>
    <row r="204" spans="1:63" ht="11.25" customHeight="1">
      <c r="A204" s="2"/>
      <c r="B204" s="32" t="s">
        <v>290</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row>
    <row r="205" spans="1:63" s="159" customFormat="1" ht="11.25" customHeight="1">
      <c r="A205" s="6"/>
      <c r="B205" s="9" t="str">
        <f t="shared" ref="B205:B218" si="534">B173</f>
        <v>2nm</v>
      </c>
      <c r="C205" s="6"/>
      <c r="D205" s="247"/>
      <c r="E205" s="260" t="str">
        <f t="shared" ref="E205:V205" si="535">IFERROR((E173/D173)-1,"n/a")</f>
        <v>n/a</v>
      </c>
      <c r="F205" s="260" t="str">
        <f t="shared" si="535"/>
        <v>n/a</v>
      </c>
      <c r="G205" s="260" t="str">
        <f t="shared" si="535"/>
        <v>n/a</v>
      </c>
      <c r="H205" s="260" t="str">
        <f t="shared" si="535"/>
        <v>n/a</v>
      </c>
      <c r="I205" s="260" t="str">
        <f t="shared" si="535"/>
        <v>n/a</v>
      </c>
      <c r="J205" s="260" t="str">
        <f t="shared" si="535"/>
        <v>n/a</v>
      </c>
      <c r="K205" s="260" t="str">
        <f t="shared" si="535"/>
        <v>n/a</v>
      </c>
      <c r="L205" s="260" t="str">
        <f t="shared" si="535"/>
        <v>n/a</v>
      </c>
      <c r="M205" s="260" t="str">
        <f t="shared" si="535"/>
        <v>n/a</v>
      </c>
      <c r="N205" s="260" t="str">
        <f t="shared" si="535"/>
        <v>n/a</v>
      </c>
      <c r="O205" s="260" t="str">
        <f t="shared" si="535"/>
        <v>n/a</v>
      </c>
      <c r="P205" s="260" t="str">
        <f t="shared" si="535"/>
        <v>n/a</v>
      </c>
      <c r="Q205" s="260" t="str">
        <f t="shared" si="535"/>
        <v>n/a</v>
      </c>
      <c r="R205" s="260" t="str">
        <f t="shared" si="535"/>
        <v>n/a</v>
      </c>
      <c r="S205" s="260" t="str">
        <f t="shared" si="535"/>
        <v>n/a</v>
      </c>
      <c r="T205" s="260" t="str">
        <f t="shared" si="535"/>
        <v>n/a</v>
      </c>
      <c r="U205" s="260" t="str">
        <f t="shared" ca="1" si="535"/>
        <v>n/a</v>
      </c>
      <c r="V205" s="260" t="str">
        <f t="shared" ca="1" si="535"/>
        <v>n/a</v>
      </c>
      <c r="W205" s="6"/>
      <c r="X205" s="6"/>
      <c r="Y205" s="6"/>
      <c r="Z205" s="6"/>
      <c r="AA205" s="6"/>
      <c r="AB205" s="6"/>
      <c r="AC205" s="6"/>
      <c r="AD205" s="6"/>
      <c r="AE205" s="6"/>
      <c r="AF205" s="6"/>
      <c r="AG205" s="6"/>
      <c r="AH205" s="6"/>
      <c r="AI205" s="6"/>
      <c r="AJ205" s="6"/>
      <c r="AK205" s="6"/>
      <c r="AL205" s="6"/>
      <c r="AM205" s="6"/>
      <c r="AN205" s="6"/>
      <c r="AO205" s="6"/>
      <c r="AP205" s="6"/>
      <c r="AQ205" s="6"/>
      <c r="AR205" s="6"/>
      <c r="AS205" s="248"/>
      <c r="AT205" s="248"/>
      <c r="AU205" s="248"/>
      <c r="AV205" s="248"/>
      <c r="AW205" s="248"/>
      <c r="AX205" s="247"/>
      <c r="AY205" s="247"/>
      <c r="AZ205" s="247"/>
      <c r="BA205" s="247"/>
      <c r="BB205" s="247"/>
      <c r="BC205" s="247"/>
      <c r="BD205" s="6"/>
      <c r="BE205" s="6"/>
      <c r="BF205" s="6"/>
      <c r="BG205" s="6"/>
      <c r="BH205" s="6"/>
      <c r="BI205" s="6"/>
      <c r="BJ205" s="6"/>
      <c r="BK205" s="6"/>
    </row>
    <row r="206" spans="1:63" s="159" customFormat="1" ht="11.25" customHeight="1">
      <c r="A206" s="6"/>
      <c r="B206" s="9" t="str">
        <f t="shared" si="534"/>
        <v>3nm</v>
      </c>
      <c r="C206" s="6"/>
      <c r="D206" s="247"/>
      <c r="E206" s="260" t="str">
        <f t="shared" ref="E206:V206" si="536">IFERROR((E174/D174)-1,"n/a")</f>
        <v>n/a</v>
      </c>
      <c r="F206" s="260" t="str">
        <f t="shared" si="536"/>
        <v>n/a</v>
      </c>
      <c r="G206" s="260" t="str">
        <f t="shared" si="536"/>
        <v>n/a</v>
      </c>
      <c r="H206" s="260" t="str">
        <f t="shared" si="536"/>
        <v>n/a</v>
      </c>
      <c r="I206" s="260" t="str">
        <f t="shared" si="536"/>
        <v>n/a</v>
      </c>
      <c r="J206" s="260" t="str">
        <f t="shared" si="536"/>
        <v>n/a</v>
      </c>
      <c r="K206" s="260" t="str">
        <f t="shared" si="536"/>
        <v>n/a</v>
      </c>
      <c r="L206" s="260" t="str">
        <f t="shared" si="536"/>
        <v>n/a</v>
      </c>
      <c r="M206" s="260" t="str">
        <f t="shared" si="536"/>
        <v>n/a</v>
      </c>
      <c r="N206" s="260" t="str">
        <f t="shared" si="536"/>
        <v>n/a</v>
      </c>
      <c r="O206" s="260" t="str">
        <f t="shared" si="536"/>
        <v>n/a</v>
      </c>
      <c r="P206" s="260" t="str">
        <f t="shared" si="536"/>
        <v>n/a</v>
      </c>
      <c r="Q206" s="260" t="str">
        <f t="shared" si="536"/>
        <v>n/a</v>
      </c>
      <c r="R206" s="260">
        <f t="shared" si="536"/>
        <v>58.942428314485959</v>
      </c>
      <c r="S206" s="260">
        <f t="shared" si="536"/>
        <v>1.7096908088746541</v>
      </c>
      <c r="T206" s="260">
        <f t="shared" si="536"/>
        <v>-0.42152470916696083</v>
      </c>
      <c r="U206" s="260">
        <f t="shared" si="536"/>
        <v>0.98269135311347067</v>
      </c>
      <c r="V206" s="260">
        <f t="shared" si="536"/>
        <v>0.47348503549944798</v>
      </c>
      <c r="W206" s="6"/>
      <c r="X206" s="6"/>
      <c r="Y206" s="6"/>
      <c r="Z206" s="6"/>
      <c r="AA206" s="6"/>
      <c r="AB206" s="6"/>
      <c r="AC206" s="6"/>
      <c r="AD206" s="6"/>
      <c r="AE206" s="6"/>
      <c r="AF206" s="6"/>
      <c r="AG206" s="6"/>
      <c r="AH206" s="6"/>
      <c r="AI206" s="6"/>
      <c r="AJ206" s="6"/>
      <c r="AK206" s="6"/>
      <c r="AL206" s="6"/>
      <c r="AM206" s="6"/>
      <c r="AN206" s="6"/>
      <c r="AO206" s="6"/>
      <c r="AP206" s="6"/>
      <c r="AQ206" s="6"/>
      <c r="AR206" s="6"/>
      <c r="AS206" s="248"/>
      <c r="AT206" s="248"/>
      <c r="AU206" s="248"/>
      <c r="AV206" s="248"/>
      <c r="AW206" s="248"/>
      <c r="AX206" s="247"/>
      <c r="AY206" s="247"/>
      <c r="AZ206" s="247"/>
      <c r="BA206" s="247"/>
      <c r="BB206" s="247"/>
      <c r="BC206" s="247"/>
      <c r="BD206" s="6"/>
      <c r="BE206" s="6"/>
      <c r="BF206" s="6"/>
      <c r="BG206" s="6"/>
      <c r="BH206" s="6"/>
      <c r="BI206" s="6"/>
      <c r="BJ206" s="6"/>
      <c r="BK206" s="6"/>
    </row>
    <row r="207" spans="1:63" s="159" customFormat="1" ht="11.25" customHeight="1">
      <c r="A207" s="6"/>
      <c r="B207" s="9" t="str">
        <f t="shared" si="534"/>
        <v>5nm</v>
      </c>
      <c r="C207" s="6"/>
      <c r="D207" s="247"/>
      <c r="E207" s="260" t="str">
        <f t="shared" ref="E207:V207" si="537">IFERROR((E175/D175)-1,"n/a")</f>
        <v>n/a</v>
      </c>
      <c r="F207" s="260" t="str">
        <f t="shared" si="537"/>
        <v>n/a</v>
      </c>
      <c r="G207" s="260">
        <f t="shared" si="537"/>
        <v>1.5204991111497566</v>
      </c>
      <c r="H207" s="260">
        <f t="shared" si="537"/>
        <v>-0.29938467989157169</v>
      </c>
      <c r="I207" s="260">
        <f t="shared" si="537"/>
        <v>0.34149201675190466</v>
      </c>
      <c r="J207" s="260">
        <f t="shared" si="537"/>
        <v>9.3819299295984981E-2</v>
      </c>
      <c r="K207" s="260">
        <f t="shared" si="537"/>
        <v>0.32366952632852497</v>
      </c>
      <c r="L207" s="260">
        <f t="shared" si="537"/>
        <v>-2.5984916906520272E-2</v>
      </c>
      <c r="M207" s="260">
        <f t="shared" si="537"/>
        <v>0.16731525675849346</v>
      </c>
      <c r="N207" s="260">
        <f t="shared" si="537"/>
        <v>0.47734877618992355</v>
      </c>
      <c r="O207" s="260">
        <f t="shared" si="537"/>
        <v>0.1615619120953693</v>
      </c>
      <c r="P207" s="260">
        <f t="shared" si="537"/>
        <v>-0.19415043559376677</v>
      </c>
      <c r="Q207" s="260">
        <f t="shared" si="537"/>
        <v>-8.2349500838422851E-2</v>
      </c>
      <c r="R207" s="260">
        <f t="shared" si="537"/>
        <v>0.35487092293152678</v>
      </c>
      <c r="S207" s="260">
        <f t="shared" si="537"/>
        <v>9.1282180001089452E-2</v>
      </c>
      <c r="T207" s="260">
        <f t="shared" si="537"/>
        <v>9.0012802008625492E-3</v>
      </c>
      <c r="U207" s="260">
        <f t="shared" si="537"/>
        <v>9.8962754042231982E-2</v>
      </c>
      <c r="V207" s="260">
        <f t="shared" si="537"/>
        <v>1.3726448988894413E-2</v>
      </c>
      <c r="W207" s="6"/>
      <c r="X207" s="6"/>
      <c r="Y207" s="6"/>
      <c r="Z207" s="6"/>
      <c r="AA207" s="6"/>
      <c r="AB207" s="6"/>
      <c r="AC207" s="6"/>
      <c r="AD207" s="6"/>
      <c r="AE207" s="6"/>
      <c r="AF207" s="6"/>
      <c r="AG207" s="6"/>
      <c r="AH207" s="6"/>
      <c r="AI207" s="6"/>
      <c r="AJ207" s="6"/>
      <c r="AK207" s="6"/>
      <c r="AL207" s="6"/>
      <c r="AM207" s="6"/>
      <c r="AN207" s="6"/>
      <c r="AO207" s="6"/>
      <c r="AP207" s="6"/>
      <c r="AQ207" s="6"/>
      <c r="AR207" s="6"/>
      <c r="AS207" s="248"/>
      <c r="AT207" s="248"/>
      <c r="AU207" s="248"/>
      <c r="AV207" s="248"/>
      <c r="AW207" s="248"/>
      <c r="AX207" s="247"/>
      <c r="AY207" s="247"/>
      <c r="AZ207" s="247"/>
      <c r="BA207" s="247"/>
      <c r="BB207" s="247"/>
      <c r="BC207" s="247"/>
      <c r="BD207" s="6"/>
      <c r="BE207" s="6"/>
      <c r="BF207" s="6"/>
      <c r="BG207" s="6"/>
      <c r="BH207" s="6"/>
      <c r="BI207" s="6"/>
      <c r="BJ207" s="6"/>
      <c r="BK207" s="6"/>
    </row>
    <row r="208" spans="1:63" s="159" customFormat="1" ht="11.25" customHeight="1">
      <c r="A208" s="6"/>
      <c r="B208" s="9" t="str">
        <f t="shared" si="534"/>
        <v>7/10nm</v>
      </c>
      <c r="C208" s="6"/>
      <c r="D208" s="247"/>
      <c r="E208" s="260">
        <f t="shared" ref="E208:V208" si="538">IFERROR((E176/D176)-1,"n/a")</f>
        <v>4.0892629997314689E-2</v>
      </c>
      <c r="F208" s="260">
        <f t="shared" si="538"/>
        <v>9.1553943797495707E-2</v>
      </c>
      <c r="G208" s="260">
        <f t="shared" si="538"/>
        <v>-0.18232649450174443</v>
      </c>
      <c r="H208" s="260">
        <f t="shared" si="538"/>
        <v>0.2372171057488528</v>
      </c>
      <c r="I208" s="260">
        <f t="shared" si="538"/>
        <v>-8.9521529159192426E-2</v>
      </c>
      <c r="J208" s="260">
        <f t="shared" si="538"/>
        <v>0.20810177904257765</v>
      </c>
      <c r="K208" s="260">
        <f t="shared" si="538"/>
        <v>-0.14007030979437685</v>
      </c>
      <c r="L208" s="260">
        <f t="shared" si="538"/>
        <v>0.2549477464731531</v>
      </c>
      <c r="M208" s="260">
        <f t="shared" si="538"/>
        <v>8.0112931290181821E-2</v>
      </c>
      <c r="N208" s="260">
        <f t="shared" si="538"/>
        <v>-5.4068281825240261E-3</v>
      </c>
      <c r="O208" s="260">
        <f t="shared" si="538"/>
        <v>-0.17158807875472015</v>
      </c>
      <c r="P208" s="260">
        <f t="shared" si="538"/>
        <v>-0.24549975773212307</v>
      </c>
      <c r="Q208" s="260">
        <f t="shared" si="538"/>
        <v>9.3878697925142029E-2</v>
      </c>
      <c r="R208" s="260">
        <f t="shared" si="538"/>
        <v>-0.19459898750950033</v>
      </c>
      <c r="S208" s="260">
        <f t="shared" si="538"/>
        <v>0.18729655725014482</v>
      </c>
      <c r="T208" s="260">
        <f t="shared" si="538"/>
        <v>8.0127917625635758E-2</v>
      </c>
      <c r="U208" s="260">
        <f t="shared" si="538"/>
        <v>7.1427129190200223E-3</v>
      </c>
      <c r="V208" s="260">
        <f t="shared" si="538"/>
        <v>0.11625658861518318</v>
      </c>
      <c r="W208" s="6"/>
      <c r="X208" s="6"/>
      <c r="Y208" s="6"/>
      <c r="Z208" s="6"/>
      <c r="AA208" s="6"/>
      <c r="AB208" s="6"/>
      <c r="AC208" s="6"/>
      <c r="AD208" s="6"/>
      <c r="AE208" s="6"/>
      <c r="AF208" s="6"/>
      <c r="AG208" s="6"/>
      <c r="AH208" s="6"/>
      <c r="AI208" s="6"/>
      <c r="AJ208" s="6"/>
      <c r="AK208" s="6"/>
      <c r="AL208" s="6"/>
      <c r="AM208" s="6"/>
      <c r="AN208" s="6"/>
      <c r="AO208" s="6"/>
      <c r="AP208" s="6"/>
      <c r="AQ208" s="6"/>
      <c r="AR208" s="6"/>
      <c r="AS208" s="248"/>
      <c r="AT208" s="248"/>
      <c r="AU208" s="248"/>
      <c r="AV208" s="248"/>
      <c r="AW208" s="248"/>
      <c r="AX208" s="247"/>
      <c r="AY208" s="247"/>
      <c r="AZ208" s="247"/>
      <c r="BA208" s="247"/>
      <c r="BB208" s="247"/>
      <c r="BC208" s="247"/>
      <c r="BD208" s="6"/>
      <c r="BE208" s="6"/>
      <c r="BF208" s="6"/>
      <c r="BG208" s="6"/>
      <c r="BH208" s="6"/>
      <c r="BI208" s="6"/>
      <c r="BJ208" s="6"/>
      <c r="BK208" s="6"/>
    </row>
    <row r="209" spans="1:63" s="159" customFormat="1" ht="11.25" customHeight="1">
      <c r="A209" s="6"/>
      <c r="B209" s="9" t="str">
        <f t="shared" si="534"/>
        <v>16nm</v>
      </c>
      <c r="C209" s="6"/>
      <c r="D209" s="247"/>
      <c r="E209" s="260">
        <f t="shared" ref="E209:V209" si="539">IFERROR((E177/D177)-1,"n/a")</f>
        <v>-5.2708226422233606E-2</v>
      </c>
      <c r="F209" s="260">
        <f t="shared" si="539"/>
        <v>0.14407822692533978</v>
      </c>
      <c r="G209" s="260">
        <f t="shared" si="539"/>
        <v>-0.24446483951443665</v>
      </c>
      <c r="H209" s="260">
        <f t="shared" si="539"/>
        <v>7.6095303668047398E-2</v>
      </c>
      <c r="I209" s="260">
        <f t="shared" si="539"/>
        <v>7.6311730782707698E-4</v>
      </c>
      <c r="J209" s="260">
        <f t="shared" si="539"/>
        <v>7.6547130300836708E-2</v>
      </c>
      <c r="K209" s="260">
        <f t="shared" si="539"/>
        <v>5.7018924622265654E-2</v>
      </c>
      <c r="L209" s="260">
        <f t="shared" si="539"/>
        <v>0.17968961376869563</v>
      </c>
      <c r="M209" s="260">
        <f t="shared" si="539"/>
        <v>5.931881031036923E-2</v>
      </c>
      <c r="N209" s="260">
        <f t="shared" si="539"/>
        <v>2.8249935726267772E-2</v>
      </c>
      <c r="O209" s="260">
        <f t="shared" si="539"/>
        <v>9.0398993466516142E-3</v>
      </c>
      <c r="P209" s="260">
        <f t="shared" si="539"/>
        <v>-0.13875725508137138</v>
      </c>
      <c r="Q209" s="260">
        <f t="shared" si="539"/>
        <v>-0.22502506931377131</v>
      </c>
      <c r="R209" s="260">
        <f t="shared" si="539"/>
        <v>-4.0516757976738482E-3</v>
      </c>
      <c r="S209" s="260">
        <f t="shared" si="539"/>
        <v>2.2077460248579595E-3</v>
      </c>
      <c r="T209" s="260">
        <f t="shared" si="539"/>
        <v>8.7590942474718325E-2</v>
      </c>
      <c r="U209" s="260">
        <f t="shared" si="539"/>
        <v>8.6830225260407401E-2</v>
      </c>
      <c r="V209" s="260">
        <f t="shared" si="539"/>
        <v>8.1618179921347789E-3</v>
      </c>
      <c r="W209" s="6"/>
      <c r="X209" s="6"/>
      <c r="Y209" s="6"/>
      <c r="Z209" s="6"/>
      <c r="AA209" s="6"/>
      <c r="AB209" s="6"/>
      <c r="AC209" s="6"/>
      <c r="AD209" s="6"/>
      <c r="AE209" s="6"/>
      <c r="AF209" s="6"/>
      <c r="AG209" s="6"/>
      <c r="AH209" s="6"/>
      <c r="AI209" s="6"/>
      <c r="AJ209" s="6"/>
      <c r="AK209" s="6"/>
      <c r="AL209" s="6"/>
      <c r="AM209" s="6"/>
      <c r="AN209" s="6"/>
      <c r="AO209" s="6"/>
      <c r="AP209" s="6"/>
      <c r="AQ209" s="6"/>
      <c r="AR209" s="6"/>
      <c r="AS209" s="248"/>
      <c r="AT209" s="248"/>
      <c r="AU209" s="248"/>
      <c r="AV209" s="248"/>
      <c r="AW209" s="248"/>
      <c r="AX209" s="247"/>
      <c r="AY209" s="247"/>
      <c r="AZ209" s="247"/>
      <c r="BA209" s="247"/>
      <c r="BB209" s="247"/>
      <c r="BC209" s="247"/>
      <c r="BD209" s="6"/>
      <c r="BE209" s="6"/>
      <c r="BF209" s="6"/>
      <c r="BG209" s="6"/>
      <c r="BH209" s="6"/>
      <c r="BI209" s="6"/>
      <c r="BJ209" s="6"/>
      <c r="BK209" s="6"/>
    </row>
    <row r="210" spans="1:63" s="159" customFormat="1" ht="11.25" customHeight="1">
      <c r="A210" s="6"/>
      <c r="B210" s="9" t="str">
        <f t="shared" si="534"/>
        <v>20nm</v>
      </c>
      <c r="C210" s="6"/>
      <c r="D210" s="247"/>
      <c r="E210" s="260">
        <f t="shared" ref="E210:V210" si="540">IFERROR((E178/D178)-1,"n/a")</f>
        <v>0.21095193785730326</v>
      </c>
      <c r="F210" s="260">
        <f t="shared" si="540"/>
        <v>7.6720004742350856E-2</v>
      </c>
      <c r="G210" s="260">
        <f t="shared" si="540"/>
        <v>-0.19745560682572594</v>
      </c>
      <c r="H210" s="260">
        <f t="shared" si="540"/>
        <v>-0.38031794860685375</v>
      </c>
      <c r="I210" s="260">
        <f t="shared" si="540"/>
        <v>0.1065371070323613</v>
      </c>
      <c r="J210" s="260">
        <f t="shared" si="540"/>
        <v>-9.4723397149233834E-2</v>
      </c>
      <c r="K210" s="260">
        <f t="shared" si="540"/>
        <v>0.60741587672999531</v>
      </c>
      <c r="L210" s="260">
        <f t="shared" si="540"/>
        <v>0.11371789834994384</v>
      </c>
      <c r="M210" s="260">
        <f t="shared" si="540"/>
        <v>-1.1390762904015639E-2</v>
      </c>
      <c r="N210" s="260">
        <f t="shared" si="540"/>
        <v>-2.4930467002577394E-3</v>
      </c>
      <c r="O210" s="260">
        <f t="shared" si="540"/>
        <v>0.15046215453724687</v>
      </c>
      <c r="P210" s="260">
        <f t="shared" si="540"/>
        <v>0.27704223070276579</v>
      </c>
      <c r="Q210" s="260">
        <f t="shared" si="540"/>
        <v>-0.10288874529506875</v>
      </c>
      <c r="R210" s="260">
        <f t="shared" si="540"/>
        <v>-4.161345800586802E-3</v>
      </c>
      <c r="S210" s="260">
        <f t="shared" si="540"/>
        <v>-0.40880062453315136</v>
      </c>
      <c r="T210" s="260">
        <f t="shared" si="540"/>
        <v>-0.15124490187087025</v>
      </c>
      <c r="U210" s="260">
        <f t="shared" si="540"/>
        <v>-0.23026095283696435</v>
      </c>
      <c r="V210" s="260">
        <f t="shared" si="540"/>
        <v>-1</v>
      </c>
      <c r="W210" s="6"/>
      <c r="X210" s="6"/>
      <c r="Y210" s="6"/>
      <c r="Z210" s="6"/>
      <c r="AA210" s="6"/>
      <c r="AB210" s="6"/>
      <c r="AC210" s="6"/>
      <c r="AD210" s="6"/>
      <c r="AE210" s="6"/>
      <c r="AF210" s="6"/>
      <c r="AG210" s="6"/>
      <c r="AH210" s="6"/>
      <c r="AI210" s="6"/>
      <c r="AJ210" s="6"/>
      <c r="AK210" s="6"/>
      <c r="AL210" s="6"/>
      <c r="AM210" s="6"/>
      <c r="AN210" s="6"/>
      <c r="AO210" s="6"/>
      <c r="AP210" s="6"/>
      <c r="AQ210" s="6"/>
      <c r="AR210" s="6"/>
      <c r="AS210" s="248"/>
      <c r="AT210" s="248"/>
      <c r="AU210" s="248"/>
      <c r="AV210" s="248"/>
      <c r="AW210" s="248"/>
      <c r="AX210" s="247"/>
      <c r="AY210" s="247"/>
      <c r="AZ210" s="247"/>
      <c r="BA210" s="247"/>
      <c r="BB210" s="247"/>
      <c r="BC210" s="247"/>
      <c r="BD210" s="6"/>
      <c r="BE210" s="6"/>
      <c r="BF210" s="6"/>
      <c r="BG210" s="6"/>
      <c r="BH210" s="6"/>
      <c r="BI210" s="6"/>
      <c r="BJ210" s="6"/>
      <c r="BK210" s="6"/>
    </row>
    <row r="211" spans="1:63" s="159" customFormat="1" ht="11.25" customHeight="1">
      <c r="A211" s="6"/>
      <c r="B211" s="9" t="str">
        <f t="shared" si="534"/>
        <v>28nm</v>
      </c>
      <c r="C211" s="6"/>
      <c r="D211" s="247"/>
      <c r="E211" s="260">
        <f t="shared" ref="E211:V211" si="541">IFERROR((E179/D179)-1,"n/a")</f>
        <v>1.2611778424784559E-2</v>
      </c>
      <c r="F211" s="260">
        <f t="shared" si="541"/>
        <v>-2.0704172105860619E-2</v>
      </c>
      <c r="G211" s="260">
        <f t="shared" si="541"/>
        <v>-6.5719276053743947E-2</v>
      </c>
      <c r="H211" s="260">
        <f t="shared" si="541"/>
        <v>4.1416798412477585E-2</v>
      </c>
      <c r="I211" s="260">
        <f t="shared" si="541"/>
        <v>2.3309947653260998E-2</v>
      </c>
      <c r="J211" s="260">
        <f t="shared" si="541"/>
        <v>5.8779308461633928E-3</v>
      </c>
      <c r="K211" s="260">
        <f t="shared" si="541"/>
        <v>9.0220875040024628E-2</v>
      </c>
      <c r="L211" s="260">
        <f t="shared" si="541"/>
        <v>0.15318966392002764</v>
      </c>
      <c r="M211" s="260">
        <f t="shared" si="541"/>
        <v>4.3962923335980841E-2</v>
      </c>
      <c r="N211" s="260">
        <f t="shared" si="541"/>
        <v>6.7199815525033291E-2</v>
      </c>
      <c r="O211" s="260">
        <f t="shared" si="541"/>
        <v>7.3940568257682804E-2</v>
      </c>
      <c r="P211" s="260">
        <f t="shared" si="541"/>
        <v>-8.3022256293284413E-2</v>
      </c>
      <c r="Q211" s="260">
        <f t="shared" si="541"/>
        <v>-8.5808160210101958E-2</v>
      </c>
      <c r="R211" s="260">
        <f t="shared" si="541"/>
        <v>-7.9523013630370398E-3</v>
      </c>
      <c r="S211" s="260">
        <f t="shared" si="541"/>
        <v>-0.15135225458653523</v>
      </c>
      <c r="T211" s="260">
        <f t="shared" si="541"/>
        <v>7.3709209229083639E-2</v>
      </c>
      <c r="U211" s="260">
        <f t="shared" si="541"/>
        <v>0.17522820794137206</v>
      </c>
      <c r="V211" s="260">
        <f t="shared" si="541"/>
        <v>-8.0806153549948911E-2</v>
      </c>
      <c r="W211" s="6"/>
      <c r="X211" s="6"/>
      <c r="Y211" s="6"/>
      <c r="Z211" s="6"/>
      <c r="AA211" s="6"/>
      <c r="AB211" s="6"/>
      <c r="AC211" s="6"/>
      <c r="AD211" s="6"/>
      <c r="AE211" s="6"/>
      <c r="AF211" s="6"/>
      <c r="AG211" s="6"/>
      <c r="AH211" s="6"/>
      <c r="AI211" s="6"/>
      <c r="AJ211" s="6"/>
      <c r="AK211" s="6"/>
      <c r="AL211" s="6"/>
      <c r="AM211" s="6"/>
      <c r="AN211" s="6"/>
      <c r="AO211" s="6"/>
      <c r="AP211" s="6"/>
      <c r="AQ211" s="6"/>
      <c r="AR211" s="6"/>
      <c r="AS211" s="248"/>
      <c r="AT211" s="248"/>
      <c r="AU211" s="248"/>
      <c r="AV211" s="248"/>
      <c r="AW211" s="248"/>
      <c r="AX211" s="247"/>
      <c r="AY211" s="247"/>
      <c r="AZ211" s="247"/>
      <c r="BA211" s="247"/>
      <c r="BB211" s="247"/>
      <c r="BC211" s="247"/>
      <c r="BD211" s="6"/>
      <c r="BE211" s="6"/>
      <c r="BF211" s="6"/>
      <c r="BG211" s="6"/>
      <c r="BH211" s="6"/>
      <c r="BI211" s="6"/>
      <c r="BJ211" s="6"/>
      <c r="BK211" s="6"/>
    </row>
    <row r="212" spans="1:63" s="159" customFormat="1" ht="11.25" customHeight="1">
      <c r="A212" s="6"/>
      <c r="B212" s="9" t="str">
        <f t="shared" si="534"/>
        <v>40/45nm</v>
      </c>
      <c r="C212" s="6"/>
      <c r="D212" s="247"/>
      <c r="E212" s="260">
        <f t="shared" ref="E212:V212" si="542">IFERROR((E180/D180)-1,"n/a")</f>
        <v>-1.6641211509629272E-3</v>
      </c>
      <c r="F212" s="260">
        <f t="shared" si="542"/>
        <v>1.1872136127716537E-2</v>
      </c>
      <c r="G212" s="260">
        <f t="shared" si="542"/>
        <v>-6.4064985467245039E-2</v>
      </c>
      <c r="H212" s="260">
        <f t="shared" si="542"/>
        <v>-6.0004501577923808E-2</v>
      </c>
      <c r="I212" s="260">
        <f t="shared" si="542"/>
        <v>1.7846870226183587E-2</v>
      </c>
      <c r="J212" s="260">
        <f t="shared" si="542"/>
        <v>0.15374103526128069</v>
      </c>
      <c r="K212" s="260">
        <f t="shared" si="542"/>
        <v>7.8948989853665941E-2</v>
      </c>
      <c r="L212" s="260">
        <f t="shared" si="542"/>
        <v>0.15811369623627702</v>
      </c>
      <c r="M212" s="260">
        <f t="shared" si="542"/>
        <v>7.0858217036336102E-2</v>
      </c>
      <c r="N212" s="260">
        <f t="shared" si="542"/>
        <v>3.8798205540184982E-2</v>
      </c>
      <c r="O212" s="260">
        <f t="shared" si="542"/>
        <v>-1.678129270144646E-2</v>
      </c>
      <c r="P212" s="260">
        <f t="shared" si="542"/>
        <v>-0.12328828329361974</v>
      </c>
      <c r="Q212" s="260">
        <f t="shared" si="542"/>
        <v>-9.4804167938332018E-2</v>
      </c>
      <c r="R212" s="260">
        <f t="shared" si="542"/>
        <v>-4.0762375111015325E-3</v>
      </c>
      <c r="S212" s="260">
        <f t="shared" si="542"/>
        <v>-0.21536879310222345</v>
      </c>
      <c r="T212" s="260">
        <f t="shared" si="542"/>
        <v>0.17472164731741535</v>
      </c>
      <c r="U212" s="260">
        <f t="shared" si="542"/>
        <v>1.7393785617073387E-2</v>
      </c>
      <c r="V212" s="260">
        <f t="shared" si="542"/>
        <v>-3.735791689409107E-2</v>
      </c>
      <c r="W212" s="6"/>
      <c r="X212" s="6"/>
      <c r="Y212" s="6"/>
      <c r="Z212" s="6"/>
      <c r="AA212" s="6"/>
      <c r="AB212" s="6"/>
      <c r="AC212" s="6"/>
      <c r="AD212" s="6"/>
      <c r="AE212" s="6"/>
      <c r="AF212" s="6"/>
      <c r="AG212" s="6"/>
      <c r="AH212" s="6"/>
      <c r="AI212" s="6"/>
      <c r="AJ212" s="6"/>
      <c r="AK212" s="6"/>
      <c r="AL212" s="6"/>
      <c r="AM212" s="6"/>
      <c r="AN212" s="6"/>
      <c r="AO212" s="6"/>
      <c r="AP212" s="6"/>
      <c r="AQ212" s="6"/>
      <c r="AR212" s="6"/>
      <c r="AS212" s="248"/>
      <c r="AT212" s="248"/>
      <c r="AU212" s="248"/>
      <c r="AV212" s="248"/>
      <c r="AW212" s="248"/>
      <c r="AX212" s="247"/>
      <c r="AY212" s="247"/>
      <c r="AZ212" s="247"/>
      <c r="BA212" s="247"/>
      <c r="BB212" s="247"/>
      <c r="BC212" s="247"/>
      <c r="BD212" s="6"/>
      <c r="BE212" s="6"/>
      <c r="BF212" s="6"/>
      <c r="BG212" s="6"/>
      <c r="BH212" s="6"/>
      <c r="BI212" s="6"/>
      <c r="BJ212" s="6"/>
      <c r="BK212" s="6"/>
    </row>
    <row r="213" spans="1:63" s="159" customFormat="1" ht="11.25" customHeight="1">
      <c r="A213" s="6"/>
      <c r="B213" s="9" t="str">
        <f t="shared" si="534"/>
        <v>65nm</v>
      </c>
      <c r="C213" s="6"/>
      <c r="D213" s="247"/>
      <c r="E213" s="260">
        <f t="shared" ref="E213:V213" si="543">IFERROR((E181/D181)-1,"n/a")</f>
        <v>-2.5490606287383089E-2</v>
      </c>
      <c r="F213" s="260">
        <f t="shared" si="543"/>
        <v>-2.5183229754849434E-2</v>
      </c>
      <c r="G213" s="260">
        <f t="shared" si="543"/>
        <v>-4.6313730030434597E-2</v>
      </c>
      <c r="H213" s="260">
        <f t="shared" si="543"/>
        <v>7.8860348346051934E-2</v>
      </c>
      <c r="I213" s="260">
        <f t="shared" si="543"/>
        <v>4.5569778893950863E-2</v>
      </c>
      <c r="J213" s="260">
        <f t="shared" si="543"/>
        <v>-8.9057514783743574E-3</v>
      </c>
      <c r="K213" s="260">
        <f t="shared" si="543"/>
        <v>0.13157182620527141</v>
      </c>
      <c r="L213" s="260">
        <f t="shared" si="543"/>
        <v>0.15650281212054384</v>
      </c>
      <c r="M213" s="260">
        <f t="shared" si="543"/>
        <v>6.3764902718688399E-2</v>
      </c>
      <c r="N213" s="260">
        <f t="shared" si="543"/>
        <v>0.12427637959139659</v>
      </c>
      <c r="O213" s="260">
        <f t="shared" si="543"/>
        <v>-4.3956556135578917E-2</v>
      </c>
      <c r="P213" s="260">
        <f t="shared" si="543"/>
        <v>0.13230427549515245</v>
      </c>
      <c r="Q213" s="260">
        <f t="shared" si="543"/>
        <v>2.0573436919375743E-2</v>
      </c>
      <c r="R213" s="260">
        <f t="shared" si="543"/>
        <v>-5.967523516301998E-2</v>
      </c>
      <c r="S213" s="260">
        <f t="shared" si="543"/>
        <v>-2.4569480505444941E-2</v>
      </c>
      <c r="T213" s="260">
        <f t="shared" si="543"/>
        <v>-0.17136162009736755</v>
      </c>
      <c r="U213" s="260">
        <f t="shared" si="543"/>
        <v>-2.5791360054413737E-2</v>
      </c>
      <c r="V213" s="260">
        <f t="shared" si="543"/>
        <v>0.28112714544202166</v>
      </c>
      <c r="W213" s="6"/>
      <c r="X213" s="6"/>
      <c r="Y213" s="6"/>
      <c r="Z213" s="6"/>
      <c r="AA213" s="6"/>
      <c r="AB213" s="6"/>
      <c r="AC213" s="6"/>
      <c r="AD213" s="6"/>
      <c r="AE213" s="6"/>
      <c r="AF213" s="6"/>
      <c r="AG213" s="6"/>
      <c r="AH213" s="6"/>
      <c r="AI213" s="6"/>
      <c r="AJ213" s="6"/>
      <c r="AK213" s="6"/>
      <c r="AL213" s="6"/>
      <c r="AM213" s="6"/>
      <c r="AN213" s="6"/>
      <c r="AO213" s="6"/>
      <c r="AP213" s="6"/>
      <c r="AQ213" s="6"/>
      <c r="AR213" s="6"/>
      <c r="AS213" s="248"/>
      <c r="AT213" s="248"/>
      <c r="AU213" s="248"/>
      <c r="AV213" s="248"/>
      <c r="AW213" s="248"/>
      <c r="AX213" s="247"/>
      <c r="AY213" s="247"/>
      <c r="AZ213" s="247"/>
      <c r="BA213" s="247"/>
      <c r="BB213" s="247"/>
      <c r="BC213" s="247"/>
      <c r="BD213" s="6"/>
      <c r="BE213" s="6"/>
      <c r="BF213" s="6"/>
      <c r="BG213" s="6"/>
      <c r="BH213" s="6"/>
      <c r="BI213" s="6"/>
      <c r="BJ213" s="6"/>
      <c r="BK213" s="6"/>
    </row>
    <row r="214" spans="1:63" s="159" customFormat="1" ht="11.25" customHeight="1">
      <c r="A214" s="6"/>
      <c r="B214" s="9" t="str">
        <f t="shared" si="534"/>
        <v>90nm</v>
      </c>
      <c r="C214" s="6"/>
      <c r="D214" s="247"/>
      <c r="E214" s="260">
        <f t="shared" ref="E214:V214" si="544">IFERROR((E182/D182)-1,"n/a")</f>
        <v>-5.5645144365440435E-3</v>
      </c>
      <c r="F214" s="260">
        <f t="shared" si="544"/>
        <v>5.4762353251456286E-3</v>
      </c>
      <c r="G214" s="260">
        <f t="shared" si="544"/>
        <v>-0.16439586272602291</v>
      </c>
      <c r="H214" s="260">
        <f t="shared" si="544"/>
        <v>0.36116264012294108</v>
      </c>
      <c r="I214" s="260">
        <f t="shared" si="544"/>
        <v>3.5170165649600404E-2</v>
      </c>
      <c r="J214" s="260">
        <f t="shared" si="544"/>
        <v>-0.22510685085613569</v>
      </c>
      <c r="K214" s="260">
        <f t="shared" si="544"/>
        <v>7.2591296400527971E-2</v>
      </c>
      <c r="L214" s="260">
        <f t="shared" si="544"/>
        <v>0.2342308604875567</v>
      </c>
      <c r="M214" s="260">
        <f t="shared" si="544"/>
        <v>0.13485212795169876</v>
      </c>
      <c r="N214" s="260">
        <f t="shared" si="544"/>
        <v>7.5843129713017099E-2</v>
      </c>
      <c r="O214" s="260">
        <f t="shared" si="544"/>
        <v>-0.19596710704003539</v>
      </c>
      <c r="P214" s="260">
        <f t="shared" si="544"/>
        <v>-0.10375975647100733</v>
      </c>
      <c r="Q214" s="260">
        <f t="shared" si="544"/>
        <v>-9.2762918093851732E-2</v>
      </c>
      <c r="R214" s="260">
        <f t="shared" si="544"/>
        <v>-0.31783844015662266</v>
      </c>
      <c r="S214" s="260">
        <f t="shared" si="544"/>
        <v>1.4384042435304778E-3</v>
      </c>
      <c r="T214" s="260">
        <f t="shared" si="544"/>
        <v>9.1563789470350043E-2</v>
      </c>
      <c r="U214" s="260">
        <f t="shared" si="544"/>
        <v>1.3928898565563452E-2</v>
      </c>
      <c r="V214" s="260">
        <f t="shared" si="544"/>
        <v>0.18740155683167137</v>
      </c>
      <c r="W214" s="6"/>
      <c r="X214" s="6"/>
      <c r="Y214" s="6"/>
      <c r="Z214" s="6"/>
      <c r="AA214" s="6"/>
      <c r="AB214" s="6"/>
      <c r="AC214" s="6"/>
      <c r="AD214" s="6"/>
      <c r="AE214" s="6"/>
      <c r="AF214" s="6"/>
      <c r="AG214" s="6"/>
      <c r="AH214" s="6"/>
      <c r="AI214" s="6"/>
      <c r="AJ214" s="6"/>
      <c r="AK214" s="6"/>
      <c r="AL214" s="6"/>
      <c r="AM214" s="6"/>
      <c r="AN214" s="6"/>
      <c r="AO214" s="6"/>
      <c r="AP214" s="6"/>
      <c r="AQ214" s="6"/>
      <c r="AR214" s="6"/>
      <c r="AS214" s="248"/>
      <c r="AT214" s="248"/>
      <c r="AU214" s="248"/>
      <c r="AV214" s="248"/>
      <c r="AW214" s="248"/>
      <c r="AX214" s="247"/>
      <c r="AY214" s="247"/>
      <c r="AZ214" s="247"/>
      <c r="BA214" s="247"/>
      <c r="BB214" s="247"/>
      <c r="BC214" s="247"/>
      <c r="BD214" s="6"/>
      <c r="BE214" s="6"/>
      <c r="BF214" s="6"/>
      <c r="BG214" s="6"/>
      <c r="BH214" s="6"/>
      <c r="BI214" s="6"/>
      <c r="BJ214" s="6"/>
      <c r="BK214" s="6"/>
    </row>
    <row r="215" spans="1:63" s="159" customFormat="1" ht="11.25" customHeight="1">
      <c r="A215" s="6"/>
      <c r="B215" s="9" t="str">
        <f t="shared" si="534"/>
        <v>0.11/0.13um</v>
      </c>
      <c r="C215" s="6"/>
      <c r="D215" s="247"/>
      <c r="E215" s="260">
        <f t="shared" ref="E215:V215" si="545">IFERROR((E183/D183)-1,"n/a")</f>
        <v>7.8754089218986856E-2</v>
      </c>
      <c r="F215" s="260">
        <f t="shared" si="545"/>
        <v>0.10214634754208141</v>
      </c>
      <c r="G215" s="260">
        <f t="shared" si="545"/>
        <v>0.22764499122738879</v>
      </c>
      <c r="H215" s="260">
        <f t="shared" si="545"/>
        <v>-0.1514628408540023</v>
      </c>
      <c r="I215" s="260">
        <f t="shared" si="545"/>
        <v>7.0152846817682191E-2</v>
      </c>
      <c r="J215" s="260">
        <f t="shared" si="545"/>
        <v>0.11547046730968114</v>
      </c>
      <c r="K215" s="260">
        <f t="shared" si="545"/>
        <v>0.17228277196359687</v>
      </c>
      <c r="L215" s="260">
        <f t="shared" si="545"/>
        <v>9.9046945475736781E-2</v>
      </c>
      <c r="M215" s="260">
        <f t="shared" si="545"/>
        <v>-5.0440078689740209E-2</v>
      </c>
      <c r="N215" s="260">
        <f t="shared" si="545"/>
        <v>0.31730393377541533</v>
      </c>
      <c r="O215" s="260">
        <f t="shared" si="545"/>
        <v>-9.2669700413967715E-2</v>
      </c>
      <c r="P215" s="260">
        <f t="shared" si="545"/>
        <v>-0.29402841008343494</v>
      </c>
      <c r="Q215" s="260">
        <f t="shared" si="545"/>
        <v>-8.5643202462442281E-2</v>
      </c>
      <c r="R215" s="260">
        <f t="shared" si="545"/>
        <v>0.33395796511130182</v>
      </c>
      <c r="S215" s="260">
        <f t="shared" si="545"/>
        <v>3.7198462379205655E-2</v>
      </c>
      <c r="T215" s="260">
        <f t="shared" si="545"/>
        <v>-5.5800645876113886E-2</v>
      </c>
      <c r="U215" s="260">
        <f t="shared" si="545"/>
        <v>-7.0972131754883372E-2</v>
      </c>
      <c r="V215" s="260">
        <f t="shared" si="545"/>
        <v>0.1163654519407229</v>
      </c>
      <c r="W215" s="6"/>
      <c r="X215" s="6"/>
      <c r="Y215" s="6"/>
      <c r="Z215" s="6"/>
      <c r="AA215" s="6"/>
      <c r="AB215" s="6"/>
      <c r="AC215" s="6"/>
      <c r="AD215" s="6"/>
      <c r="AE215" s="6"/>
      <c r="AF215" s="6"/>
      <c r="AG215" s="6"/>
      <c r="AH215" s="6"/>
      <c r="AI215" s="6"/>
      <c r="AJ215" s="6"/>
      <c r="AK215" s="6"/>
      <c r="AL215" s="6"/>
      <c r="AM215" s="6"/>
      <c r="AN215" s="6"/>
      <c r="AO215" s="6"/>
      <c r="AP215" s="6"/>
      <c r="AQ215" s="6"/>
      <c r="AR215" s="6"/>
      <c r="AS215" s="248"/>
      <c r="AT215" s="248"/>
      <c r="AU215" s="248"/>
      <c r="AV215" s="248"/>
      <c r="AW215" s="248"/>
      <c r="AX215" s="247"/>
      <c r="AY215" s="247"/>
      <c r="AZ215" s="247"/>
      <c r="BA215" s="247"/>
      <c r="BB215" s="247"/>
      <c r="BC215" s="247"/>
      <c r="BD215" s="6"/>
      <c r="BE215" s="6"/>
      <c r="BF215" s="6"/>
      <c r="BG215" s="6"/>
      <c r="BH215" s="6"/>
      <c r="BI215" s="6"/>
      <c r="BJ215" s="6"/>
      <c r="BK215" s="6"/>
    </row>
    <row r="216" spans="1:63" s="159" customFormat="1" ht="11.25" customHeight="1">
      <c r="A216" s="6"/>
      <c r="B216" s="9" t="str">
        <f t="shared" si="534"/>
        <v>0.15/0.18um</v>
      </c>
      <c r="C216" s="6"/>
      <c r="D216" s="247"/>
      <c r="E216" s="260">
        <f t="shared" ref="E216:V216" si="546">IFERROR((E184/D184)-1,"n/a")</f>
        <v>-1.2387197506710246E-3</v>
      </c>
      <c r="F216" s="260">
        <f t="shared" si="546"/>
        <v>1.238707031880204E-2</v>
      </c>
      <c r="G216" s="260">
        <f t="shared" si="546"/>
        <v>-4.8361647248313155E-2</v>
      </c>
      <c r="H216" s="260">
        <f t="shared" si="546"/>
        <v>-1.0831701361986745E-2</v>
      </c>
      <c r="I216" s="260">
        <f t="shared" si="546"/>
        <v>1.884393400147033E-2</v>
      </c>
      <c r="J216" s="260">
        <f t="shared" si="546"/>
        <v>6.0486624505337705E-2</v>
      </c>
      <c r="K216" s="260">
        <f t="shared" si="546"/>
        <v>2.5004751210795151E-2</v>
      </c>
      <c r="L216" s="260">
        <f t="shared" si="546"/>
        <v>0.11824779820768772</v>
      </c>
      <c r="M216" s="260">
        <f t="shared" si="546"/>
        <v>6.598128538707293E-2</v>
      </c>
      <c r="N216" s="260">
        <f t="shared" si="546"/>
        <v>9.3607439106544454E-2</v>
      </c>
      <c r="O216" s="260">
        <f t="shared" si="546"/>
        <v>-5.6124514161637329E-2</v>
      </c>
      <c r="P216" s="260">
        <f t="shared" si="546"/>
        <v>-0.16453309712473785</v>
      </c>
      <c r="Q216" s="260">
        <f t="shared" si="546"/>
        <v>-0.11042526808730257</v>
      </c>
      <c r="R216" s="260">
        <f t="shared" si="546"/>
        <v>-3.5238136804872089E-2</v>
      </c>
      <c r="S216" s="260">
        <f t="shared" si="546"/>
        <v>9.9449953134408631E-2</v>
      </c>
      <c r="T216" s="260">
        <f t="shared" si="546"/>
        <v>-9.7368857033479639E-3</v>
      </c>
      <c r="U216" s="260">
        <f t="shared" si="546"/>
        <v>-5.5136589218772736E-3</v>
      </c>
      <c r="V216" s="260">
        <f t="shared" si="546"/>
        <v>0.21794321307921183</v>
      </c>
      <c r="W216" s="6"/>
      <c r="X216" s="6"/>
      <c r="Y216" s="6"/>
      <c r="Z216" s="6"/>
      <c r="AA216" s="6"/>
      <c r="AB216" s="6"/>
      <c r="AC216" s="6"/>
      <c r="AD216" s="6"/>
      <c r="AE216" s="6"/>
      <c r="AF216" s="6"/>
      <c r="AG216" s="6"/>
      <c r="AH216" s="6"/>
      <c r="AI216" s="6"/>
      <c r="AJ216" s="6"/>
      <c r="AK216" s="6"/>
      <c r="AL216" s="6"/>
      <c r="AM216" s="6"/>
      <c r="AN216" s="6"/>
      <c r="AO216" s="6"/>
      <c r="AP216" s="6"/>
      <c r="AQ216" s="6"/>
      <c r="AR216" s="6"/>
      <c r="AS216" s="248"/>
      <c r="AT216" s="248"/>
      <c r="AU216" s="248"/>
      <c r="AV216" s="248"/>
      <c r="AW216" s="248"/>
      <c r="AX216" s="247"/>
      <c r="AY216" s="247"/>
      <c r="AZ216" s="247"/>
      <c r="BA216" s="247"/>
      <c r="BB216" s="247"/>
      <c r="BC216" s="247"/>
      <c r="BD216" s="6"/>
      <c r="BE216" s="6"/>
      <c r="BF216" s="6"/>
      <c r="BG216" s="6"/>
      <c r="BH216" s="6"/>
      <c r="BI216" s="6"/>
      <c r="BJ216" s="6"/>
      <c r="BK216" s="6"/>
    </row>
    <row r="217" spans="1:63" s="159" customFormat="1" ht="13.5" customHeight="1">
      <c r="A217" s="6"/>
      <c r="B217" s="9" t="str">
        <f t="shared" si="534"/>
        <v>≥0.25um</v>
      </c>
      <c r="C217" s="6"/>
      <c r="D217" s="229"/>
      <c r="E217" s="350">
        <f t="shared" ref="E217:V217" si="547">IFERROR((E185/D185)-1,"n/a")</f>
        <v>0.30161245983451468</v>
      </c>
      <c r="F217" s="350">
        <f t="shared" si="547"/>
        <v>-0.18915445101516004</v>
      </c>
      <c r="G217" s="350">
        <f t="shared" si="547"/>
        <v>-0.26610840049758555</v>
      </c>
      <c r="H217" s="350">
        <f t="shared" si="547"/>
        <v>0.39414664764414309</v>
      </c>
      <c r="I217" s="350">
        <f t="shared" si="547"/>
        <v>9.1054342891864426E-2</v>
      </c>
      <c r="J217" s="350">
        <f t="shared" si="547"/>
        <v>-3.7850374551649857E-2</v>
      </c>
      <c r="K217" s="350">
        <f t="shared" si="547"/>
        <v>4.7212520835428595E-2</v>
      </c>
      <c r="L217" s="350">
        <f t="shared" si="547"/>
        <v>4.605763188503742E-2</v>
      </c>
      <c r="M217" s="350">
        <f t="shared" si="547"/>
        <v>6.6882673406146065E-2</v>
      </c>
      <c r="N217" s="350">
        <f t="shared" si="547"/>
        <v>5.8378479612954726E-2</v>
      </c>
      <c r="O217" s="350">
        <f t="shared" si="547"/>
        <v>-3.9256570482575137E-2</v>
      </c>
      <c r="P217" s="350">
        <f t="shared" si="547"/>
        <v>-0.2456744016520358</v>
      </c>
      <c r="Q217" s="350">
        <f t="shared" si="547"/>
        <v>-3.0185191094195485E-2</v>
      </c>
      <c r="R217" s="350">
        <f t="shared" si="547"/>
        <v>-0.16005480091446567</v>
      </c>
      <c r="S217" s="350">
        <f t="shared" si="547"/>
        <v>-8.4161994284873587E-2</v>
      </c>
      <c r="T217" s="350">
        <f t="shared" si="547"/>
        <v>1.9939020680740605E-2</v>
      </c>
      <c r="U217" s="350">
        <f t="shared" si="547"/>
        <v>-7.8791815761384609E-2</v>
      </c>
      <c r="V217" s="350">
        <f t="shared" si="547"/>
        <v>0.87709821114019615</v>
      </c>
      <c r="W217" s="6"/>
      <c r="X217" s="6"/>
      <c r="Y217" s="6"/>
      <c r="Z217" s="6"/>
      <c r="AA217" s="6"/>
      <c r="AB217" s="6"/>
      <c r="AC217" s="6"/>
      <c r="AD217" s="6"/>
      <c r="AE217" s="6"/>
      <c r="AF217" s="6"/>
      <c r="AG217" s="6"/>
      <c r="AH217" s="6"/>
      <c r="AI217" s="6"/>
      <c r="AJ217" s="6"/>
      <c r="AK217" s="6"/>
      <c r="AL217" s="6"/>
      <c r="AM217" s="6"/>
      <c r="AN217" s="6"/>
      <c r="AO217" s="6"/>
      <c r="AP217" s="6"/>
      <c r="AQ217" s="6"/>
      <c r="AR217" s="6"/>
      <c r="AS217" s="249"/>
      <c r="AT217" s="249"/>
      <c r="AU217" s="249"/>
      <c r="AV217" s="249"/>
      <c r="AW217" s="249"/>
      <c r="AX217" s="229"/>
      <c r="AY217" s="229"/>
      <c r="AZ217" s="229"/>
      <c r="BA217" s="229"/>
      <c r="BB217" s="229"/>
      <c r="BC217" s="229"/>
      <c r="BD217" s="6"/>
      <c r="BE217" s="6"/>
      <c r="BF217" s="6"/>
      <c r="BG217" s="6"/>
      <c r="BH217" s="6"/>
      <c r="BI217" s="6"/>
      <c r="BJ217" s="6"/>
      <c r="BK217" s="6"/>
    </row>
    <row r="218" spans="1:63" s="159" customFormat="1" ht="11.25" customHeight="1">
      <c r="A218" s="6"/>
      <c r="B218" s="36" t="str">
        <f t="shared" si="534"/>
        <v>Total Wafer Revenue</v>
      </c>
      <c r="C218" s="6"/>
      <c r="D218" s="247"/>
      <c r="E218" s="260">
        <f t="shared" ref="E218:V218" si="548">IFERROR((E186/D186)-1,"n/a")</f>
        <v>1.345930620412128E-2</v>
      </c>
      <c r="F218" s="260">
        <f t="shared" si="548"/>
        <v>0.14981141168611556</v>
      </c>
      <c r="G218" s="260">
        <f t="shared" si="548"/>
        <v>-5.0532267389087338E-3</v>
      </c>
      <c r="H218" s="260">
        <f t="shared" si="548"/>
        <v>2.3882616494146802E-2</v>
      </c>
      <c r="I218" s="260">
        <f t="shared" si="548"/>
        <v>2.9563609962153903E-2</v>
      </c>
      <c r="J218" s="260">
        <f t="shared" si="548"/>
        <v>0.10241460312277795</v>
      </c>
      <c r="K218" s="260">
        <f t="shared" si="548"/>
        <v>5.1382637794854968E-2</v>
      </c>
      <c r="L218" s="260">
        <f t="shared" si="548"/>
        <v>0.13986578490302559</v>
      </c>
      <c r="M218" s="260">
        <f t="shared" si="548"/>
        <v>8.4681654957817099E-2</v>
      </c>
      <c r="N218" s="260">
        <f t="shared" si="548"/>
        <v>0.13541652967706264</v>
      </c>
      <c r="O218" s="260">
        <f t="shared" si="548"/>
        <v>-5.5197120690945178E-3</v>
      </c>
      <c r="P218" s="260">
        <f t="shared" si="548"/>
        <v>-0.16537700957618251</v>
      </c>
      <c r="Q218" s="260">
        <f t="shared" si="548"/>
        <v>-6.0986995032738855E-2</v>
      </c>
      <c r="R218" s="260">
        <f t="shared" si="548"/>
        <v>0.12350439793137702</v>
      </c>
      <c r="S218" s="260">
        <f t="shared" si="548"/>
        <v>0.14168670280488427</v>
      </c>
      <c r="T218" s="260">
        <f t="shared" si="548"/>
        <v>-3.3632305482899416E-2</v>
      </c>
      <c r="U218" s="260">
        <f t="shared" ca="1" si="548"/>
        <v>0.14244889917171011</v>
      </c>
      <c r="V218" s="260">
        <f t="shared" ca="1" si="548"/>
        <v>0.11345645269857663</v>
      </c>
      <c r="W218" s="6"/>
      <c r="X218" s="6"/>
      <c r="Y218" s="6"/>
      <c r="Z218" s="6"/>
      <c r="AA218" s="6"/>
      <c r="AB218" s="6"/>
      <c r="AC218" s="6"/>
      <c r="AD218" s="6"/>
      <c r="AE218" s="6"/>
      <c r="AF218" s="6"/>
      <c r="AG218" s="6"/>
      <c r="AH218" s="6"/>
      <c r="AI218" s="6"/>
      <c r="AJ218" s="6"/>
      <c r="AK218" s="6"/>
      <c r="AL218" s="6"/>
      <c r="AM218" s="6"/>
      <c r="AN218" s="6"/>
      <c r="AO218" s="6"/>
      <c r="AP218" s="6"/>
      <c r="AQ218" s="6"/>
      <c r="AR218" s="6"/>
      <c r="AS218" s="247"/>
      <c r="AT218" s="247"/>
      <c r="AU218" s="247"/>
      <c r="AV218" s="247"/>
      <c r="AW218" s="247"/>
      <c r="AX218" s="247"/>
      <c r="AY218" s="247"/>
      <c r="AZ218" s="247"/>
      <c r="BA218" s="247"/>
      <c r="BB218" s="247"/>
      <c r="BC218" s="247"/>
      <c r="BD218" s="6"/>
      <c r="BE218" s="6"/>
      <c r="BF218" s="6"/>
      <c r="BG218" s="6"/>
      <c r="BH218" s="6"/>
      <c r="BI218" s="6"/>
      <c r="BJ218" s="6"/>
      <c r="BK218" s="6"/>
    </row>
    <row r="219" spans="1:63" s="159" customFormat="1" ht="11.25" customHeight="1">
      <c r="A219" s="6"/>
      <c r="B219" s="31"/>
      <c r="C219" s="6"/>
      <c r="D219" s="20"/>
      <c r="E219" s="20"/>
      <c r="F219" s="20"/>
      <c r="G219" s="20"/>
      <c r="H219" s="20"/>
      <c r="I219" s="20"/>
      <c r="J219" s="20"/>
      <c r="K219" s="20"/>
      <c r="L219" s="20"/>
      <c r="M219" s="20"/>
      <c r="N219" s="20"/>
      <c r="O219" s="20"/>
      <c r="P219" s="20"/>
      <c r="Q219" s="20"/>
      <c r="R219" s="20"/>
      <c r="S219" s="20"/>
      <c r="T219" s="20"/>
      <c r="U219" s="20"/>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20"/>
      <c r="AU219" s="20"/>
      <c r="AV219" s="20"/>
      <c r="AW219" s="20"/>
      <c r="AX219" s="20"/>
      <c r="AY219" s="20"/>
      <c r="AZ219" s="20"/>
      <c r="BA219" s="20"/>
      <c r="BB219" s="20"/>
      <c r="BC219" s="20"/>
      <c r="BD219" s="6"/>
      <c r="BE219" s="6"/>
      <c r="BF219" s="6"/>
      <c r="BG219" s="6"/>
      <c r="BH219" s="6"/>
      <c r="BI219" s="6"/>
      <c r="BJ219" s="6"/>
      <c r="BK219" s="6"/>
    </row>
    <row r="220" spans="1:63" ht="11.25" customHeight="1">
      <c r="A220" s="2"/>
      <c r="B220" s="32" t="s">
        <v>248</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58"/>
      <c r="BA220" s="58"/>
      <c r="BB220" s="58"/>
      <c r="BC220" s="58"/>
      <c r="BD220" s="2"/>
      <c r="BE220" s="2"/>
      <c r="BF220" s="2"/>
      <c r="BG220" s="2"/>
      <c r="BH220" s="2"/>
      <c r="BI220" s="2"/>
      <c r="BJ220" s="2"/>
      <c r="BK220" s="2"/>
    </row>
    <row r="221" spans="1:63" s="159" customFormat="1" ht="11.25" customHeight="1">
      <c r="A221" s="6"/>
      <c r="B221" s="9" t="str">
        <f t="shared" ref="B221:B234" si="549">B173</f>
        <v>2nm</v>
      </c>
      <c r="C221" s="6"/>
      <c r="D221" s="247">
        <f t="shared" ref="D221:T221" si="550">D173/D$186</f>
        <v>0</v>
      </c>
      <c r="E221" s="247">
        <f t="shared" si="550"/>
        <v>0</v>
      </c>
      <c r="F221" s="247">
        <f t="shared" si="550"/>
        <v>0</v>
      </c>
      <c r="G221" s="247">
        <f t="shared" si="550"/>
        <v>0</v>
      </c>
      <c r="H221" s="247">
        <f t="shared" si="550"/>
        <v>0</v>
      </c>
      <c r="I221" s="247">
        <f t="shared" si="550"/>
        <v>0</v>
      </c>
      <c r="J221" s="247">
        <f t="shared" si="550"/>
        <v>0</v>
      </c>
      <c r="K221" s="247">
        <f t="shared" si="550"/>
        <v>0</v>
      </c>
      <c r="L221" s="247">
        <f t="shared" si="550"/>
        <v>0</v>
      </c>
      <c r="M221" s="247">
        <f t="shared" si="550"/>
        <v>0</v>
      </c>
      <c r="N221" s="247">
        <f t="shared" si="550"/>
        <v>0</v>
      </c>
      <c r="O221" s="247">
        <f t="shared" si="550"/>
        <v>0</v>
      </c>
      <c r="P221" s="247">
        <f t="shared" si="550"/>
        <v>0</v>
      </c>
      <c r="Q221" s="247">
        <f t="shared" si="550"/>
        <v>0</v>
      </c>
      <c r="R221" s="247">
        <f t="shared" si="550"/>
        <v>0</v>
      </c>
      <c r="S221" s="247">
        <f t="shared" si="550"/>
        <v>0</v>
      </c>
      <c r="T221" s="247">
        <f t="shared" si="550"/>
        <v>0</v>
      </c>
      <c r="U221" s="247">
        <f t="shared" ref="U221:V221" ca="1" si="551">U173/U$186</f>
        <v>0</v>
      </c>
      <c r="V221" s="248">
        <f t="shared" ca="1" si="551"/>
        <v>0</v>
      </c>
      <c r="W221" s="6"/>
      <c r="X221" s="6"/>
      <c r="Y221" s="6"/>
      <c r="Z221" s="6"/>
      <c r="AA221" s="6"/>
      <c r="AB221" s="6"/>
      <c r="AC221" s="6"/>
      <c r="AD221" s="6"/>
      <c r="AE221" s="6"/>
      <c r="AF221" s="6"/>
      <c r="AG221" s="6"/>
      <c r="AH221" s="6"/>
      <c r="AI221" s="6"/>
      <c r="AJ221" s="6"/>
      <c r="AK221" s="6"/>
      <c r="AL221" s="6"/>
      <c r="AM221" s="6"/>
      <c r="AN221" s="6"/>
      <c r="AO221" s="6"/>
      <c r="AP221" s="6"/>
      <c r="AQ221" s="6"/>
      <c r="AR221" s="6"/>
      <c r="AS221" s="248"/>
      <c r="AT221" s="248"/>
      <c r="AU221" s="248"/>
      <c r="AV221" s="248"/>
      <c r="AW221" s="248">
        <v>0</v>
      </c>
      <c r="AX221" s="247">
        <f t="shared" ref="AX221:BC233" si="552">AX173/AX$186</f>
        <v>0</v>
      </c>
      <c r="AY221" s="247">
        <f t="shared" si="552"/>
        <v>0</v>
      </c>
      <c r="AZ221" s="247">
        <f t="shared" si="552"/>
        <v>0</v>
      </c>
      <c r="BA221" s="247">
        <f t="shared" si="552"/>
        <v>0</v>
      </c>
      <c r="BB221" s="247">
        <f t="shared" si="552"/>
        <v>0</v>
      </c>
      <c r="BC221" s="247">
        <f t="shared" si="552"/>
        <v>0</v>
      </c>
      <c r="BD221" s="6"/>
      <c r="BE221" s="6"/>
      <c r="BF221" s="6"/>
      <c r="BG221" s="6"/>
      <c r="BH221" s="6"/>
      <c r="BI221" s="6"/>
      <c r="BJ221" s="6"/>
      <c r="BK221" s="6"/>
    </row>
    <row r="222" spans="1:63" s="159" customFormat="1" ht="11.25" customHeight="1">
      <c r="A222" s="6"/>
      <c r="B222" s="9" t="str">
        <f t="shared" si="549"/>
        <v>3nm</v>
      </c>
      <c r="C222" s="6"/>
      <c r="D222" s="247">
        <f t="shared" ref="D222:T222" si="553">D174/D$186</f>
        <v>0</v>
      </c>
      <c r="E222" s="247">
        <f t="shared" si="553"/>
        <v>0</v>
      </c>
      <c r="F222" s="247">
        <f t="shared" si="553"/>
        <v>0</v>
      </c>
      <c r="G222" s="247">
        <f t="shared" si="553"/>
        <v>0</v>
      </c>
      <c r="H222" s="247">
        <f t="shared" si="553"/>
        <v>0</v>
      </c>
      <c r="I222" s="247">
        <f t="shared" si="553"/>
        <v>0</v>
      </c>
      <c r="J222" s="247">
        <f t="shared" si="553"/>
        <v>0</v>
      </c>
      <c r="K222" s="247">
        <f t="shared" si="553"/>
        <v>0</v>
      </c>
      <c r="L222" s="247">
        <f t="shared" si="553"/>
        <v>0</v>
      </c>
      <c r="M222" s="247">
        <f t="shared" si="553"/>
        <v>0</v>
      </c>
      <c r="N222" s="247">
        <f t="shared" si="553"/>
        <v>0</v>
      </c>
      <c r="O222" s="247">
        <f t="shared" si="553"/>
        <v>0</v>
      </c>
      <c r="P222" s="247">
        <f t="shared" si="553"/>
        <v>0</v>
      </c>
      <c r="Q222" s="247">
        <f t="shared" si="553"/>
        <v>1.1488528670515021E-3</v>
      </c>
      <c r="R222" s="247">
        <f t="shared" si="553"/>
        <v>6.1294847402397601E-2</v>
      </c>
      <c r="S222" s="247">
        <f t="shared" si="553"/>
        <v>0.14547781298459797</v>
      </c>
      <c r="T222" s="247">
        <f t="shared" si="553"/>
        <v>8.7084161291290554E-2</v>
      </c>
      <c r="U222" s="247">
        <f t="shared" ref="U222" ca="1" si="554">U174/U$186</f>
        <v>0.15113237336966406</v>
      </c>
      <c r="V222" s="248">
        <v>0.2</v>
      </c>
      <c r="W222" s="6"/>
      <c r="X222" s="6"/>
      <c r="Y222" s="6"/>
      <c r="Z222" s="6"/>
      <c r="AA222" s="6"/>
      <c r="AB222" s="6"/>
      <c r="AC222" s="6"/>
      <c r="AD222" s="6"/>
      <c r="AE222" s="6"/>
      <c r="AF222" s="6"/>
      <c r="AG222" s="6"/>
      <c r="AH222" s="6"/>
      <c r="AI222" s="6"/>
      <c r="AJ222" s="6"/>
      <c r="AK222" s="6"/>
      <c r="AL222" s="6"/>
      <c r="AM222" s="6"/>
      <c r="AN222" s="6"/>
      <c r="AO222" s="6"/>
      <c r="AP222" s="6"/>
      <c r="AQ222" s="6"/>
      <c r="AR222" s="6"/>
      <c r="AS222" s="248"/>
      <c r="AT222" s="248"/>
      <c r="AU222" s="248"/>
      <c r="AV222" s="248"/>
      <c r="AW222" s="248">
        <v>0</v>
      </c>
      <c r="AX222" s="247">
        <f t="shared" si="552"/>
        <v>0</v>
      </c>
      <c r="AY222" s="247">
        <f t="shared" si="552"/>
        <v>0</v>
      </c>
      <c r="AZ222" s="247">
        <f t="shared" si="552"/>
        <v>0</v>
      </c>
      <c r="BA222" s="247">
        <f t="shared" si="552"/>
        <v>0</v>
      </c>
      <c r="BB222" s="247">
        <f t="shared" si="552"/>
        <v>0</v>
      </c>
      <c r="BC222" s="247">
        <f t="shared" si="552"/>
        <v>5.7394017166623963E-2</v>
      </c>
      <c r="BD222" s="6"/>
      <c r="BE222" s="6"/>
      <c r="BF222" s="6"/>
      <c r="BG222" s="6"/>
      <c r="BH222" s="6"/>
      <c r="BI222" s="6"/>
      <c r="BJ222" s="6"/>
      <c r="BK222" s="6"/>
    </row>
    <row r="223" spans="1:63" s="159" customFormat="1" ht="11.25" customHeight="1">
      <c r="A223" s="6"/>
      <c r="B223" s="9" t="str">
        <f t="shared" si="549"/>
        <v>5nm</v>
      </c>
      <c r="C223" s="6"/>
      <c r="D223" s="247">
        <f t="shared" ref="D223:T223" si="555">D175/D$186</f>
        <v>0</v>
      </c>
      <c r="E223" s="247">
        <f t="shared" si="555"/>
        <v>0</v>
      </c>
      <c r="F223" s="247">
        <f t="shared" si="555"/>
        <v>8.1598473467139138E-2</v>
      </c>
      <c r="G223" s="247">
        <f t="shared" si="555"/>
        <v>0.20671344977680542</v>
      </c>
      <c r="H223" s="247">
        <f t="shared" si="555"/>
        <v>0.14144845068470013</v>
      </c>
      <c r="I223" s="247">
        <f t="shared" si="555"/>
        <v>0.18430329660002828</v>
      </c>
      <c r="J223" s="247">
        <f t="shared" si="555"/>
        <v>0.18286632105011322</v>
      </c>
      <c r="K223" s="247">
        <f t="shared" si="555"/>
        <v>0.23022500835045445</v>
      </c>
      <c r="L223" s="247">
        <f t="shared" si="555"/>
        <v>0.19672722315964808</v>
      </c>
      <c r="M223" s="247">
        <f t="shared" si="555"/>
        <v>0.2117143661131807</v>
      </c>
      <c r="N223" s="247">
        <f t="shared" si="555"/>
        <v>0.27547243809114996</v>
      </c>
      <c r="O223" s="247">
        <f t="shared" si="555"/>
        <v>0.32175428291743158</v>
      </c>
      <c r="P223" s="247">
        <f t="shared" si="555"/>
        <v>0.31066188172361298</v>
      </c>
      <c r="Q223" s="247">
        <f t="shared" si="555"/>
        <v>0.30359433716691453</v>
      </c>
      <c r="R223" s="247">
        <f t="shared" si="555"/>
        <v>0.3661144011109127</v>
      </c>
      <c r="S223" s="247">
        <f t="shared" si="555"/>
        <v>0.34995075338316434</v>
      </c>
      <c r="T223" s="247">
        <f t="shared" si="555"/>
        <v>0.36538965465657003</v>
      </c>
      <c r="U223" s="247">
        <f t="shared" ref="U223" ca="1" si="556">U175/U$186</f>
        <v>0.35148147236261756</v>
      </c>
      <c r="V223" s="248">
        <v>0.32</v>
      </c>
      <c r="W223" s="6"/>
      <c r="X223" s="6"/>
      <c r="Y223" s="6"/>
      <c r="Z223" s="6"/>
      <c r="AA223" s="6"/>
      <c r="AB223" s="6"/>
      <c r="AC223" s="6"/>
      <c r="AD223" s="6"/>
      <c r="AE223" s="6"/>
      <c r="AF223" s="6"/>
      <c r="AG223" s="6"/>
      <c r="AH223" s="6"/>
      <c r="AI223" s="6"/>
      <c r="AJ223" s="6"/>
      <c r="AK223" s="6"/>
      <c r="AL223" s="6"/>
      <c r="AM223" s="6"/>
      <c r="AN223" s="6"/>
      <c r="AO223" s="6"/>
      <c r="AP223" s="6"/>
      <c r="AQ223" s="6"/>
      <c r="AR223" s="6"/>
      <c r="AS223" s="248"/>
      <c r="AT223" s="248"/>
      <c r="AU223" s="248"/>
      <c r="AV223" s="248"/>
      <c r="AW223" s="248">
        <v>0</v>
      </c>
      <c r="AX223" s="247">
        <f t="shared" si="552"/>
        <v>0</v>
      </c>
      <c r="AY223" s="247">
        <f t="shared" si="552"/>
        <v>0</v>
      </c>
      <c r="AZ223" s="247">
        <f t="shared" si="552"/>
        <v>7.7164072255738236E-2</v>
      </c>
      <c r="BA223" s="247">
        <f t="shared" si="552"/>
        <v>0.18666997369892346</v>
      </c>
      <c r="BB223" s="247">
        <f t="shared" si="552"/>
        <v>0.25538487447656771</v>
      </c>
      <c r="BC223" s="247">
        <f t="shared" si="552"/>
        <v>0.33428650363878576</v>
      </c>
      <c r="BD223" s="6"/>
      <c r="BE223" s="6"/>
      <c r="BF223" s="6"/>
      <c r="BG223" s="6"/>
      <c r="BH223" s="6"/>
      <c r="BI223" s="6"/>
      <c r="BJ223" s="6"/>
      <c r="BK223" s="6"/>
    </row>
    <row r="224" spans="1:63" s="159" customFormat="1" ht="11.25" customHeight="1">
      <c r="A224" s="6"/>
      <c r="B224" s="9" t="str">
        <f t="shared" si="549"/>
        <v>7/10nm</v>
      </c>
      <c r="C224" s="6"/>
      <c r="D224" s="247">
        <f t="shared" ref="D224:T224" si="557">D176/D$186</f>
        <v>0.35702973724126852</v>
      </c>
      <c r="E224" s="247">
        <f t="shared" si="557"/>
        <v>0.36669417302628643</v>
      </c>
      <c r="F224" s="247">
        <f t="shared" si="557"/>
        <v>0.34811488794274736</v>
      </c>
      <c r="G224" s="247">
        <f t="shared" si="557"/>
        <v>0.28608999836977517</v>
      </c>
      <c r="H224" s="247">
        <f t="shared" si="557"/>
        <v>0.34569923745626036</v>
      </c>
      <c r="I224" s="247">
        <f t="shared" si="557"/>
        <v>0.30571371214409881</v>
      </c>
      <c r="J224" s="247">
        <f t="shared" si="557"/>
        <v>0.33502212187029873</v>
      </c>
      <c r="K224" s="247">
        <f t="shared" si="557"/>
        <v>0.27401581414374609</v>
      </c>
      <c r="L224" s="247">
        <f t="shared" si="557"/>
        <v>0.30168071803905916</v>
      </c>
      <c r="M224" s="247">
        <f t="shared" si="557"/>
        <v>0.30041002646768938</v>
      </c>
      <c r="N224" s="247">
        <f t="shared" si="557"/>
        <v>0.26315079379305173</v>
      </c>
      <c r="O224" s="247">
        <f t="shared" si="557"/>
        <v>0.21920721537566409</v>
      </c>
      <c r="P224" s="247">
        <f t="shared" si="557"/>
        <v>0.19816360081792145</v>
      </c>
      <c r="Q224" s="247">
        <f t="shared" si="557"/>
        <v>0.23084551597496047</v>
      </c>
      <c r="R224" s="247">
        <f t="shared" si="557"/>
        <v>0.1654850774393507</v>
      </c>
      <c r="S224" s="247">
        <f t="shared" si="557"/>
        <v>0.17209612955752657</v>
      </c>
      <c r="T224" s="247">
        <f t="shared" si="557"/>
        <v>0.19235518230283039</v>
      </c>
      <c r="U224" s="247">
        <f t="shared" ref="U224" ca="1" si="558">U176/U$186</f>
        <v>0.16957355404601585</v>
      </c>
      <c r="V224" s="248">
        <v>0.17</v>
      </c>
      <c r="W224" s="6"/>
      <c r="X224" s="6"/>
      <c r="Y224" s="6"/>
      <c r="Z224" s="6"/>
      <c r="AA224" s="6"/>
      <c r="AB224" s="6"/>
      <c r="AC224" s="6"/>
      <c r="AD224" s="6"/>
      <c r="AE224" s="6"/>
      <c r="AF224" s="6"/>
      <c r="AG224" s="6"/>
      <c r="AH224" s="6"/>
      <c r="AI224" s="6"/>
      <c r="AJ224" s="6"/>
      <c r="AK224" s="6"/>
      <c r="AL224" s="6"/>
      <c r="AM224" s="6"/>
      <c r="AN224" s="6"/>
      <c r="AO224" s="6"/>
      <c r="AP224" s="6"/>
      <c r="AQ224" s="6"/>
      <c r="AR224" s="6"/>
      <c r="AS224" s="248"/>
      <c r="AT224" s="248"/>
      <c r="AU224" s="248"/>
      <c r="AV224" s="248"/>
      <c r="AW224" s="248">
        <v>0.1</v>
      </c>
      <c r="AX224" s="247">
        <f t="shared" si="552"/>
        <v>0.19606160965654859</v>
      </c>
      <c r="AY224" s="247">
        <f t="shared" si="552"/>
        <v>0.29419755136232761</v>
      </c>
      <c r="AZ224" s="247">
        <f t="shared" si="552"/>
        <v>0.33793372238258679</v>
      </c>
      <c r="BA224" s="247">
        <f t="shared" si="552"/>
        <v>0.3138425982501748</v>
      </c>
      <c r="BB224" s="247">
        <f t="shared" si="552"/>
        <v>0.2686834029368691</v>
      </c>
      <c r="BC224" s="247">
        <f t="shared" si="552"/>
        <v>0.18978340808285887</v>
      </c>
      <c r="BD224" s="6"/>
      <c r="BE224" s="6"/>
      <c r="BF224" s="6"/>
      <c r="BG224" s="6"/>
      <c r="BH224" s="6"/>
      <c r="BI224" s="6"/>
      <c r="BJ224" s="6"/>
      <c r="BK224" s="6"/>
    </row>
    <row r="225" spans="1:63" s="159" customFormat="1" ht="11.25" customHeight="1">
      <c r="A225" s="6"/>
      <c r="B225" s="9" t="str">
        <f t="shared" si="549"/>
        <v>16nm</v>
      </c>
      <c r="C225" s="6"/>
      <c r="D225" s="247">
        <f t="shared" ref="D225:T225" si="559">D177/D$186</f>
        <v>0.18928516320857974</v>
      </c>
      <c r="E225" s="247">
        <f t="shared" si="559"/>
        <v>0.17692696378644523</v>
      </c>
      <c r="F225" s="247">
        <f t="shared" si="559"/>
        <v>0.17604477131362634</v>
      </c>
      <c r="G225" s="247">
        <f t="shared" si="559"/>
        <v>0.13368354782550904</v>
      </c>
      <c r="H225" s="247">
        <f t="shared" si="559"/>
        <v>0.14050071333888642</v>
      </c>
      <c r="I225" s="247">
        <f t="shared" si="559"/>
        <v>0.13657041731512443</v>
      </c>
      <c r="J225" s="247">
        <f t="shared" si="559"/>
        <v>0.13336587743677641</v>
      </c>
      <c r="K225" s="247">
        <f t="shared" si="559"/>
        <v>0.13408082964466103</v>
      </c>
      <c r="L225" s="247">
        <f t="shared" si="559"/>
        <v>0.13876525134119461</v>
      </c>
      <c r="M225" s="247">
        <f t="shared" si="559"/>
        <v>0.13552053756167773</v>
      </c>
      <c r="N225" s="247">
        <f t="shared" si="559"/>
        <v>0.12272939524406812</v>
      </c>
      <c r="O225" s="247">
        <f t="shared" si="559"/>
        <v>0.12452620542294145</v>
      </c>
      <c r="P225" s="247">
        <f t="shared" si="559"/>
        <v>0.1284978873135228</v>
      </c>
      <c r="Q225" s="247">
        <f t="shared" si="559"/>
        <v>0.10605033241003527</v>
      </c>
      <c r="R225" s="247">
        <f t="shared" si="559"/>
        <v>9.4010002132030382E-2</v>
      </c>
      <c r="S225" s="247">
        <f t="shared" si="559"/>
        <v>8.2524874914511603E-2</v>
      </c>
      <c r="T225" s="247">
        <f t="shared" si="559"/>
        <v>9.2876973221597769E-2</v>
      </c>
      <c r="U225" s="247">
        <f t="shared" ref="U225" ca="1" si="560">U177/U$186</f>
        <v>8.8355375720627682E-2</v>
      </c>
      <c r="V225" s="248">
        <v>0.08</v>
      </c>
      <c r="W225" s="6"/>
      <c r="X225" s="6"/>
      <c r="Y225" s="6"/>
      <c r="Z225" s="6"/>
      <c r="AA225" s="6"/>
      <c r="AB225" s="6"/>
      <c r="AC225" s="6"/>
      <c r="AD225" s="6"/>
      <c r="AE225" s="6"/>
      <c r="AF225" s="6"/>
      <c r="AG225" s="6"/>
      <c r="AH225" s="6"/>
      <c r="AI225" s="6"/>
      <c r="AJ225" s="6"/>
      <c r="AK225" s="6"/>
      <c r="AL225" s="6"/>
      <c r="AM225" s="6"/>
      <c r="AN225" s="6"/>
      <c r="AO225" s="6"/>
      <c r="AP225" s="6"/>
      <c r="AQ225" s="6"/>
      <c r="AR225" s="6"/>
      <c r="AS225" s="248"/>
      <c r="AT225" s="248"/>
      <c r="AU225" s="648"/>
      <c r="AV225" s="648"/>
      <c r="AW225" s="648">
        <f>25%-AW226</f>
        <v>0.2</v>
      </c>
      <c r="AX225" s="247">
        <f t="shared" si="552"/>
        <v>0.20560881662861547</v>
      </c>
      <c r="AY225" s="247">
        <f t="shared" si="552"/>
        <v>0.20133437360863105</v>
      </c>
      <c r="AZ225" s="247">
        <f t="shared" si="552"/>
        <v>0.16798162777483044</v>
      </c>
      <c r="BA225" s="247">
        <f t="shared" si="552"/>
        <v>0.1359559545179139</v>
      </c>
      <c r="BB225" s="247">
        <f t="shared" si="552"/>
        <v>0.12980068884469384</v>
      </c>
      <c r="BC225" s="247">
        <f t="shared" si="552"/>
        <v>0.10162243594494455</v>
      </c>
      <c r="BD225" s="6"/>
      <c r="BE225" s="6"/>
      <c r="BF225" s="6"/>
      <c r="BG225" s="6"/>
      <c r="BH225" s="6"/>
      <c r="BI225" s="6"/>
      <c r="BJ225" s="6"/>
      <c r="BK225" s="6"/>
    </row>
    <row r="226" spans="1:63" s="159" customFormat="1" ht="11.25" customHeight="1">
      <c r="A226" s="6"/>
      <c r="B226" s="9" t="str">
        <f t="shared" si="549"/>
        <v>20nm</v>
      </c>
      <c r="C226" s="6"/>
      <c r="D226" s="247">
        <f t="shared" ref="D226:T226" si="561">D178/D$186</f>
        <v>6.8204280590483165E-3</v>
      </c>
      <c r="E226" s="247">
        <f t="shared" si="561"/>
        <v>8.1495236410186883E-3</v>
      </c>
      <c r="F226" s="247">
        <f t="shared" si="561"/>
        <v>7.6314733392130775E-3</v>
      </c>
      <c r="G226" s="247">
        <f t="shared" si="561"/>
        <v>6.1557022995010107E-3</v>
      </c>
      <c r="H226" s="247">
        <f t="shared" si="561"/>
        <v>3.7256011258221225E-3</v>
      </c>
      <c r="I226" s="247">
        <f t="shared" si="561"/>
        <v>4.0041390855638931E-3</v>
      </c>
      <c r="J226" s="247">
        <f t="shared" si="561"/>
        <v>3.2881036031754633E-3</v>
      </c>
      <c r="K226" s="247">
        <f t="shared" si="561"/>
        <v>5.0270470008547136E-3</v>
      </c>
      <c r="L226" s="247">
        <f t="shared" si="561"/>
        <v>4.9117293411650321E-3</v>
      </c>
      <c r="M226" s="247">
        <f t="shared" si="561"/>
        <v>4.4766876756848657E-3</v>
      </c>
      <c r="N226" s="247">
        <f t="shared" si="561"/>
        <v>3.9329417597231998E-3</v>
      </c>
      <c r="O226" s="247">
        <f t="shared" si="561"/>
        <v>4.5498143155503455E-3</v>
      </c>
      <c r="P226" s="247">
        <f t="shared" si="561"/>
        <v>6.9615923470588148E-3</v>
      </c>
      <c r="Q226" s="247">
        <f t="shared" si="561"/>
        <v>6.650943929612481E-3</v>
      </c>
      <c r="R226" s="247">
        <f t="shared" si="561"/>
        <v>5.8951856923888926E-3</v>
      </c>
      <c r="S226" s="247">
        <f t="shared" si="561"/>
        <v>3.0527027169878892E-3</v>
      </c>
      <c r="T226" s="247">
        <f t="shared" si="561"/>
        <v>2.6811709547170373E-3</v>
      </c>
      <c r="U226" s="247">
        <f t="shared" ref="U226" ca="1" si="562">U178/U$186</f>
        <v>1.8064720246668202E-3</v>
      </c>
      <c r="V226" s="248">
        <v>0</v>
      </c>
      <c r="W226" s="6"/>
      <c r="X226" s="6"/>
      <c r="Y226" s="6"/>
      <c r="Z226" s="6"/>
      <c r="AA226" s="6"/>
      <c r="AB226" s="6"/>
      <c r="AC226" s="6"/>
      <c r="AD226" s="6"/>
      <c r="AE226" s="6"/>
      <c r="AF226" s="6"/>
      <c r="AG226" s="6"/>
      <c r="AH226" s="6"/>
      <c r="AI226" s="6"/>
      <c r="AJ226" s="6"/>
      <c r="AK226" s="6"/>
      <c r="AL226" s="6"/>
      <c r="AM226" s="6"/>
      <c r="AN226" s="6"/>
      <c r="AO226" s="6"/>
      <c r="AP226" s="6"/>
      <c r="AQ226" s="6"/>
      <c r="AR226" s="6"/>
      <c r="AS226" s="248"/>
      <c r="AT226" s="248"/>
      <c r="AU226" s="648"/>
      <c r="AV226" s="648"/>
      <c r="AW226" s="648">
        <v>0.05</v>
      </c>
      <c r="AX226" s="247">
        <f t="shared" si="552"/>
        <v>2.591743688774336E-2</v>
      </c>
      <c r="AY226" s="247">
        <f t="shared" si="552"/>
        <v>1.0283244446700751E-2</v>
      </c>
      <c r="AZ226" s="247">
        <f t="shared" si="552"/>
        <v>7.1711315842772887E-3</v>
      </c>
      <c r="BA226" s="247">
        <f t="shared" si="552"/>
        <v>4.0338368311126057E-3</v>
      </c>
      <c r="BB226" s="247">
        <f t="shared" si="552"/>
        <v>4.444744617869696E-3</v>
      </c>
      <c r="BC226" s="247">
        <f t="shared" si="552"/>
        <v>5.5027583055138564E-3</v>
      </c>
      <c r="BD226" s="6"/>
      <c r="BE226" s="6"/>
      <c r="BF226" s="6"/>
      <c r="BG226" s="6"/>
      <c r="BH226" s="6"/>
      <c r="BI226" s="6"/>
      <c r="BJ226" s="6"/>
      <c r="BK226" s="6"/>
    </row>
    <row r="227" spans="1:63" s="159" customFormat="1" ht="11.25" customHeight="1">
      <c r="A227" s="6"/>
      <c r="B227" s="9" t="str">
        <f t="shared" si="549"/>
        <v>28nm</v>
      </c>
      <c r="C227" s="6"/>
      <c r="D227" s="247">
        <f t="shared" ref="D227:T227" si="563">D179/D$186</f>
        <v>0.13988581004429335</v>
      </c>
      <c r="E227" s="247">
        <f t="shared" si="563"/>
        <v>0.13976882743905031</v>
      </c>
      <c r="F227" s="247">
        <f t="shared" si="563"/>
        <v>0.11904128641409162</v>
      </c>
      <c r="G227" s="247">
        <f t="shared" si="563"/>
        <v>0.11178284330318201</v>
      </c>
      <c r="H227" s="247">
        <f t="shared" si="563"/>
        <v>0.11369714546853914</v>
      </c>
      <c r="I227" s="247">
        <f t="shared" si="563"/>
        <v>0.11300653874316016</v>
      </c>
      <c r="J227" s="247">
        <f t="shared" si="563"/>
        <v>0.10311073804815793</v>
      </c>
      <c r="K227" s="247">
        <f t="shared" si="563"/>
        <v>0.10691966465858603</v>
      </c>
      <c r="L227" s="247">
        <f t="shared" si="563"/>
        <v>0.1081694474797895</v>
      </c>
      <c r="M227" s="247">
        <f t="shared" si="563"/>
        <v>0.10410878813197084</v>
      </c>
      <c r="N227" s="247">
        <f t="shared" si="563"/>
        <v>9.7853850622180674E-2</v>
      </c>
      <c r="O227" s="247">
        <f t="shared" si="563"/>
        <v>0.10567250172653851</v>
      </c>
      <c r="P227" s="247">
        <f t="shared" si="563"/>
        <v>0.1160995243563088</v>
      </c>
      <c r="Q227" s="247">
        <f t="shared" si="563"/>
        <v>0.11303063664568365</v>
      </c>
      <c r="R227" s="247">
        <f t="shared" si="563"/>
        <v>9.9805379637392555E-2</v>
      </c>
      <c r="S227" s="247">
        <f t="shared" si="563"/>
        <v>7.4188137780109881E-2</v>
      </c>
      <c r="T227" s="247">
        <f t="shared" si="563"/>
        <v>8.2428755847291535E-2</v>
      </c>
      <c r="U227" s="247">
        <f t="shared" ref="U227" ca="1" si="564">U179/U$186</f>
        <v>8.4793813611692553E-2</v>
      </c>
      <c r="V227" s="248">
        <v>7.0000000000000007E-2</v>
      </c>
      <c r="W227" s="6"/>
      <c r="X227" s="6"/>
      <c r="Y227" s="6"/>
      <c r="Z227" s="6"/>
      <c r="AA227" s="6"/>
      <c r="AB227" s="6"/>
      <c r="AC227" s="6"/>
      <c r="AD227" s="6"/>
      <c r="AE227" s="6"/>
      <c r="AF227" s="6"/>
      <c r="AG227" s="6"/>
      <c r="AH227" s="6"/>
      <c r="AI227" s="6"/>
      <c r="AJ227" s="6"/>
      <c r="AK227" s="6"/>
      <c r="AL227" s="6"/>
      <c r="AM227" s="6"/>
      <c r="AN227" s="6"/>
      <c r="AO227" s="6"/>
      <c r="AP227" s="6"/>
      <c r="AQ227" s="6"/>
      <c r="AR227" s="6"/>
      <c r="AS227" s="248"/>
      <c r="AT227" s="248"/>
      <c r="AU227" s="248"/>
      <c r="AV227" s="248"/>
      <c r="AW227" s="248">
        <v>0.23</v>
      </c>
      <c r="AX227" s="247">
        <f t="shared" si="552"/>
        <v>0.19580940191263621</v>
      </c>
      <c r="AY227" s="247">
        <f t="shared" si="552"/>
        <v>0.16130262076806545</v>
      </c>
      <c r="AZ227" s="247">
        <f t="shared" si="552"/>
        <v>0.12674863923440624</v>
      </c>
      <c r="BA227" s="247">
        <f t="shared" si="552"/>
        <v>0.10892089465921564</v>
      </c>
      <c r="BB227" s="247">
        <f t="shared" si="552"/>
        <v>0.10372836213943334</v>
      </c>
      <c r="BC227" s="247">
        <f t="shared" si="552"/>
        <v>9.9295150461450016E-2</v>
      </c>
      <c r="BD227" s="6"/>
      <c r="BE227" s="6"/>
      <c r="BF227" s="6"/>
      <c r="BG227" s="6"/>
      <c r="BH227" s="6"/>
      <c r="BI227" s="6"/>
      <c r="BJ227" s="6"/>
      <c r="BK227" s="6"/>
    </row>
    <row r="228" spans="1:63" s="159" customFormat="1" ht="11.25" customHeight="1">
      <c r="A228" s="6"/>
      <c r="B228" s="9" t="str">
        <f t="shared" si="549"/>
        <v>40/45nm</v>
      </c>
      <c r="C228" s="6"/>
      <c r="D228" s="247">
        <f t="shared" ref="D228:T228" si="565">D180/D$186</f>
        <v>9.6058428341559088E-2</v>
      </c>
      <c r="E228" s="247">
        <f t="shared" si="565"/>
        <v>9.4624988780667121E-2</v>
      </c>
      <c r="F228" s="247">
        <f t="shared" si="565"/>
        <v>8.32731251015736E-2</v>
      </c>
      <c r="G228" s="247">
        <f t="shared" si="565"/>
        <v>7.8334073386332664E-2</v>
      </c>
      <c r="H228" s="247">
        <f t="shared" si="565"/>
        <v>7.191613098027258E-2</v>
      </c>
      <c r="I228" s="247">
        <f t="shared" si="565"/>
        <v>7.109770404544262E-2</v>
      </c>
      <c r="J228" s="247">
        <f t="shared" si="565"/>
        <v>7.4407884690324139E-2</v>
      </c>
      <c r="K228" s="247">
        <f t="shared" si="565"/>
        <v>7.6358795682754957E-2</v>
      </c>
      <c r="L228" s="247">
        <f t="shared" si="565"/>
        <v>7.7581210243826554E-2</v>
      </c>
      <c r="M228" s="247">
        <f t="shared" si="565"/>
        <v>7.6592497068143112E-2</v>
      </c>
      <c r="N228" s="247">
        <f t="shared" si="565"/>
        <v>7.0074854850720514E-2</v>
      </c>
      <c r="O228" s="247">
        <f t="shared" si="565"/>
        <v>6.9281321144945757E-2</v>
      </c>
      <c r="P228" s="247">
        <f t="shared" si="565"/>
        <v>7.2775069334991713E-2</v>
      </c>
      <c r="Q228" s="247">
        <f t="shared" si="565"/>
        <v>7.0154182201480966E-2</v>
      </c>
      <c r="R228" s="247">
        <f t="shared" si="565"/>
        <v>6.218775575874351E-2</v>
      </c>
      <c r="S228" s="247">
        <f t="shared" si="565"/>
        <v>4.2738917546617079E-2</v>
      </c>
      <c r="T228" s="247">
        <f t="shared" si="565"/>
        <v>5.1953652744997435E-2</v>
      </c>
      <c r="U228" s="247">
        <f t="shared" ref="U228" ca="1" si="566">U180/U$186</f>
        <v>4.626668508428694E-2</v>
      </c>
      <c r="V228" s="248">
        <v>0.04</v>
      </c>
      <c r="W228" s="6"/>
      <c r="X228" s="6"/>
      <c r="Y228" s="6"/>
      <c r="Z228" s="6"/>
      <c r="AA228" s="6"/>
      <c r="AB228" s="6"/>
      <c r="AC228" s="6"/>
      <c r="AD228" s="6"/>
      <c r="AE228" s="6"/>
      <c r="AF228" s="6"/>
      <c r="AG228" s="6"/>
      <c r="AH228" s="6"/>
      <c r="AI228" s="6"/>
      <c r="AJ228" s="6"/>
      <c r="AK228" s="6"/>
      <c r="AL228" s="6"/>
      <c r="AM228" s="6"/>
      <c r="AN228" s="6"/>
      <c r="AO228" s="6"/>
      <c r="AP228" s="6"/>
      <c r="AQ228" s="6"/>
      <c r="AR228" s="6"/>
      <c r="AS228" s="248"/>
      <c r="AT228" s="248"/>
      <c r="AU228" s="248"/>
      <c r="AV228" s="248"/>
      <c r="AW228" s="248">
        <v>0.12</v>
      </c>
      <c r="AX228" s="247">
        <f t="shared" si="552"/>
        <v>0.11171010992862909</v>
      </c>
      <c r="AY228" s="247">
        <f t="shared" si="552"/>
        <v>0.1006842855893031</v>
      </c>
      <c r="AZ228" s="247">
        <f t="shared" si="552"/>
        <v>8.7552287143708024E-2</v>
      </c>
      <c r="BA228" s="247">
        <f t="shared" si="552"/>
        <v>7.3588286423110924E-2</v>
      </c>
      <c r="BB228" s="247">
        <f t="shared" si="552"/>
        <v>7.3070667193183295E-2</v>
      </c>
      <c r="BC228" s="247">
        <f t="shared" si="552"/>
        <v>6.0911691217329506E-2</v>
      </c>
      <c r="BD228" s="6"/>
      <c r="BE228" s="6"/>
      <c r="BF228" s="6"/>
      <c r="BG228" s="6"/>
      <c r="BH228" s="6"/>
      <c r="BI228" s="6"/>
      <c r="BJ228" s="6"/>
      <c r="BK228" s="6"/>
    </row>
    <row r="229" spans="1:63" s="159" customFormat="1" ht="11.25" customHeight="1">
      <c r="A229" s="6"/>
      <c r="B229" s="9" t="str">
        <f t="shared" si="549"/>
        <v>65nm</v>
      </c>
      <c r="C229" s="6"/>
      <c r="D229" s="247">
        <f t="shared" ref="D229:T229" si="567">D181/D$186</f>
        <v>5.8841203983605185E-2</v>
      </c>
      <c r="E229" s="247">
        <f t="shared" si="567"/>
        <v>5.6579781416338758E-2</v>
      </c>
      <c r="F229" s="247">
        <f t="shared" si="567"/>
        <v>4.7968666183762457E-2</v>
      </c>
      <c r="G229" s="247">
        <f t="shared" si="567"/>
        <v>4.5979402675245244E-2</v>
      </c>
      <c r="H229" s="247">
        <f t="shared" si="567"/>
        <v>4.8448282633033697E-2</v>
      </c>
      <c r="I229" s="247">
        <f t="shared" si="567"/>
        <v>4.9201486600983071E-2</v>
      </c>
      <c r="J229" s="247">
        <f t="shared" si="567"/>
        <v>4.4233186181331173E-2</v>
      </c>
      <c r="K229" s="247">
        <f t="shared" si="567"/>
        <v>4.7606861162427717E-2</v>
      </c>
      <c r="L229" s="247">
        <f t="shared" si="567"/>
        <v>4.8301711955731678E-2</v>
      </c>
      <c r="M229" s="247">
        <f t="shared" si="567"/>
        <v>4.7370272821414351E-2</v>
      </c>
      <c r="N229" s="247">
        <f t="shared" si="567"/>
        <v>4.6905498938846699E-2</v>
      </c>
      <c r="O229" s="247">
        <f t="shared" si="567"/>
        <v>4.5092592870769492E-2</v>
      </c>
      <c r="P229" s="247">
        <f t="shared" si="567"/>
        <v>6.1175568234475841E-2</v>
      </c>
      <c r="Q229" s="247">
        <f t="shared" si="567"/>
        <v>6.6489132310506793E-2</v>
      </c>
      <c r="R229" s="247">
        <f t="shared" si="567"/>
        <v>5.5648538465188038E-2</v>
      </c>
      <c r="S229" s="247">
        <f t="shared" si="567"/>
        <v>4.7544814747209889E-2</v>
      </c>
      <c r="T229" s="247">
        <f t="shared" si="567"/>
        <v>4.0768600283752163E-2</v>
      </c>
      <c r="U229" s="247">
        <f t="shared" ref="U229" ca="1" si="568">U181/U$186</f>
        <v>3.4764900787873185E-2</v>
      </c>
      <c r="V229" s="248">
        <v>0.04</v>
      </c>
      <c r="W229" s="6"/>
      <c r="X229" s="6"/>
      <c r="Y229" s="6"/>
      <c r="Z229" s="6"/>
      <c r="AA229" s="6"/>
      <c r="AB229" s="6"/>
      <c r="AC229" s="6"/>
      <c r="AD229" s="6"/>
      <c r="AE229" s="6"/>
      <c r="AF229" s="6"/>
      <c r="AG229" s="6"/>
      <c r="AH229" s="6"/>
      <c r="AI229" s="6"/>
      <c r="AJ229" s="6"/>
      <c r="AK229" s="6"/>
      <c r="AL229" s="6"/>
      <c r="AM229" s="6"/>
      <c r="AN229" s="6"/>
      <c r="AO229" s="6"/>
      <c r="AP229" s="6"/>
      <c r="AQ229" s="6"/>
      <c r="AR229" s="6"/>
      <c r="AS229" s="248"/>
      <c r="AT229" s="248"/>
      <c r="AU229" s="248"/>
      <c r="AV229" s="248"/>
      <c r="AW229" s="248">
        <v>0.1</v>
      </c>
      <c r="AX229" s="247">
        <f t="shared" si="552"/>
        <v>8.3531836630920647E-2</v>
      </c>
      <c r="AY229" s="247">
        <f t="shared" si="552"/>
        <v>7.4677787410450405E-2</v>
      </c>
      <c r="AZ229" s="247">
        <f t="shared" si="552"/>
        <v>5.1954979071166599E-2</v>
      </c>
      <c r="BA229" s="247">
        <f t="shared" si="552"/>
        <v>4.7298007605240111E-2</v>
      </c>
      <c r="BB229" s="247">
        <f t="shared" si="552"/>
        <v>4.6835020444377533E-2</v>
      </c>
      <c r="BC229" s="247">
        <f t="shared" si="552"/>
        <v>5.7064737460582576E-2</v>
      </c>
      <c r="BD229" s="6"/>
      <c r="BE229" s="6"/>
      <c r="BF229" s="6"/>
      <c r="BG229" s="6"/>
      <c r="BH229" s="6"/>
      <c r="BI229" s="6"/>
      <c r="BJ229" s="6"/>
      <c r="BK229" s="6"/>
    </row>
    <row r="230" spans="1:63" s="159" customFormat="1" ht="11.25" customHeight="1">
      <c r="A230" s="6"/>
      <c r="B230" s="9" t="str">
        <f t="shared" si="549"/>
        <v>90nm</v>
      </c>
      <c r="C230" s="6"/>
      <c r="D230" s="247">
        <f t="shared" ref="D230:T230" si="569">D182/D$186</f>
        <v>2.8240288272314357E-2</v>
      </c>
      <c r="E230" s="247">
        <f t="shared" si="569"/>
        <v>2.7710184916763358E-2</v>
      </c>
      <c r="F230" s="247">
        <f t="shared" si="569"/>
        <v>2.4231741072575842E-2</v>
      </c>
      <c r="G230" s="247">
        <f t="shared" si="569"/>
        <v>2.0350981216040055E-2</v>
      </c>
      <c r="H230" s="247">
        <f t="shared" si="569"/>
        <v>2.7054854604298111E-2</v>
      </c>
      <c r="I230" s="247">
        <f t="shared" si="569"/>
        <v>2.7202183576968717E-2</v>
      </c>
      <c r="J230" s="247">
        <f t="shared" si="569"/>
        <v>1.9120561026529884E-2</v>
      </c>
      <c r="K230" s="247">
        <f t="shared" si="569"/>
        <v>1.9506264039479707E-2</v>
      </c>
      <c r="L230" s="247">
        <f t="shared" si="569"/>
        <v>2.1121112124961913E-2</v>
      </c>
      <c r="M230" s="247">
        <f t="shared" si="569"/>
        <v>2.2098040406751056E-2</v>
      </c>
      <c r="N230" s="247">
        <f t="shared" si="569"/>
        <v>2.0938593309440038E-2</v>
      </c>
      <c r="O230" s="247">
        <f t="shared" si="569"/>
        <v>1.6928759631956544E-2</v>
      </c>
      <c r="P230" s="247">
        <f t="shared" si="569"/>
        <v>1.817854987134266E-2</v>
      </c>
      <c r="Q230" s="247">
        <f t="shared" si="569"/>
        <v>1.7563393106719866E-2</v>
      </c>
      <c r="R230" s="247">
        <f t="shared" si="569"/>
        <v>1.0664018458567924E-2</v>
      </c>
      <c r="S230" s="247">
        <f t="shared" si="569"/>
        <v>9.3540177018221187E-3</v>
      </c>
      <c r="T230" s="247">
        <f t="shared" si="569"/>
        <v>1.056586128375901E-2</v>
      </c>
      <c r="U230" s="247">
        <f t="shared" ref="U230" ca="1" si="570">U182/U$186</f>
        <v>9.3772527608065332E-3</v>
      </c>
      <c r="V230" s="248">
        <v>0.01</v>
      </c>
      <c r="W230" s="6"/>
      <c r="X230" s="6"/>
      <c r="Y230" s="6"/>
      <c r="Z230" s="6"/>
      <c r="AA230" s="6"/>
      <c r="AB230" s="6"/>
      <c r="AC230" s="6"/>
      <c r="AD230" s="6"/>
      <c r="AE230" s="6"/>
      <c r="AF230" s="6"/>
      <c r="AG230" s="6"/>
      <c r="AH230" s="6"/>
      <c r="AI230" s="6"/>
      <c r="AJ230" s="6"/>
      <c r="AK230" s="6"/>
      <c r="AL230" s="6"/>
      <c r="AM230" s="6"/>
      <c r="AN230" s="6"/>
      <c r="AO230" s="6"/>
      <c r="AP230" s="6"/>
      <c r="AQ230" s="6"/>
      <c r="AR230" s="6"/>
      <c r="AS230" s="248"/>
      <c r="AT230" s="248"/>
      <c r="AU230" s="248"/>
      <c r="AV230" s="248"/>
      <c r="AW230" s="248">
        <v>0.04</v>
      </c>
      <c r="AX230" s="247">
        <f t="shared" si="552"/>
        <v>4.0219694106010943E-2</v>
      </c>
      <c r="AY230" s="247">
        <f t="shared" si="552"/>
        <v>2.7632666392327653E-2</v>
      </c>
      <c r="AZ230" s="247">
        <f t="shared" si="552"/>
        <v>2.4931224580107943E-2</v>
      </c>
      <c r="BA230" s="247">
        <f t="shared" si="552"/>
        <v>2.2956152944545824E-2</v>
      </c>
      <c r="BB230" s="247">
        <f t="shared" si="552"/>
        <v>2.0174234517572769E-2</v>
      </c>
      <c r="BC230" s="247">
        <f t="shared" si="552"/>
        <v>1.3621122831394002E-2</v>
      </c>
      <c r="BD230" s="6"/>
      <c r="BE230" s="6"/>
      <c r="BF230" s="6"/>
      <c r="BG230" s="6"/>
      <c r="BH230" s="6"/>
      <c r="BI230" s="6"/>
      <c r="BJ230" s="6"/>
      <c r="BK230" s="6"/>
    </row>
    <row r="231" spans="1:63" s="159" customFormat="1" ht="11.25" customHeight="1">
      <c r="A231" s="6"/>
      <c r="B231" s="9" t="str">
        <f t="shared" si="549"/>
        <v>0.11/0.13um</v>
      </c>
      <c r="C231" s="6"/>
      <c r="D231" s="247">
        <f t="shared" ref="D231:T231" si="571">D183/D$186</f>
        <v>2.5851035744504768E-2</v>
      </c>
      <c r="E231" s="247">
        <f t="shared" si="571"/>
        <v>2.7516556756857092E-2</v>
      </c>
      <c r="F231" s="247">
        <f t="shared" si="571"/>
        <v>2.6375866701506871E-2</v>
      </c>
      <c r="G231" s="247">
        <f t="shared" si="571"/>
        <v>3.2544656172163948E-2</v>
      </c>
      <c r="H231" s="247">
        <f t="shared" si="571"/>
        <v>2.6971207098200715E-2</v>
      </c>
      <c r="I231" s="247">
        <f t="shared" si="571"/>
        <v>2.8034512660475411E-2</v>
      </c>
      <c r="J231" s="247">
        <f t="shared" si="571"/>
        <v>2.836652458122137E-2</v>
      </c>
      <c r="K231" s="247">
        <f t="shared" si="571"/>
        <v>3.1628435615783976E-2</v>
      </c>
      <c r="L231" s="247">
        <f t="shared" si="571"/>
        <v>3.0495814519654781E-2</v>
      </c>
      <c r="M231" s="247">
        <f t="shared" si="571"/>
        <v>2.669686824997683E-2</v>
      </c>
      <c r="N231" s="247">
        <f t="shared" si="571"/>
        <v>3.0973557849453701E-2</v>
      </c>
      <c r="O231" s="247">
        <f t="shared" si="571"/>
        <v>2.8259230337547611E-2</v>
      </c>
      <c r="P231" s="247">
        <f t="shared" si="571"/>
        <v>2.3903264108608241E-2</v>
      </c>
      <c r="Q231" s="247">
        <f t="shared" si="571"/>
        <v>2.3275622281507691E-2</v>
      </c>
      <c r="R231" s="247">
        <f t="shared" si="571"/>
        <v>2.763558539913763E-2</v>
      </c>
      <c r="S231" s="247">
        <f t="shared" si="571"/>
        <v>2.5106350641129802E-2</v>
      </c>
      <c r="T231" s="247">
        <f t="shared" si="571"/>
        <v>2.4530414452242522E-2</v>
      </c>
      <c r="U231" s="247">
        <f t="shared" ref="U231" ca="1" si="572">U183/U$186</f>
        <v>1.9947884463155159E-2</v>
      </c>
      <c r="V231" s="248">
        <v>0.02</v>
      </c>
      <c r="W231" s="6"/>
      <c r="X231" s="6"/>
      <c r="Y231" s="6"/>
      <c r="Z231" s="6"/>
      <c r="AA231" s="6"/>
      <c r="AB231" s="6"/>
      <c r="AC231" s="6"/>
      <c r="AD231" s="6"/>
      <c r="AE231" s="6"/>
      <c r="AF231" s="6"/>
      <c r="AG231" s="6"/>
      <c r="AH231" s="6"/>
      <c r="AI231" s="6"/>
      <c r="AJ231" s="6"/>
      <c r="AK231" s="6"/>
      <c r="AL231" s="6"/>
      <c r="AM231" s="6"/>
      <c r="AN231" s="6"/>
      <c r="AO231" s="6"/>
      <c r="AP231" s="6"/>
      <c r="AQ231" s="6"/>
      <c r="AR231" s="6"/>
      <c r="AS231" s="248"/>
      <c r="AT231" s="248"/>
      <c r="AU231" s="248"/>
      <c r="AV231" s="248"/>
      <c r="AW231" s="248">
        <v>0.03</v>
      </c>
      <c r="AX231" s="247">
        <f t="shared" si="552"/>
        <v>2.2690376936475957E-2</v>
      </c>
      <c r="AY231" s="247">
        <f t="shared" si="552"/>
        <v>2.4745883354014803E-2</v>
      </c>
      <c r="AZ231" s="247">
        <f t="shared" si="552"/>
        <v>2.8170020187079099E-2</v>
      </c>
      <c r="BA231" s="247">
        <f t="shared" si="552"/>
        <v>2.8861115862033281E-2</v>
      </c>
      <c r="BB231" s="247">
        <f t="shared" si="552"/>
        <v>2.9114719911017734E-2</v>
      </c>
      <c r="BC231" s="247">
        <f t="shared" si="552"/>
        <v>2.5045885880681688E-2</v>
      </c>
      <c r="BD231" s="6"/>
      <c r="BE231" s="6"/>
      <c r="BF231" s="6"/>
      <c r="BG231" s="6"/>
      <c r="BH231" s="6"/>
      <c r="BI231" s="6"/>
      <c r="BJ231" s="6"/>
      <c r="BK231" s="6"/>
    </row>
    <row r="232" spans="1:63" s="159" customFormat="1" ht="11.25" customHeight="1">
      <c r="A232" s="6"/>
      <c r="B232" s="9" t="str">
        <f t="shared" si="549"/>
        <v>0.15/0.18um</v>
      </c>
      <c r="C232" s="6"/>
      <c r="D232" s="247">
        <f t="shared" ref="D232:T232" si="573">D184/D$186</f>
        <v>7.9709243457897178E-2</v>
      </c>
      <c r="E232" s="247">
        <f t="shared" si="573"/>
        <v>7.8553234013799128E-2</v>
      </c>
      <c r="F232" s="247">
        <f t="shared" si="573"/>
        <v>6.9164627902481693E-2</v>
      </c>
      <c r="G232" s="247">
        <f t="shared" si="573"/>
        <v>6.6154003746418305E-2</v>
      </c>
      <c r="H232" s="247">
        <f t="shared" si="573"/>
        <v>6.3911079531753553E-2</v>
      </c>
      <c r="I232" s="247">
        <f t="shared" si="573"/>
        <v>6.3245646083787133E-2</v>
      </c>
      <c r="J232" s="247">
        <f t="shared" si="573"/>
        <v>6.084023337505156E-2</v>
      </c>
      <c r="K232" s="247">
        <f t="shared" si="573"/>
        <v>5.93138273664068E-2</v>
      </c>
      <c r="L232" s="247">
        <f t="shared" si="573"/>
        <v>5.8188918146532598E-2</v>
      </c>
      <c r="M232" s="247">
        <f t="shared" si="573"/>
        <v>5.7185716636404475E-2</v>
      </c>
      <c r="N232" s="247">
        <f t="shared" si="573"/>
        <v>5.5079984736525027E-2</v>
      </c>
      <c r="O232" s="247">
        <f t="shared" si="573"/>
        <v>5.2277202458505867E-2</v>
      </c>
      <c r="P232" s="247">
        <f t="shared" si="573"/>
        <v>5.2330061512938363E-2</v>
      </c>
      <c r="Q232" s="247">
        <f t="shared" si="573"/>
        <v>4.9574926220505473E-2</v>
      </c>
      <c r="R232" s="247">
        <f t="shared" si="573"/>
        <v>4.2570370241823627E-2</v>
      </c>
      <c r="S232" s="247">
        <f t="shared" si="573"/>
        <v>4.0995477526627785E-2</v>
      </c>
      <c r="T232" s="247">
        <f t="shared" si="573"/>
        <v>4.2009174642249451E-2</v>
      </c>
      <c r="U232" s="247">
        <f t="shared" ref="U232" ca="1" si="574">U184/U$186</f>
        <v>3.6568419306956979E-2</v>
      </c>
      <c r="V232" s="248">
        <v>0.04</v>
      </c>
      <c r="W232" s="6"/>
      <c r="X232" s="6"/>
      <c r="Y232" s="6"/>
      <c r="Z232" s="6"/>
      <c r="AA232" s="6"/>
      <c r="AB232" s="6"/>
      <c r="AC232" s="6"/>
      <c r="AD232" s="6"/>
      <c r="AE232" s="6"/>
      <c r="AF232" s="6"/>
      <c r="AG232" s="6"/>
      <c r="AH232" s="6"/>
      <c r="AI232" s="6"/>
      <c r="AJ232" s="6"/>
      <c r="AK232" s="6"/>
      <c r="AL232" s="6"/>
      <c r="AM232" s="6"/>
      <c r="AN232" s="6"/>
      <c r="AO232" s="6"/>
      <c r="AP232" s="6"/>
      <c r="AQ232" s="6"/>
      <c r="AR232" s="6"/>
      <c r="AS232" s="248"/>
      <c r="AT232" s="248"/>
      <c r="AU232" s="248"/>
      <c r="AV232" s="248"/>
      <c r="AW232" s="248">
        <v>0.1</v>
      </c>
      <c r="AX232" s="247">
        <f t="shared" si="552"/>
        <v>8.9084790861735499E-2</v>
      </c>
      <c r="AY232" s="247">
        <f t="shared" si="552"/>
        <v>8.364395631803509E-2</v>
      </c>
      <c r="AZ232" s="247">
        <f t="shared" si="552"/>
        <v>7.2984018983621626E-2</v>
      </c>
      <c r="BA232" s="247">
        <f t="shared" si="552"/>
        <v>6.1695203982928423E-2</v>
      </c>
      <c r="BB232" s="247">
        <f t="shared" si="552"/>
        <v>5.5511655934022207E-2</v>
      </c>
      <c r="BC232" s="247">
        <f t="shared" si="552"/>
        <v>4.6009764219635013E-2</v>
      </c>
      <c r="BD232" s="6"/>
      <c r="BE232" s="6"/>
      <c r="BF232" s="6"/>
      <c r="BG232" s="6"/>
      <c r="BH232" s="6"/>
      <c r="BI232" s="6"/>
      <c r="BJ232" s="6"/>
      <c r="BK232" s="6"/>
    </row>
    <row r="233" spans="1:63" s="159" customFormat="1" ht="13.5" customHeight="1">
      <c r="A233" s="6"/>
      <c r="B233" s="9" t="str">
        <f t="shared" si="549"/>
        <v>≥0.25um</v>
      </c>
      <c r="C233" s="6"/>
      <c r="D233" s="229">
        <f t="shared" ref="D233:T233" si="575">D185/D$186</f>
        <v>1.8278661646929466E-2</v>
      </c>
      <c r="E233" s="229">
        <f t="shared" si="575"/>
        <v>2.3475766222773985E-2</v>
      </c>
      <c r="F233" s="229">
        <f t="shared" si="575"/>
        <v>1.655508056128192E-2</v>
      </c>
      <c r="G233" s="229">
        <f t="shared" si="575"/>
        <v>1.2211341229026975E-2</v>
      </c>
      <c r="H233" s="229">
        <f t="shared" si="575"/>
        <v>1.6627297078232982E-2</v>
      </c>
      <c r="I233" s="229">
        <f t="shared" si="575"/>
        <v>1.7620363144367702E-2</v>
      </c>
      <c r="J233" s="229">
        <f t="shared" si="575"/>
        <v>1.5378448137020157E-2</v>
      </c>
      <c r="K233" s="229">
        <f t="shared" si="575"/>
        <v>1.5317452334844507E-2</v>
      </c>
      <c r="L233" s="229">
        <f t="shared" si="575"/>
        <v>1.4056863648436061E-2</v>
      </c>
      <c r="M233" s="229">
        <f t="shared" si="575"/>
        <v>1.382619886710665E-2</v>
      </c>
      <c r="N233" s="229">
        <f t="shared" si="575"/>
        <v>1.2888090804840352E-2</v>
      </c>
      <c r="O233" s="229">
        <f t="shared" si="575"/>
        <v>1.2450873798148722E-2</v>
      </c>
      <c r="P233" s="229">
        <f t="shared" si="575"/>
        <v>1.1253000379218293E-2</v>
      </c>
      <c r="Q233" s="229">
        <f t="shared" si="575"/>
        <v>1.1622124885021193E-2</v>
      </c>
      <c r="R233" s="229">
        <f t="shared" si="575"/>
        <v>8.6888382620664405E-3</v>
      </c>
      <c r="S233" s="229">
        <f t="shared" si="575"/>
        <v>6.9700104996950046E-3</v>
      </c>
      <c r="T233" s="229">
        <f t="shared" si="575"/>
        <v>7.3563983187018714E-3</v>
      </c>
      <c r="U233" s="229">
        <f t="shared" ref="U233" ca="1" si="576">U185/U$186</f>
        <v>5.9317964616365784E-3</v>
      </c>
      <c r="V233" s="249">
        <v>0.01</v>
      </c>
      <c r="W233" s="6"/>
      <c r="X233" s="6"/>
      <c r="Y233" s="6"/>
      <c r="Z233" s="6"/>
      <c r="AA233" s="6"/>
      <c r="AB233" s="6"/>
      <c r="AC233" s="6"/>
      <c r="AD233" s="6"/>
      <c r="AE233" s="6"/>
      <c r="AF233" s="6"/>
      <c r="AG233" s="6"/>
      <c r="AH233" s="6"/>
      <c r="AI233" s="6"/>
      <c r="AJ233" s="6"/>
      <c r="AK233" s="6"/>
      <c r="AL233" s="6"/>
      <c r="AM233" s="6"/>
      <c r="AN233" s="6"/>
      <c r="AO233" s="6"/>
      <c r="AP233" s="6"/>
      <c r="AQ233" s="6"/>
      <c r="AR233" s="6"/>
      <c r="AS233" s="249"/>
      <c r="AT233" s="249"/>
      <c r="AU233" s="249"/>
      <c r="AV233" s="249"/>
      <c r="AW233" s="249">
        <v>0.03</v>
      </c>
      <c r="AX233" s="229">
        <f t="shared" si="552"/>
        <v>2.9365926450684272E-2</v>
      </c>
      <c r="AY233" s="229">
        <f t="shared" si="552"/>
        <v>2.1497630750144353E-2</v>
      </c>
      <c r="AZ233" s="229">
        <f t="shared" si="552"/>
        <v>1.7408276802477505E-2</v>
      </c>
      <c r="BA233" s="229">
        <f t="shared" si="552"/>
        <v>1.6177975224800939E-2</v>
      </c>
      <c r="BB233" s="229">
        <f t="shared" si="552"/>
        <v>1.3251628984392612E-2</v>
      </c>
      <c r="BC233" s="229">
        <f t="shared" si="552"/>
        <v>9.4625247902001552E-3</v>
      </c>
      <c r="BD233" s="6"/>
      <c r="BE233" s="6"/>
      <c r="BF233" s="6"/>
      <c r="BG233" s="6"/>
      <c r="BH233" s="6"/>
      <c r="BI233" s="6"/>
      <c r="BJ233" s="6"/>
      <c r="BK233" s="6"/>
    </row>
    <row r="234" spans="1:63" s="159" customFormat="1" ht="11.25" customHeight="1">
      <c r="A234" s="6"/>
      <c r="B234" s="36" t="str">
        <f t="shared" si="549"/>
        <v>Total Wafer Revenue</v>
      </c>
      <c r="C234" s="6"/>
      <c r="D234" s="247">
        <f t="shared" ref="D234:T234" si="577">SUM(D221:D233)</f>
        <v>1</v>
      </c>
      <c r="E234" s="247">
        <f t="shared" si="577"/>
        <v>1.0000000000000002</v>
      </c>
      <c r="F234" s="247">
        <f t="shared" si="577"/>
        <v>1</v>
      </c>
      <c r="G234" s="247">
        <f t="shared" si="577"/>
        <v>1</v>
      </c>
      <c r="H234" s="247">
        <f t="shared" si="577"/>
        <v>0.99999999999999978</v>
      </c>
      <c r="I234" s="247">
        <f t="shared" si="577"/>
        <v>1.0000000000000002</v>
      </c>
      <c r="J234" s="247">
        <f t="shared" si="577"/>
        <v>1</v>
      </c>
      <c r="K234" s="247">
        <f t="shared" si="577"/>
        <v>1.0000000000000002</v>
      </c>
      <c r="L234" s="247">
        <f t="shared" si="577"/>
        <v>0.99999999999999989</v>
      </c>
      <c r="M234" s="247">
        <f t="shared" si="577"/>
        <v>1</v>
      </c>
      <c r="N234" s="247">
        <f t="shared" si="577"/>
        <v>0.99999999999999989</v>
      </c>
      <c r="O234" s="247">
        <f t="shared" si="577"/>
        <v>1</v>
      </c>
      <c r="P234" s="247">
        <f t="shared" si="577"/>
        <v>0.99999999999999989</v>
      </c>
      <c r="Q234" s="247">
        <f t="shared" si="577"/>
        <v>1</v>
      </c>
      <c r="R234" s="247">
        <f t="shared" si="577"/>
        <v>1</v>
      </c>
      <c r="S234" s="247">
        <f t="shared" si="577"/>
        <v>0.99999999999999989</v>
      </c>
      <c r="T234" s="247">
        <f t="shared" si="577"/>
        <v>0.99999999999999956</v>
      </c>
      <c r="U234" s="247">
        <f t="shared" ref="U234:V234" ca="1" si="578">SUM(U221:U233)</f>
        <v>0.99999999999999989</v>
      </c>
      <c r="V234" s="247">
        <f t="shared" ca="1" si="578"/>
        <v>1.0000000000000002</v>
      </c>
      <c r="W234" s="6"/>
      <c r="X234" s="6"/>
      <c r="Y234" s="6"/>
      <c r="Z234" s="6"/>
      <c r="AA234" s="6"/>
      <c r="AB234" s="6"/>
      <c r="AC234" s="6"/>
      <c r="AD234" s="6"/>
      <c r="AE234" s="6"/>
      <c r="AF234" s="6"/>
      <c r="AG234" s="6"/>
      <c r="AH234" s="6"/>
      <c r="AI234" s="6"/>
      <c r="AJ234" s="6"/>
      <c r="AK234" s="6"/>
      <c r="AL234" s="6"/>
      <c r="AM234" s="6"/>
      <c r="AN234" s="6"/>
      <c r="AO234" s="6"/>
      <c r="AP234" s="6"/>
      <c r="AQ234" s="6"/>
      <c r="AR234" s="6"/>
      <c r="AS234" s="247"/>
      <c r="AT234" s="247"/>
      <c r="AU234" s="247"/>
      <c r="AV234" s="247"/>
      <c r="AW234" s="247">
        <f t="shared" ref="AW234:AX234" si="579">SUM(AW221:AW233)</f>
        <v>1</v>
      </c>
      <c r="AX234" s="247">
        <f t="shared" si="579"/>
        <v>0.99999999999999989</v>
      </c>
      <c r="AY234" s="247">
        <f>SUM(AY221:AY233)</f>
        <v>1.0000000000000002</v>
      </c>
      <c r="AZ234" s="247">
        <f t="shared" ref="AZ234:BC234" si="580">SUM(AZ221:AZ233)</f>
        <v>0.99999999999999989</v>
      </c>
      <c r="BA234" s="247">
        <f t="shared" si="580"/>
        <v>0.99999999999999978</v>
      </c>
      <c r="BB234" s="247">
        <f t="shared" si="580"/>
        <v>0.99999999999999989</v>
      </c>
      <c r="BC234" s="247">
        <f t="shared" si="580"/>
        <v>1</v>
      </c>
      <c r="BD234" s="6"/>
      <c r="BE234" s="6"/>
      <c r="BF234" s="6"/>
      <c r="BG234" s="6"/>
      <c r="BH234" s="6"/>
      <c r="BI234" s="6"/>
      <c r="BJ234" s="6"/>
      <c r="BK234" s="6"/>
    </row>
    <row r="235" spans="1:63" s="159" customFormat="1" ht="11.25" hidden="1" customHeight="1" outlineLevel="1">
      <c r="A235" s="6"/>
      <c r="B235" s="31"/>
      <c r="C235" s="6"/>
      <c r="D235" s="20"/>
      <c r="E235" s="20"/>
      <c r="F235" s="20"/>
      <c r="G235" s="20"/>
      <c r="H235" s="20"/>
      <c r="I235" s="20"/>
      <c r="J235" s="20"/>
      <c r="K235" s="20"/>
      <c r="L235" s="20"/>
      <c r="M235" s="20"/>
      <c r="N235" s="20"/>
      <c r="O235" s="20"/>
      <c r="P235" s="20"/>
      <c r="Q235" s="20"/>
      <c r="R235" s="20"/>
      <c r="S235" s="20"/>
      <c r="T235" s="20"/>
      <c r="U235" s="20"/>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20"/>
      <c r="AU235" s="20"/>
      <c r="AV235" s="20"/>
      <c r="AW235" s="20"/>
      <c r="AX235" s="20"/>
      <c r="AY235" s="20"/>
      <c r="AZ235" s="20"/>
      <c r="BA235" s="20"/>
      <c r="BB235" s="20"/>
      <c r="BC235" s="20"/>
      <c r="BD235" s="6"/>
      <c r="BE235" s="6"/>
      <c r="BF235" s="6"/>
      <c r="BG235" s="6"/>
      <c r="BH235" s="6"/>
      <c r="BI235" s="6"/>
      <c r="BJ235" s="6"/>
      <c r="BK235" s="6"/>
    </row>
    <row r="236" spans="1:63" ht="11.25" hidden="1" customHeight="1" outlineLevel="1">
      <c r="A236" s="2"/>
      <c r="B236" s="32" t="s">
        <v>452</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row>
    <row r="237" spans="1:63" s="159" customFormat="1" ht="11.25" hidden="1" customHeight="1" outlineLevel="1">
      <c r="A237" s="6"/>
      <c r="B237" s="9" t="str">
        <f t="shared" ref="B237:B250" si="581">B221</f>
        <v>2nm</v>
      </c>
      <c r="C237" s="6"/>
      <c r="D237" s="247"/>
      <c r="E237" s="260"/>
      <c r="F237" s="260"/>
      <c r="G237" s="260"/>
      <c r="H237" s="126">
        <f t="shared" ref="H237:H250" si="582">H173-D173</f>
        <v>0</v>
      </c>
      <c r="I237" s="126">
        <f t="shared" ref="I237:I250" si="583">I173-E173</f>
        <v>0</v>
      </c>
      <c r="J237" s="126">
        <f t="shared" ref="J237:J250" si="584">J173-F173</f>
        <v>0</v>
      </c>
      <c r="K237" s="126">
        <f t="shared" ref="K237:K250" si="585">K173-G173</f>
        <v>0</v>
      </c>
      <c r="L237" s="126">
        <f t="shared" ref="L237:L250" si="586">L173-H173</f>
        <v>0</v>
      </c>
      <c r="M237" s="126">
        <f t="shared" ref="M237:M250" si="587">M173-I173</f>
        <v>0</v>
      </c>
      <c r="N237" s="126">
        <f t="shared" ref="N237:N250" si="588">N173-J173</f>
        <v>0</v>
      </c>
      <c r="O237" s="126">
        <f t="shared" ref="O237:O250" si="589">O173-K173</f>
        <v>0</v>
      </c>
      <c r="P237" s="126">
        <f t="shared" ref="P237:P250" si="590">P173-L173</f>
        <v>0</v>
      </c>
      <c r="Q237" s="126">
        <f t="shared" ref="Q237:Q250" si="591">Q173-M173</f>
        <v>0</v>
      </c>
      <c r="R237" s="126">
        <f t="shared" ref="R237:R250" si="592">R173-N173</f>
        <v>0</v>
      </c>
      <c r="S237" s="126">
        <f t="shared" ref="S237:S250" si="593">S173-O173</f>
        <v>0</v>
      </c>
      <c r="T237" s="126">
        <f t="shared" ref="T237:T250" si="594">T173-P173</f>
        <v>0</v>
      </c>
      <c r="U237" s="126">
        <f t="shared" ref="U237:U250" ca="1" si="595">U173-Q173</f>
        <v>0</v>
      </c>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248"/>
      <c r="AT237" s="260"/>
      <c r="AU237" s="126"/>
      <c r="AV237" s="126"/>
      <c r="AW237" s="126"/>
      <c r="AX237" s="33">
        <f t="shared" ref="AX237:AX250" si="596">IFERROR(AX173-AW173,"n/a")</f>
        <v>0</v>
      </c>
      <c r="AY237" s="126">
        <f t="shared" ref="AY237:BC250" si="597">AY173-AX173</f>
        <v>0</v>
      </c>
      <c r="AZ237" s="126">
        <f t="shared" si="597"/>
        <v>0</v>
      </c>
      <c r="BA237" s="126">
        <f t="shared" si="597"/>
        <v>0</v>
      </c>
      <c r="BB237" s="126">
        <f t="shared" si="597"/>
        <v>0</v>
      </c>
      <c r="BC237" s="126">
        <f t="shared" si="597"/>
        <v>0</v>
      </c>
      <c r="BD237" s="6"/>
      <c r="BE237" s="6"/>
      <c r="BF237" s="6"/>
      <c r="BG237" s="6"/>
      <c r="BH237" s="6"/>
      <c r="BI237" s="6"/>
      <c r="BJ237" s="6"/>
      <c r="BK237" s="6"/>
    </row>
    <row r="238" spans="1:63" s="159" customFormat="1" ht="11.25" hidden="1" customHeight="1" outlineLevel="1">
      <c r="A238" s="6"/>
      <c r="B238" s="9" t="str">
        <f t="shared" si="581"/>
        <v>3nm</v>
      </c>
      <c r="C238" s="6"/>
      <c r="D238" s="247"/>
      <c r="E238" s="260"/>
      <c r="F238" s="260"/>
      <c r="G238" s="260"/>
      <c r="H238" s="126">
        <f t="shared" si="582"/>
        <v>0</v>
      </c>
      <c r="I238" s="126">
        <f t="shared" si="583"/>
        <v>0</v>
      </c>
      <c r="J238" s="126">
        <f t="shared" si="584"/>
        <v>0</v>
      </c>
      <c r="K238" s="126">
        <f t="shared" si="585"/>
        <v>0</v>
      </c>
      <c r="L238" s="126">
        <f t="shared" si="586"/>
        <v>0</v>
      </c>
      <c r="M238" s="126">
        <f t="shared" si="587"/>
        <v>0</v>
      </c>
      <c r="N238" s="126">
        <f t="shared" si="588"/>
        <v>0</v>
      </c>
      <c r="O238" s="126">
        <f t="shared" si="589"/>
        <v>0</v>
      </c>
      <c r="P238" s="126">
        <f t="shared" si="590"/>
        <v>0</v>
      </c>
      <c r="Q238" s="126">
        <f t="shared" si="591"/>
        <v>0.48370999999999997</v>
      </c>
      <c r="R238" s="126">
        <f t="shared" si="592"/>
        <v>28.994752000000002</v>
      </c>
      <c r="S238" s="126">
        <f t="shared" si="593"/>
        <v>78.566812999999996</v>
      </c>
      <c r="T238" s="126">
        <f t="shared" si="594"/>
        <v>45.44896</v>
      </c>
      <c r="U238" s="126">
        <f t="shared" si="595"/>
        <v>89.627549999999999</v>
      </c>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248"/>
      <c r="AT238" s="260"/>
      <c r="AU238" s="126"/>
      <c r="AV238" s="126"/>
      <c r="AW238" s="126"/>
      <c r="AX238" s="33">
        <f t="shared" si="596"/>
        <v>0</v>
      </c>
      <c r="AY238" s="126">
        <f t="shared" si="597"/>
        <v>0</v>
      </c>
      <c r="AZ238" s="126">
        <f t="shared" si="597"/>
        <v>0</v>
      </c>
      <c r="BA238" s="126">
        <f t="shared" si="597"/>
        <v>0</v>
      </c>
      <c r="BB238" s="126">
        <f t="shared" si="597"/>
        <v>0</v>
      </c>
      <c r="BC238" s="126">
        <f t="shared" si="597"/>
        <v>108.04527499999999</v>
      </c>
      <c r="BD238" s="6"/>
      <c r="BE238" s="6"/>
      <c r="BF238" s="6"/>
      <c r="BG238" s="6"/>
      <c r="BH238" s="6"/>
      <c r="BI238" s="6"/>
      <c r="BJ238" s="6"/>
      <c r="BK238" s="6"/>
    </row>
    <row r="239" spans="1:63" s="159" customFormat="1" ht="11.25" hidden="1" customHeight="1" outlineLevel="1">
      <c r="A239" s="6"/>
      <c r="B239" s="9" t="str">
        <f t="shared" si="581"/>
        <v>5nm</v>
      </c>
      <c r="C239" s="6"/>
      <c r="D239" s="247"/>
      <c r="E239" s="260"/>
      <c r="F239" s="260"/>
      <c r="G239" s="260"/>
      <c r="H239" s="126">
        <f t="shared" si="582"/>
        <v>45.613201000000004</v>
      </c>
      <c r="I239" s="126">
        <f t="shared" si="583"/>
        <v>61.189745000000002</v>
      </c>
      <c r="J239" s="126">
        <f t="shared" si="584"/>
        <v>41.100526000000002</v>
      </c>
      <c r="K239" s="126">
        <f t="shared" si="585"/>
        <v>23.489407999999983</v>
      </c>
      <c r="L239" s="126">
        <f t="shared" si="586"/>
        <v>40.678588999999988</v>
      </c>
      <c r="M239" s="126">
        <f t="shared" si="587"/>
        <v>39.539977999999991</v>
      </c>
      <c r="N239" s="126">
        <f t="shared" si="588"/>
        <v>81.882408999999981</v>
      </c>
      <c r="O239" s="126">
        <f t="shared" si="589"/>
        <v>84.261540000000082</v>
      </c>
      <c r="P239" s="126">
        <f t="shared" si="590"/>
        <v>53.003687000000014</v>
      </c>
      <c r="Q239" s="126">
        <f t="shared" si="591"/>
        <v>27.094841000000002</v>
      </c>
      <c r="R239" s="126">
        <f t="shared" si="592"/>
        <v>24.372852000000023</v>
      </c>
      <c r="S239" s="126">
        <f t="shared" si="593"/>
        <v>16.139125999999919</v>
      </c>
      <c r="T239" s="126">
        <f t="shared" si="594"/>
        <v>51.400276999999988</v>
      </c>
      <c r="U239" s="126">
        <f t="shared" si="595"/>
        <v>81.742966999999979</v>
      </c>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248"/>
      <c r="AT239" s="260"/>
      <c r="AU239" s="126"/>
      <c r="AV239" s="126"/>
      <c r="AW239" s="126"/>
      <c r="AX239" s="33">
        <f t="shared" si="596"/>
        <v>0</v>
      </c>
      <c r="AY239" s="126">
        <f t="shared" si="597"/>
        <v>0</v>
      </c>
      <c r="AZ239" s="126">
        <f t="shared" si="597"/>
        <v>90.934484999999995</v>
      </c>
      <c r="BA239" s="126">
        <f t="shared" si="597"/>
        <v>171.39287999999999</v>
      </c>
      <c r="BB239" s="126">
        <f t="shared" si="597"/>
        <v>246.36251600000003</v>
      </c>
      <c r="BC239" s="126">
        <f t="shared" si="597"/>
        <v>120.61050599999999</v>
      </c>
      <c r="BD239" s="6"/>
      <c r="BE239" s="6"/>
      <c r="BF239" s="6"/>
      <c r="BG239" s="6"/>
      <c r="BH239" s="6"/>
      <c r="BI239" s="6"/>
      <c r="BJ239" s="6"/>
      <c r="BK239" s="6"/>
    </row>
    <row r="240" spans="1:63" s="159" customFormat="1" ht="11.25" hidden="1" customHeight="1" outlineLevel="1">
      <c r="A240" s="6"/>
      <c r="B240" s="9" t="str">
        <f t="shared" si="581"/>
        <v>7/10nm</v>
      </c>
      <c r="C240" s="6"/>
      <c r="D240" s="247"/>
      <c r="E240" s="260"/>
      <c r="F240" s="260"/>
      <c r="G240" s="260"/>
      <c r="H240" s="126">
        <f t="shared" si="582"/>
        <v>14.491352000000006</v>
      </c>
      <c r="I240" s="126">
        <f t="shared" si="583"/>
        <v>0.54557800000002032</v>
      </c>
      <c r="J240" s="126">
        <f t="shared" si="584"/>
        <v>12.424981000000002</v>
      </c>
      <c r="K240" s="126">
        <f t="shared" si="585"/>
        <v>15.341062999999906</v>
      </c>
      <c r="L240" s="126">
        <f t="shared" si="586"/>
        <v>20.849836999999994</v>
      </c>
      <c r="M240" s="126">
        <f t="shared" si="587"/>
        <v>41.430758999999981</v>
      </c>
      <c r="N240" s="126">
        <f t="shared" si="588"/>
        <v>19.535905000000014</v>
      </c>
      <c r="O240" s="126">
        <f t="shared" si="589"/>
        <v>12.31904400000019</v>
      </c>
      <c r="P240" s="126">
        <f t="shared" si="590"/>
        <v>-43.475078999999994</v>
      </c>
      <c r="Q240" s="126">
        <f t="shared" si="591"/>
        <v>-45.73486299999999</v>
      </c>
      <c r="R240" s="126">
        <f t="shared" si="592"/>
        <v>-63.876037000000011</v>
      </c>
      <c r="S240" s="126">
        <f t="shared" si="593"/>
        <v>-24.821958000000166</v>
      </c>
      <c r="T240" s="126">
        <f t="shared" si="594"/>
        <v>11.536416000000003</v>
      </c>
      <c r="U240" s="126">
        <f t="shared" si="595"/>
        <v>3.9120499999999936</v>
      </c>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248"/>
      <c r="AT240" s="260"/>
      <c r="AU240" s="126"/>
      <c r="AV240" s="126"/>
      <c r="AW240" s="126"/>
      <c r="AX240" s="33">
        <f t="shared" si="596"/>
        <v>91.677449000000038</v>
      </c>
      <c r="AY240" s="126">
        <f t="shared" si="597"/>
        <v>94.144261999999998</v>
      </c>
      <c r="AZ240" s="126">
        <f t="shared" si="597"/>
        <v>125.42562099999998</v>
      </c>
      <c r="BA240" s="126">
        <f t="shared" si="597"/>
        <v>42.802973999999949</v>
      </c>
      <c r="BB240" s="126">
        <f t="shared" si="597"/>
        <v>94.13554500000015</v>
      </c>
      <c r="BC240" s="126">
        <f t="shared" si="597"/>
        <v>-177.90793700000012</v>
      </c>
      <c r="BD240" s="6"/>
      <c r="BE240" s="6"/>
      <c r="BF240" s="6"/>
      <c r="BG240" s="6"/>
      <c r="BH240" s="6"/>
      <c r="BI240" s="6"/>
      <c r="BJ240" s="6"/>
      <c r="BK240" s="6"/>
    </row>
    <row r="241" spans="1:63" s="159" customFormat="1" ht="11.25" hidden="1" customHeight="1" outlineLevel="1">
      <c r="A241" s="6"/>
      <c r="B241" s="9" t="str">
        <f t="shared" si="581"/>
        <v>16nm</v>
      </c>
      <c r="C241" s="6"/>
      <c r="D241" s="247"/>
      <c r="E241" s="260"/>
      <c r="F241" s="260"/>
      <c r="G241" s="260"/>
      <c r="H241" s="126">
        <f t="shared" si="582"/>
        <v>-6.1116969999999995</v>
      </c>
      <c r="I241" s="126">
        <f t="shared" si="583"/>
        <v>-3.3669030000000006</v>
      </c>
      <c r="J241" s="126">
        <f t="shared" si="584"/>
        <v>-6.9140060000000005</v>
      </c>
      <c r="K241" s="126">
        <f t="shared" si="585"/>
        <v>9.4925430000000119</v>
      </c>
      <c r="L241" s="126">
        <f t="shared" si="586"/>
        <v>15.55995699999999</v>
      </c>
      <c r="M241" s="126">
        <f t="shared" si="587"/>
        <v>19.135971999999995</v>
      </c>
      <c r="N241" s="126">
        <f t="shared" si="588"/>
        <v>17.486663000000007</v>
      </c>
      <c r="O241" s="126">
        <f t="shared" si="589"/>
        <v>15.302742000000052</v>
      </c>
      <c r="P241" s="126">
        <f t="shared" si="590"/>
        <v>-3.2512829999999937</v>
      </c>
      <c r="Q241" s="126">
        <f t="shared" si="591"/>
        <v>-19.82697499999999</v>
      </c>
      <c r="R241" s="126">
        <f t="shared" si="592"/>
        <v>-21.829390000000004</v>
      </c>
      <c r="S241" s="126">
        <f t="shared" si="593"/>
        <v>-22.330553000000066</v>
      </c>
      <c r="T241" s="126">
        <f t="shared" si="594"/>
        <v>-9.1440449999999984</v>
      </c>
      <c r="U241" s="126">
        <f t="shared" si="595"/>
        <v>8.0299099999999939</v>
      </c>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248"/>
      <c r="AT241" s="260"/>
      <c r="AU241" s="126"/>
      <c r="AV241" s="126"/>
      <c r="AW241" s="126"/>
      <c r="AX241" s="33">
        <f t="shared" si="596"/>
        <v>13.385001000000045</v>
      </c>
      <c r="AY241" s="126">
        <f t="shared" si="597"/>
        <v>-0.66970900000001166</v>
      </c>
      <c r="AZ241" s="126">
        <f t="shared" si="597"/>
        <v>11.258144999999985</v>
      </c>
      <c r="BA241" s="126">
        <f t="shared" si="597"/>
        <v>-6.9000629999999887</v>
      </c>
      <c r="BB241" s="126">
        <f t="shared" si="597"/>
        <v>67.485334000000023</v>
      </c>
      <c r="BC241" s="126">
        <f t="shared" si="597"/>
        <v>-67.238201000000032</v>
      </c>
      <c r="BD241" s="6"/>
      <c r="BE241" s="6"/>
      <c r="BF241" s="6"/>
      <c r="BG241" s="6"/>
      <c r="BH241" s="6"/>
      <c r="BI241" s="6"/>
      <c r="BJ241" s="6"/>
      <c r="BK241" s="6"/>
    </row>
    <row r="242" spans="1:63" s="159" customFormat="1" ht="11.25" hidden="1" customHeight="1" outlineLevel="1">
      <c r="A242" s="6"/>
      <c r="B242" s="9" t="str">
        <f t="shared" si="581"/>
        <v>20nm</v>
      </c>
      <c r="C242" s="6"/>
      <c r="D242" s="247"/>
      <c r="E242" s="260"/>
      <c r="F242" s="260"/>
      <c r="G242" s="260"/>
      <c r="H242" s="126">
        <f t="shared" si="582"/>
        <v>-0.65136499999999997</v>
      </c>
      <c r="I242" s="126">
        <f t="shared" si="583"/>
        <v>-0.91421599999999992</v>
      </c>
      <c r="J242" s="126">
        <f t="shared" si="584"/>
        <v>-1.2122710000000001</v>
      </c>
      <c r="K242" s="126">
        <f t="shared" si="585"/>
        <v>-4.2609999999996262E-3</v>
      </c>
      <c r="L242" s="126">
        <f t="shared" si="586"/>
        <v>0.95306200000000008</v>
      </c>
      <c r="M242" s="126">
        <f t="shared" si="587"/>
        <v>0.80052699999999999</v>
      </c>
      <c r="N242" s="126">
        <f t="shared" si="588"/>
        <v>0.92114200000000035</v>
      </c>
      <c r="O242" s="126">
        <f t="shared" si="589"/>
        <v>0.50980799999999782</v>
      </c>
      <c r="P242" s="126">
        <f t="shared" si="590"/>
        <v>0.96699399999999969</v>
      </c>
      <c r="Q242" s="126">
        <f t="shared" si="591"/>
        <v>0.67037199999999997</v>
      </c>
      <c r="R242" s="126">
        <f t="shared" si="592"/>
        <v>0.66402899999999976</v>
      </c>
      <c r="S242" s="126">
        <f t="shared" si="593"/>
        <v>-0.79564399999999935</v>
      </c>
      <c r="T242" s="126">
        <f t="shared" si="594"/>
        <v>-1.7221639999999996</v>
      </c>
      <c r="U242" s="126">
        <f t="shared" si="595"/>
        <v>-1.7232039999999997</v>
      </c>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248"/>
      <c r="AT242" s="260"/>
      <c r="AU242" s="126"/>
      <c r="AV242" s="126"/>
      <c r="AW242" s="126"/>
      <c r="AX242" s="33">
        <f t="shared" si="596"/>
        <v>-19.877925499999993</v>
      </c>
      <c r="AY242" s="126">
        <f t="shared" si="597"/>
        <v>-14.082635000000002</v>
      </c>
      <c r="AZ242" s="126">
        <f t="shared" si="597"/>
        <v>-1.0849659999999997</v>
      </c>
      <c r="BA242" s="126">
        <f t="shared" si="597"/>
        <v>-2.7821129999999998</v>
      </c>
      <c r="BB242" s="126">
        <f t="shared" si="597"/>
        <v>3.1845389999999982</v>
      </c>
      <c r="BC242" s="126">
        <f t="shared" si="597"/>
        <v>1.5057510000000001</v>
      </c>
      <c r="BD242" s="6"/>
      <c r="BE242" s="6"/>
      <c r="BF242" s="6"/>
      <c r="BG242" s="6"/>
      <c r="BH242" s="6"/>
      <c r="BI242" s="6"/>
      <c r="BJ242" s="6"/>
      <c r="BK242" s="6"/>
    </row>
    <row r="243" spans="1:63" s="159" customFormat="1" ht="11.25" hidden="1" customHeight="1" outlineLevel="1">
      <c r="A243" s="6"/>
      <c r="B243" s="9" t="str">
        <f t="shared" si="581"/>
        <v>28nm</v>
      </c>
      <c r="C243" s="6"/>
      <c r="D243" s="247"/>
      <c r="E243" s="260"/>
      <c r="F243" s="260"/>
      <c r="G243" s="260"/>
      <c r="H243" s="126">
        <f t="shared" si="582"/>
        <v>-1.3357789999999952</v>
      </c>
      <c r="I243" s="126">
        <f t="shared" si="583"/>
        <v>-0.96038599999999974</v>
      </c>
      <c r="J243" s="126">
        <f t="shared" si="584"/>
        <v>5.6826999999998407E-2</v>
      </c>
      <c r="K243" s="126">
        <f t="shared" si="585"/>
        <v>5.9381720000000087</v>
      </c>
      <c r="L243" s="126">
        <f t="shared" si="586"/>
        <v>10.782920000000004</v>
      </c>
      <c r="M243" s="126">
        <f t="shared" si="587"/>
        <v>12.014192999999999</v>
      </c>
      <c r="N243" s="126">
        <f t="shared" si="588"/>
        <v>15.122268999999996</v>
      </c>
      <c r="O243" s="126">
        <f t="shared" si="589"/>
        <v>15.62600999999998</v>
      </c>
      <c r="P243" s="126">
        <f t="shared" si="590"/>
        <v>4.6099469999999982</v>
      </c>
      <c r="Q243" s="126">
        <f t="shared" si="591"/>
        <v>-1.942885000000004</v>
      </c>
      <c r="R243" s="126">
        <f t="shared" si="592"/>
        <v>-5.6499449999999953</v>
      </c>
      <c r="S243" s="126">
        <f t="shared" si="593"/>
        <v>-16.704155999999983</v>
      </c>
      <c r="T243" s="126">
        <f t="shared" si="594"/>
        <v>-9.0377240000000043</v>
      </c>
      <c r="U243" s="126">
        <f t="shared" si="595"/>
        <v>2.9673930000000084</v>
      </c>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248"/>
      <c r="AT243" s="260"/>
      <c r="AU243" s="126"/>
      <c r="AV243" s="126"/>
      <c r="AW243" s="126"/>
      <c r="AX243" s="33">
        <f t="shared" si="596"/>
        <v>-21.643004899999966</v>
      </c>
      <c r="AY243" s="126">
        <f t="shared" si="597"/>
        <v>-28.861677000000014</v>
      </c>
      <c r="AZ243" s="126">
        <f t="shared" si="597"/>
        <v>-0.21099000000000956</v>
      </c>
      <c r="BA243" s="126">
        <f t="shared" si="597"/>
        <v>3.6988340000000051</v>
      </c>
      <c r="BB243" s="126">
        <f t="shared" si="597"/>
        <v>53.545391999999993</v>
      </c>
      <c r="BC243" s="126">
        <f t="shared" si="597"/>
        <v>-19.687038999999999</v>
      </c>
      <c r="BD243" s="6"/>
      <c r="BE243" s="6"/>
      <c r="BF243" s="6"/>
      <c r="BG243" s="6"/>
      <c r="BH243" s="6"/>
      <c r="BI243" s="6"/>
      <c r="BJ243" s="6"/>
      <c r="BK243" s="6"/>
    </row>
    <row r="244" spans="1:63" s="159" customFormat="1" ht="11.25" hidden="1" customHeight="1" outlineLevel="1">
      <c r="A244" s="6"/>
      <c r="B244" s="9" t="str">
        <f t="shared" si="581"/>
        <v>40/45nm</v>
      </c>
      <c r="C244" s="6"/>
      <c r="D244" s="247"/>
      <c r="E244" s="260"/>
      <c r="F244" s="260"/>
      <c r="G244" s="260"/>
      <c r="H244" s="126">
        <f t="shared" si="582"/>
        <v>-2.903297000000002</v>
      </c>
      <c r="I244" s="126">
        <f t="shared" si="583"/>
        <v>-2.4459869999999988</v>
      </c>
      <c r="J244" s="126">
        <f t="shared" si="584"/>
        <v>0.8737669999999973</v>
      </c>
      <c r="K244" s="126">
        <f t="shared" si="585"/>
        <v>4.7126139999999879</v>
      </c>
      <c r="L244" s="126">
        <f t="shared" si="586"/>
        <v>10.839013000000001</v>
      </c>
      <c r="M244" s="126">
        <f t="shared" si="587"/>
        <v>12.83643</v>
      </c>
      <c r="N244" s="126">
        <f t="shared" si="588"/>
        <v>10.621252999999999</v>
      </c>
      <c r="O244" s="126">
        <f t="shared" si="589"/>
        <v>7.8359079999999892</v>
      </c>
      <c r="P244" s="126">
        <f t="shared" si="590"/>
        <v>-1.3988729999999947</v>
      </c>
      <c r="Q244" s="126">
        <f t="shared" si="591"/>
        <v>-6.9037400000000027</v>
      </c>
      <c r="R244" s="126">
        <f t="shared" si="592"/>
        <v>-8.4379979999999968</v>
      </c>
      <c r="S244" s="126">
        <f t="shared" si="593"/>
        <v>-14.138271999999986</v>
      </c>
      <c r="T244" s="126">
        <f t="shared" si="594"/>
        <v>-5.516643000000002</v>
      </c>
      <c r="U244" s="126">
        <f t="shared" si="595"/>
        <v>-1.9514560000000003</v>
      </c>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248"/>
      <c r="AT244" s="260"/>
      <c r="AU244" s="126"/>
      <c r="AV244" s="126"/>
      <c r="AW244" s="126"/>
      <c r="AX244" s="33">
        <f t="shared" si="596"/>
        <v>-2.590322599999979</v>
      </c>
      <c r="AY244" s="126">
        <f t="shared" si="597"/>
        <v>-8.4347319999999968</v>
      </c>
      <c r="AZ244" s="126">
        <f t="shared" si="597"/>
        <v>9.8102569999999929</v>
      </c>
      <c r="BA244" s="126">
        <f t="shared" si="597"/>
        <v>0.23709699999999145</v>
      </c>
      <c r="BB244" s="126">
        <f t="shared" si="597"/>
        <v>42.132603999999986</v>
      </c>
      <c r="BC244" s="126">
        <f t="shared" si="597"/>
        <v>-30.878882999999973</v>
      </c>
      <c r="BD244" s="6"/>
      <c r="BE244" s="6"/>
      <c r="BF244" s="6"/>
      <c r="BG244" s="6"/>
      <c r="BH244" s="6"/>
      <c r="BI244" s="6"/>
      <c r="BJ244" s="6"/>
      <c r="BK244" s="6"/>
    </row>
    <row r="245" spans="1:63" s="159" customFormat="1" ht="11.25" hidden="1" customHeight="1" outlineLevel="1">
      <c r="A245" s="6"/>
      <c r="B245" s="9" t="str">
        <f t="shared" si="581"/>
        <v>65nm</v>
      </c>
      <c r="C245" s="6"/>
      <c r="D245" s="247"/>
      <c r="E245" s="260"/>
      <c r="F245" s="260"/>
      <c r="G245" s="260"/>
      <c r="H245" s="126">
        <f t="shared" si="582"/>
        <v>-0.36097499999999982</v>
      </c>
      <c r="I245" s="126">
        <f t="shared" si="583"/>
        <v>0.75841900000000351</v>
      </c>
      <c r="J245" s="126">
        <f t="shared" si="584"/>
        <v>1.0052149999999997</v>
      </c>
      <c r="K245" s="126">
        <f t="shared" si="585"/>
        <v>3.8385729999999967</v>
      </c>
      <c r="L245" s="126">
        <f t="shared" si="586"/>
        <v>5.5636790000000005</v>
      </c>
      <c r="M245" s="126">
        <f t="shared" si="587"/>
        <v>6.2027129999999957</v>
      </c>
      <c r="N245" s="126">
        <f t="shared" si="588"/>
        <v>9.1491170000000004</v>
      </c>
      <c r="O245" s="126">
        <f t="shared" si="589"/>
        <v>5.9052020000000027</v>
      </c>
      <c r="P245" s="126">
        <f t="shared" si="590"/>
        <v>6.2431730000000023</v>
      </c>
      <c r="Q245" s="126">
        <f t="shared" si="591"/>
        <v>5.4565230000000007</v>
      </c>
      <c r="R245" s="126">
        <f t="shared" si="592"/>
        <v>0.98502300000000176</v>
      </c>
      <c r="S245" s="126">
        <f t="shared" si="593"/>
        <v>1.4520669999999853</v>
      </c>
      <c r="T245" s="126">
        <f t="shared" si="594"/>
        <v>-6.1530700000000031</v>
      </c>
      <c r="U245" s="126">
        <f t="shared" si="595"/>
        <v>-7.2661639999999998</v>
      </c>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248"/>
      <c r="AT245" s="260"/>
      <c r="AU245" s="126"/>
      <c r="AV245" s="126"/>
      <c r="AW245" s="126"/>
      <c r="AX245" s="33">
        <f t="shared" si="596"/>
        <v>-10.870523999999989</v>
      </c>
      <c r="AY245" s="126">
        <f t="shared" si="597"/>
        <v>-6.8722509999999914</v>
      </c>
      <c r="AZ245" s="126">
        <f t="shared" si="597"/>
        <v>-8.023337000000005</v>
      </c>
      <c r="BA245" s="126">
        <f t="shared" si="597"/>
        <v>5.2412320000000037</v>
      </c>
      <c r="BB245" s="126">
        <f t="shared" si="597"/>
        <v>26.820710999999989</v>
      </c>
      <c r="BC245" s="126">
        <f t="shared" si="597"/>
        <v>14.136786000000001</v>
      </c>
      <c r="BD245" s="6"/>
      <c r="BE245" s="6"/>
      <c r="BF245" s="6"/>
      <c r="BG245" s="6"/>
      <c r="BH245" s="6"/>
      <c r="BI245" s="6"/>
      <c r="BJ245" s="6"/>
      <c r="BK245" s="6"/>
    </row>
    <row r="246" spans="1:63" s="159" customFormat="1" ht="11.25" hidden="1" customHeight="1" outlineLevel="1">
      <c r="A246" s="6"/>
      <c r="B246" s="9" t="str">
        <f t="shared" si="581"/>
        <v>90nm</v>
      </c>
      <c r="C246" s="6"/>
      <c r="D246" s="247"/>
      <c r="E246" s="260"/>
      <c r="F246" s="260"/>
      <c r="G246" s="260"/>
      <c r="H246" s="126">
        <f t="shared" si="582"/>
        <v>1.0529710000000012</v>
      </c>
      <c r="I246" s="126">
        <f t="shared" si="583"/>
        <v>1.4024990000000006</v>
      </c>
      <c r="J246" s="126">
        <f t="shared" si="584"/>
        <v>-0.67228099999999991</v>
      </c>
      <c r="K246" s="126">
        <f t="shared" si="585"/>
        <v>1.0967409999999944</v>
      </c>
      <c r="L246" s="126">
        <f t="shared" si="586"/>
        <v>0.54005599999999809</v>
      </c>
      <c r="M246" s="126">
        <f t="shared" si="587"/>
        <v>1.4825529999999993</v>
      </c>
      <c r="N246" s="126">
        <f t="shared" si="588"/>
        <v>4.3129580000000001</v>
      </c>
      <c r="O246" s="126">
        <f t="shared" si="589"/>
        <v>1.5883140000000076</v>
      </c>
      <c r="P246" s="126">
        <f t="shared" si="590"/>
        <v>-1.1135450000000002</v>
      </c>
      <c r="Q246" s="126">
        <f t="shared" si="591"/>
        <v>-3.1189879999999999</v>
      </c>
      <c r="R246" s="126">
        <f t="shared" si="592"/>
        <v>-6.266756</v>
      </c>
      <c r="S246" s="126">
        <f t="shared" si="593"/>
        <v>-4.0428700000000042</v>
      </c>
      <c r="T246" s="126">
        <f t="shared" si="594"/>
        <v>-2.6366599999999991</v>
      </c>
      <c r="U246" s="126">
        <f t="shared" si="595"/>
        <v>-1.8037460000000003</v>
      </c>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248"/>
      <c r="AT246" s="260"/>
      <c r="AU246" s="126"/>
      <c r="AV246" s="126"/>
      <c r="AW246" s="126"/>
      <c r="AX246" s="33">
        <f t="shared" si="596"/>
        <v>1.854947800000005</v>
      </c>
      <c r="AY246" s="126">
        <f t="shared" si="597"/>
        <v>-11.027810000000002</v>
      </c>
      <c r="AZ246" s="126">
        <f t="shared" si="597"/>
        <v>3.7561070000000001</v>
      </c>
      <c r="BA246" s="126">
        <f t="shared" si="597"/>
        <v>2.8799300000000017</v>
      </c>
      <c r="BB246" s="126">
        <f t="shared" si="597"/>
        <v>7.9238810000000015</v>
      </c>
      <c r="BC246" s="126">
        <f t="shared" si="597"/>
        <v>-14.542159000000005</v>
      </c>
      <c r="BD246" s="6"/>
      <c r="BE246" s="6"/>
      <c r="BF246" s="6"/>
      <c r="BG246" s="6"/>
      <c r="BH246" s="6"/>
      <c r="BI246" s="6"/>
      <c r="BJ246" s="6"/>
      <c r="BK246" s="6"/>
    </row>
    <row r="247" spans="1:63" s="159" customFormat="1" ht="11.25" hidden="1" customHeight="1" outlineLevel="1">
      <c r="A247" s="6"/>
      <c r="B247" s="9" t="str">
        <f t="shared" si="581"/>
        <v>0.11/0.13um</v>
      </c>
      <c r="C247" s="6"/>
      <c r="D247" s="247"/>
      <c r="E247" s="260"/>
      <c r="F247" s="260"/>
      <c r="G247" s="260"/>
      <c r="H247" s="126">
        <f t="shared" si="582"/>
        <v>1.6750370000000006</v>
      </c>
      <c r="I247" s="126">
        <f t="shared" si="583"/>
        <v>1.7321439999999999</v>
      </c>
      <c r="J247" s="126">
        <f t="shared" si="584"/>
        <v>2.0330919999999981</v>
      </c>
      <c r="K247" s="126">
        <f t="shared" si="585"/>
        <v>1.9211239999999989</v>
      </c>
      <c r="L247" s="126">
        <f t="shared" si="586"/>
        <v>4.6791189999999983</v>
      </c>
      <c r="M247" s="126">
        <f t="shared" si="587"/>
        <v>3.3942510000000006</v>
      </c>
      <c r="N247" s="126">
        <f t="shared" si="588"/>
        <v>6.3498490000000007</v>
      </c>
      <c r="O247" s="126">
        <f t="shared" si="589"/>
        <v>3.0105749999999958</v>
      </c>
      <c r="P247" s="126">
        <f t="shared" si="590"/>
        <v>-2.6587699999999987</v>
      </c>
      <c r="Q247" s="126">
        <f t="shared" si="591"/>
        <v>-2.901962000000001</v>
      </c>
      <c r="R247" s="126">
        <f t="shared" si="592"/>
        <v>-3.6595579999999988</v>
      </c>
      <c r="S247" s="126">
        <f t="shared" si="593"/>
        <v>-1.6227050000000034</v>
      </c>
      <c r="T247" s="126">
        <f t="shared" si="594"/>
        <v>2.0845339999999997</v>
      </c>
      <c r="U247" s="126">
        <f t="shared" si="595"/>
        <v>2.0938320000000008</v>
      </c>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248"/>
      <c r="AT247" s="260"/>
      <c r="AU247" s="126"/>
      <c r="AV247" s="126"/>
      <c r="AW247" s="126"/>
      <c r="AX247" s="33">
        <f t="shared" si="596"/>
        <v>-5.4201768999999942</v>
      </c>
      <c r="AY247" s="126">
        <f t="shared" si="597"/>
        <v>2.2696289999999983</v>
      </c>
      <c r="AZ247" s="126">
        <f t="shared" si="597"/>
        <v>10.249850000000006</v>
      </c>
      <c r="BA247" s="126">
        <f t="shared" si="597"/>
        <v>7.3613969999999966</v>
      </c>
      <c r="BB247" s="126">
        <f t="shared" si="597"/>
        <v>17.433793999999999</v>
      </c>
      <c r="BC247" s="126">
        <f t="shared" si="597"/>
        <v>-10.842995000000002</v>
      </c>
      <c r="BD247" s="6"/>
      <c r="BE247" s="6"/>
      <c r="BF247" s="6"/>
      <c r="BG247" s="6"/>
      <c r="BH247" s="6"/>
      <c r="BI247" s="6"/>
      <c r="BJ247" s="6"/>
      <c r="BK247" s="6"/>
    </row>
    <row r="248" spans="1:63" s="159" customFormat="1" ht="11.25" hidden="1" customHeight="1" outlineLevel="1">
      <c r="A248" s="6"/>
      <c r="B248" s="9" t="str">
        <f t="shared" si="581"/>
        <v>0.15/0.18um</v>
      </c>
      <c r="C248" s="6"/>
      <c r="D248" s="247"/>
      <c r="E248" s="260"/>
      <c r="F248" s="260"/>
      <c r="G248" s="260"/>
      <c r="H248" s="126">
        <f t="shared" si="582"/>
        <v>-1.043451000000001</v>
      </c>
      <c r="I248" s="126">
        <f t="shared" si="583"/>
        <v>-0.62826399999999794</v>
      </c>
      <c r="J248" s="126">
        <f t="shared" si="584"/>
        <v>0.37394400000000161</v>
      </c>
      <c r="K248" s="126">
        <f t="shared" si="585"/>
        <v>1.989582999999989</v>
      </c>
      <c r="L248" s="126">
        <f t="shared" si="586"/>
        <v>4.9142480000000006</v>
      </c>
      <c r="M248" s="126">
        <f t="shared" si="587"/>
        <v>6.2099759999999975</v>
      </c>
      <c r="N248" s="126">
        <f t="shared" si="588"/>
        <v>7.4867439999999981</v>
      </c>
      <c r="O248" s="126">
        <f t="shared" si="589"/>
        <v>5.2599669999999961</v>
      </c>
      <c r="P248" s="126">
        <f t="shared" si="590"/>
        <v>-2.0598929999999989</v>
      </c>
      <c r="Q248" s="126">
        <f t="shared" si="591"/>
        <v>-6.3349939999999982</v>
      </c>
      <c r="R248" s="126">
        <f t="shared" si="592"/>
        <v>-9.6173770000000012</v>
      </c>
      <c r="S248" s="126">
        <f t="shared" si="593"/>
        <v>-5.9447449999999833</v>
      </c>
      <c r="T248" s="126">
        <f t="shared" si="594"/>
        <v>-1.5394439999999996</v>
      </c>
      <c r="U248" s="126">
        <f t="shared" si="595"/>
        <v>0.93067999999999884</v>
      </c>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248"/>
      <c r="AT248" s="260"/>
      <c r="AU248" s="126"/>
      <c r="AV248" s="126"/>
      <c r="AW248" s="126"/>
      <c r="AX248" s="33">
        <f t="shared" si="596"/>
        <v>-5.8101369999999974</v>
      </c>
      <c r="AY248" s="126">
        <f t="shared" si="597"/>
        <v>-3.6181539999999899</v>
      </c>
      <c r="AZ248" s="126">
        <f t="shared" si="597"/>
        <v>8.4439830000000029</v>
      </c>
      <c r="BA248" s="126">
        <f t="shared" si="597"/>
        <v>0.69181199999999876</v>
      </c>
      <c r="BB248" s="126">
        <f t="shared" si="597"/>
        <v>23.870934999999989</v>
      </c>
      <c r="BC248" s="126">
        <f t="shared" si="597"/>
        <v>-23.957008999999985</v>
      </c>
      <c r="BD248" s="6"/>
      <c r="BE248" s="6"/>
      <c r="BF248" s="6"/>
      <c r="BG248" s="6"/>
      <c r="BH248" s="6"/>
      <c r="BI248" s="6"/>
      <c r="BJ248" s="6"/>
      <c r="BK248" s="6"/>
    </row>
    <row r="249" spans="1:63" s="159" customFormat="1" ht="13.5" hidden="1" customHeight="1" outlineLevel="1">
      <c r="A249" s="6"/>
      <c r="B249" s="9" t="str">
        <f t="shared" si="581"/>
        <v>≥0.25um</v>
      </c>
      <c r="C249" s="6"/>
      <c r="D249" s="229"/>
      <c r="E249" s="350"/>
      <c r="F249" s="350"/>
      <c r="G249" s="350"/>
      <c r="H249" s="327">
        <f t="shared" si="582"/>
        <v>0.39644699999999933</v>
      </c>
      <c r="I249" s="327">
        <f t="shared" si="583"/>
        <v>-0.61295900000000092</v>
      </c>
      <c r="J249" s="327">
        <f t="shared" si="584"/>
        <v>0.38812299999999933</v>
      </c>
      <c r="K249" s="327">
        <f t="shared" si="585"/>
        <v>2.048409000000003</v>
      </c>
      <c r="L249" s="327">
        <f t="shared" si="586"/>
        <v>0.80401500000000059</v>
      </c>
      <c r="M249" s="327">
        <f t="shared" si="587"/>
        <v>0.72818500000000075</v>
      </c>
      <c r="N249" s="327">
        <f t="shared" si="588"/>
        <v>1.3336400000000008</v>
      </c>
      <c r="O249" s="327">
        <f t="shared" si="589"/>
        <v>0.79458299999999937</v>
      </c>
      <c r="P249" s="327">
        <f t="shared" si="590"/>
        <v>-1.1202039999999993</v>
      </c>
      <c r="Q249" s="327">
        <f t="shared" si="591"/>
        <v>-1.6848970000000003</v>
      </c>
      <c r="R249" s="327">
        <f t="shared" si="592"/>
        <v>-2.8521290000000006</v>
      </c>
      <c r="S249" s="327">
        <f t="shared" si="593"/>
        <v>-2.9247320000000023</v>
      </c>
      <c r="T249" s="327">
        <f t="shared" si="594"/>
        <v>-1.2063710000000003</v>
      </c>
      <c r="U249" s="327">
        <f t="shared" si="595"/>
        <v>-1.3565709999999997</v>
      </c>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249"/>
      <c r="AT249" s="350"/>
      <c r="AU249" s="327"/>
      <c r="AV249" s="327"/>
      <c r="AW249" s="327"/>
      <c r="AX249" s="640">
        <f t="shared" si="596"/>
        <v>0.6632271000000074</v>
      </c>
      <c r="AY249" s="327">
        <f t="shared" si="597"/>
        <v>-6.8259360000000022</v>
      </c>
      <c r="AZ249" s="327">
        <f t="shared" si="597"/>
        <v>0.57976700000000037</v>
      </c>
      <c r="BA249" s="327">
        <f t="shared" si="597"/>
        <v>2.2200199999999981</v>
      </c>
      <c r="BB249" s="327">
        <f t="shared" si="597"/>
        <v>3.6604230000000015</v>
      </c>
      <c r="BC249" s="327">
        <f t="shared" si="597"/>
        <v>-8.5819620000000008</v>
      </c>
      <c r="BD249" s="6"/>
      <c r="BE249" s="6"/>
      <c r="BF249" s="6"/>
      <c r="BG249" s="6"/>
      <c r="BH249" s="6"/>
      <c r="BI249" s="6"/>
      <c r="BJ249" s="6"/>
      <c r="BK249" s="6"/>
    </row>
    <row r="250" spans="1:63" s="159" customFormat="1" ht="11.25" hidden="1" customHeight="1" outlineLevel="1">
      <c r="A250" s="6"/>
      <c r="B250" s="36" t="str">
        <f t="shared" si="581"/>
        <v>Total Wafer Revenue</v>
      </c>
      <c r="C250" s="6"/>
      <c r="D250" s="247"/>
      <c r="E250" s="260"/>
      <c r="F250" s="260"/>
      <c r="G250" s="260"/>
      <c r="H250" s="126">
        <f t="shared" si="582"/>
        <v>50.822444000000075</v>
      </c>
      <c r="I250" s="126">
        <f t="shared" si="583"/>
        <v>56.699669999999969</v>
      </c>
      <c r="J250" s="126">
        <f t="shared" si="584"/>
        <v>49.457916999999952</v>
      </c>
      <c r="K250" s="126">
        <f t="shared" si="585"/>
        <v>69.863968999999827</v>
      </c>
      <c r="L250" s="126">
        <f t="shared" si="586"/>
        <v>116.16449499999993</v>
      </c>
      <c r="M250" s="126">
        <f t="shared" si="587"/>
        <v>143.77553700000004</v>
      </c>
      <c r="N250" s="126">
        <f t="shared" si="588"/>
        <v>174.20194900000001</v>
      </c>
      <c r="O250" s="126">
        <f t="shared" si="589"/>
        <v>152.41369300000031</v>
      </c>
      <c r="P250" s="126">
        <f t="shared" si="590"/>
        <v>9.7461540000000468</v>
      </c>
      <c r="Q250" s="126">
        <f t="shared" si="591"/>
        <v>-54.743857999999932</v>
      </c>
      <c r="R250" s="126">
        <f t="shared" si="592"/>
        <v>-67.172533999999985</v>
      </c>
      <c r="S250" s="126">
        <f t="shared" si="593"/>
        <v>2.8323709999997391</v>
      </c>
      <c r="T250" s="126">
        <f t="shared" si="594"/>
        <v>73.514066000000071</v>
      </c>
      <c r="U250" s="126">
        <f t="shared" ca="1" si="595"/>
        <v>175.20324099999999</v>
      </c>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247"/>
      <c r="AT250" s="260"/>
      <c r="AU250" s="126"/>
      <c r="AV250" s="126"/>
      <c r="AW250" s="126"/>
      <c r="AX250" s="33">
        <f t="shared" si="596"/>
        <v>41.368534000000182</v>
      </c>
      <c r="AY250" s="126">
        <f t="shared" si="597"/>
        <v>16.020986999999764</v>
      </c>
      <c r="AZ250" s="126">
        <f t="shared" si="597"/>
        <v>251.13892200000043</v>
      </c>
      <c r="BA250" s="126">
        <f t="shared" si="597"/>
        <v>226.84399999999982</v>
      </c>
      <c r="BB250" s="126">
        <f t="shared" si="597"/>
        <v>586.55567400000041</v>
      </c>
      <c r="BC250" s="126">
        <f t="shared" si="597"/>
        <v>-109.33786700000041</v>
      </c>
      <c r="BD250" s="6"/>
      <c r="BE250" s="6"/>
      <c r="BF250" s="6"/>
      <c r="BG250" s="6"/>
      <c r="BH250" s="6"/>
      <c r="BI250" s="6"/>
      <c r="BJ250" s="6"/>
      <c r="BK250" s="6"/>
    </row>
    <row r="251" spans="1:63" ht="11.25" customHeight="1" collapsed="1">
      <c r="A251" s="76"/>
      <c r="B251" s="36"/>
      <c r="C251" s="18"/>
      <c r="D251" s="1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c r="AA251" s="188"/>
      <c r="AB251" s="18"/>
      <c r="AC251" s="18"/>
      <c r="AD251" s="18"/>
      <c r="AE251" s="18"/>
      <c r="AF251" s="18"/>
      <c r="AG251" s="18"/>
      <c r="AH251" s="18"/>
      <c r="AI251" s="18"/>
      <c r="AJ251" s="18"/>
      <c r="AK251" s="18"/>
      <c r="AL251" s="18"/>
      <c r="AM251" s="18"/>
      <c r="AN251" s="18"/>
      <c r="AO251" s="18"/>
      <c r="AP251" s="18"/>
      <c r="AQ251" s="18"/>
      <c r="AR251" s="18"/>
      <c r="AS251" s="18"/>
      <c r="AT251" s="18"/>
      <c r="AU251" s="18"/>
      <c r="AV251" s="188"/>
      <c r="AW251" s="188"/>
      <c r="AX251" s="188"/>
      <c r="AY251" s="188"/>
      <c r="AZ251" s="188"/>
      <c r="BA251" s="188"/>
      <c r="BB251" s="188"/>
      <c r="BC251" s="188"/>
      <c r="BD251" s="188"/>
      <c r="BE251" s="188"/>
      <c r="BF251" s="2"/>
      <c r="BG251" s="50"/>
      <c r="BH251" s="50"/>
      <c r="BI251" s="50"/>
      <c r="BJ251" s="50"/>
      <c r="BK251" s="50"/>
    </row>
    <row r="252" spans="1:63" ht="11.25" customHeight="1">
      <c r="A252" s="2"/>
      <c r="B252" s="128" t="s">
        <v>29</v>
      </c>
      <c r="C252" s="6"/>
      <c r="D252" s="236"/>
      <c r="E252" s="236"/>
      <c r="F252" s="236"/>
      <c r="G252" s="236"/>
      <c r="H252" s="236"/>
      <c r="I252" s="236"/>
      <c r="J252" s="236"/>
      <c r="K252" s="236"/>
      <c r="L252" s="236"/>
      <c r="M252" s="236"/>
      <c r="N252" s="236"/>
      <c r="O252" s="236"/>
      <c r="P252" s="236"/>
      <c r="Q252" s="236"/>
      <c r="R252" s="236"/>
      <c r="S252" s="236"/>
      <c r="T252" s="236"/>
      <c r="U252" s="236"/>
      <c r="V252" s="120"/>
      <c r="W252" s="120"/>
      <c r="X252" s="120"/>
      <c r="Y252" s="120"/>
      <c r="Z252" s="120"/>
      <c r="AA252" s="120"/>
      <c r="AB252" s="2"/>
      <c r="AC252" s="2"/>
      <c r="AD252" s="2"/>
      <c r="AE252" s="2"/>
      <c r="AF252" s="2"/>
      <c r="AG252" s="2"/>
      <c r="AH252" s="2"/>
      <c r="AI252" s="2"/>
      <c r="AJ252" s="2"/>
      <c r="AK252" s="2"/>
      <c r="AL252" s="2"/>
      <c r="AM252" s="2"/>
      <c r="AN252" s="2"/>
      <c r="AO252" s="2"/>
      <c r="AP252" s="2"/>
      <c r="AQ252" s="2"/>
      <c r="AR252" s="2"/>
      <c r="AS252" s="2"/>
      <c r="AT252" s="2"/>
      <c r="AU252" s="2"/>
      <c r="AV252" s="2"/>
      <c r="AW252" s="236"/>
      <c r="AX252" s="120"/>
      <c r="AY252" s="120"/>
      <c r="AZ252" s="120"/>
      <c r="BA252" s="120"/>
      <c r="BB252" s="120"/>
      <c r="BC252" s="120"/>
      <c r="BD252" s="120"/>
      <c r="BE252" s="120"/>
      <c r="BF252" s="2"/>
      <c r="BG252" s="2"/>
      <c r="BH252" s="2"/>
      <c r="BI252" s="2"/>
      <c r="BJ252" s="2"/>
      <c r="BK252" s="2"/>
    </row>
    <row r="253" spans="1:63" ht="11.25" customHeight="1">
      <c r="A253" s="2"/>
      <c r="B253" s="75" t="s">
        <v>426</v>
      </c>
      <c r="C253" s="270"/>
      <c r="D253" s="270"/>
      <c r="E253" s="270"/>
      <c r="F253" s="270"/>
      <c r="G253" s="270"/>
      <c r="H253" s="270"/>
      <c r="I253" s="270"/>
      <c r="J253" s="270"/>
      <c r="K253" s="270"/>
      <c r="L253" s="270"/>
      <c r="M253" s="270"/>
      <c r="N253" s="270"/>
      <c r="O253" s="270"/>
      <c r="P253" s="270"/>
      <c r="Q253" s="270"/>
      <c r="R253" s="270"/>
      <c r="S253" s="270"/>
      <c r="T253" s="270"/>
      <c r="U253" s="270"/>
      <c r="V253" s="270"/>
      <c r="W253" s="270"/>
      <c r="X253" s="270"/>
      <c r="Y253" s="270"/>
      <c r="Z253" s="270"/>
      <c r="AA253" s="270"/>
      <c r="AB253" s="270"/>
      <c r="AC253" s="270"/>
      <c r="AD253" s="270"/>
      <c r="AE253" s="270"/>
      <c r="AF253" s="270"/>
      <c r="AG253" s="270"/>
      <c r="AH253" s="270"/>
      <c r="AI253" s="270"/>
      <c r="AJ253" s="270"/>
      <c r="AK253" s="270"/>
      <c r="AL253" s="270"/>
      <c r="AM253" s="270"/>
      <c r="AN253" s="270"/>
      <c r="AO253" s="270"/>
      <c r="AP253" s="270"/>
      <c r="AQ253" s="270"/>
      <c r="AR253" s="270"/>
      <c r="AS253" s="270"/>
      <c r="AT253" s="270"/>
      <c r="AU253" s="270"/>
      <c r="AV253" s="270"/>
      <c r="AW253" s="270"/>
      <c r="AX253" s="270"/>
      <c r="AY253" s="270"/>
      <c r="AZ253" s="270"/>
      <c r="BA253" s="270"/>
      <c r="BB253" s="270"/>
      <c r="BC253" s="270"/>
      <c r="BD253" s="270"/>
      <c r="BE253" s="2"/>
      <c r="BF253" s="2"/>
      <c r="BG253" s="2"/>
      <c r="BH253" s="2"/>
      <c r="BI253" s="2"/>
      <c r="BJ253" s="2"/>
      <c r="BK253" s="2"/>
    </row>
    <row r="254" spans="1:63" s="159" customFormat="1" ht="11.25" customHeight="1">
      <c r="A254" s="6"/>
      <c r="B254" s="36"/>
      <c r="C254" s="6"/>
      <c r="D254" s="247"/>
      <c r="E254" s="247"/>
      <c r="F254" s="247"/>
      <c r="G254" s="247"/>
      <c r="H254" s="247"/>
      <c r="I254" s="247"/>
      <c r="J254" s="247"/>
      <c r="K254" s="247"/>
      <c r="L254" s="247"/>
      <c r="M254" s="247"/>
      <c r="N254" s="247"/>
      <c r="O254" s="247"/>
      <c r="P254" s="247"/>
      <c r="Q254" s="247"/>
      <c r="R254" s="247"/>
      <c r="S254" s="247"/>
      <c r="T254" s="247"/>
      <c r="U254" s="247"/>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247"/>
      <c r="AT254" s="247"/>
      <c r="AU254" s="247"/>
      <c r="AV254" s="247"/>
      <c r="AW254" s="247"/>
      <c r="AX254" s="247"/>
      <c r="AY254" s="247"/>
      <c r="AZ254" s="247"/>
      <c r="BA254" s="247"/>
      <c r="BB254" s="247"/>
      <c r="BC254" s="247"/>
      <c r="BD254" s="6"/>
      <c r="BE254" s="6"/>
      <c r="BF254" s="6"/>
      <c r="BG254" s="6"/>
      <c r="BH254" s="6"/>
      <c r="BI254" s="6"/>
      <c r="BJ254" s="6"/>
      <c r="BK254" s="6"/>
    </row>
    <row r="255" spans="1:63" ht="11.25" customHeight="1">
      <c r="A255" s="2"/>
      <c r="B255" s="11" t="s">
        <v>421</v>
      </c>
      <c r="C255" s="10"/>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7"/>
      <c r="AW255" s="27"/>
      <c r="AX255" s="27"/>
      <c r="AY255" s="27"/>
      <c r="AZ255" s="27"/>
      <c r="BA255" s="27"/>
      <c r="BB255" s="27"/>
      <c r="BC255" s="2"/>
      <c r="BD255" s="2"/>
      <c r="BE255" s="2"/>
      <c r="BF255" s="2"/>
      <c r="BG255" s="2"/>
      <c r="BH255" s="2"/>
      <c r="BI255" s="2"/>
      <c r="BJ255" s="2"/>
      <c r="BK255" s="2"/>
    </row>
    <row r="256" spans="1:63" ht="11.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19"/>
      <c r="AW256" s="19"/>
      <c r="AX256" s="19"/>
      <c r="AY256" s="19"/>
      <c r="AZ256" s="19"/>
      <c r="BA256" s="19"/>
      <c r="BB256" s="19"/>
      <c r="BC256" s="2"/>
      <c r="BD256" s="2"/>
      <c r="BE256" s="2"/>
      <c r="BF256" s="2"/>
      <c r="BG256" s="2"/>
      <c r="BH256" s="2"/>
      <c r="BI256" s="2"/>
      <c r="BJ256" s="2"/>
      <c r="BK256" s="2"/>
    </row>
    <row r="257" spans="1:74" ht="11.25" customHeight="1">
      <c r="A257" s="2"/>
      <c r="B257" s="65" t="s">
        <v>289</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row>
    <row r="258" spans="1:74" ht="11.25" customHeight="1">
      <c r="A258" s="2"/>
      <c r="B258" s="2" t="s">
        <v>282</v>
      </c>
      <c r="C258" s="2"/>
      <c r="D258" s="639" t="s">
        <v>548</v>
      </c>
      <c r="E258" s="639" t="s">
        <v>548</v>
      </c>
      <c r="F258" s="639" t="s">
        <v>548</v>
      </c>
      <c r="G258" s="267">
        <v>12000</v>
      </c>
      <c r="H258" s="639" t="s">
        <v>548</v>
      </c>
      <c r="I258" s="639" t="s">
        <v>548</v>
      </c>
      <c r="J258" s="639" t="s">
        <v>548</v>
      </c>
      <c r="K258" s="267">
        <v>13000</v>
      </c>
      <c r="L258" s="639" t="s">
        <v>548</v>
      </c>
      <c r="M258" s="639" t="s">
        <v>548</v>
      </c>
      <c r="N258" s="639" t="s">
        <v>548</v>
      </c>
      <c r="O258" s="267">
        <v>15000</v>
      </c>
      <c r="P258" s="639" t="s">
        <v>548</v>
      </c>
      <c r="Q258" s="639" t="s">
        <v>548</v>
      </c>
      <c r="R258" s="639" t="s">
        <v>548</v>
      </c>
      <c r="S258" s="267">
        <v>16000</v>
      </c>
      <c r="T258" s="639" t="s">
        <v>548</v>
      </c>
      <c r="U258" s="639" t="s">
        <v>548</v>
      </c>
      <c r="V258" s="639" t="s">
        <v>548</v>
      </c>
      <c r="W258" s="2"/>
      <c r="X258" s="2"/>
      <c r="Y258" s="2"/>
      <c r="Z258" s="2"/>
      <c r="AA258" s="2"/>
      <c r="AB258" s="2"/>
      <c r="AC258" s="272">
        <v>524</v>
      </c>
      <c r="AD258" s="272">
        <v>719</v>
      </c>
      <c r="AE258" s="272">
        <v>842</v>
      </c>
      <c r="AF258" s="272">
        <v>1516</v>
      </c>
      <c r="AG258" s="272">
        <v>1946</v>
      </c>
      <c r="AH258" s="272">
        <v>1729</v>
      </c>
      <c r="AI258" s="272">
        <v>1784</v>
      </c>
      <c r="AJ258" s="272">
        <v>2128</v>
      </c>
      <c r="AK258" s="272">
        <v>2646</v>
      </c>
      <c r="AL258" s="272">
        <v>3139</v>
      </c>
      <c r="AM258" s="272">
        <v>3684</v>
      </c>
      <c r="AN258" s="272">
        <v>4168</v>
      </c>
      <c r="AO258" s="272">
        <v>4424</v>
      </c>
      <c r="AP258" s="272">
        <v>5035</v>
      </c>
      <c r="AQ258" s="272">
        <v>5876</v>
      </c>
      <c r="AR258" s="272">
        <v>6707</v>
      </c>
      <c r="AS258" s="272">
        <v>7310</v>
      </c>
      <c r="AT258" s="272">
        <v>8176</v>
      </c>
      <c r="AU258" s="267">
        <v>9000</v>
      </c>
      <c r="AV258" s="267">
        <v>10000</v>
      </c>
      <c r="AW258" s="267">
        <v>11000</v>
      </c>
      <c r="AX258" s="267">
        <v>12000</v>
      </c>
      <c r="AY258" s="267">
        <v>12000</v>
      </c>
      <c r="AZ258" s="267">
        <v>12000</v>
      </c>
      <c r="BA258" s="267">
        <v>13000</v>
      </c>
      <c r="BB258" s="267">
        <v>15000</v>
      </c>
      <c r="BC258" s="267">
        <v>16000</v>
      </c>
      <c r="BD258" s="2"/>
      <c r="BE258" s="2"/>
      <c r="BF258" s="2"/>
      <c r="BG258" s="2"/>
      <c r="BH258" s="2"/>
      <c r="BI258" s="2"/>
      <c r="BJ258" s="2"/>
      <c r="BK258" s="2"/>
    </row>
    <row r="259" spans="1:74" s="54" customFormat="1" ht="11.25" customHeight="1">
      <c r="A259" s="18"/>
      <c r="B259" s="35" t="s">
        <v>249</v>
      </c>
      <c r="C259" s="18"/>
      <c r="D259" s="18"/>
      <c r="E259" s="18"/>
      <c r="F259" s="72"/>
      <c r="G259" s="72"/>
      <c r="H259" s="40" t="str">
        <f t="shared" ref="H259" si="598">IFERROR(IF(AND(H258&gt;0,D258&gt;0),H258/D258-1,"n/m"),"n/a")</f>
        <v>n/a</v>
      </c>
      <c r="I259" s="40" t="str">
        <f t="shared" ref="I259" si="599">IFERROR(IF(AND(I258&gt;0,E258&gt;0),I258/E258-1,"n/m"),"n/a")</f>
        <v>n/a</v>
      </c>
      <c r="J259" s="40" t="str">
        <f t="shared" ref="J259" si="600">IFERROR(IF(AND(J258&gt;0,F258&gt;0),J258/F258-1,"n/m"),"n/a")</f>
        <v>n/a</v>
      </c>
      <c r="K259" s="40">
        <f t="shared" ref="K259" si="601">IFERROR(IF(AND(K258&gt;0,G258&gt;0),K258/G258-1,"n/m"),"n/a")</f>
        <v>8.3333333333333259E-2</v>
      </c>
      <c r="L259" s="40" t="str">
        <f t="shared" ref="L259" si="602">IFERROR(IF(AND(L258&gt;0,H258&gt;0),L258/H258-1,"n/m"),"n/a")</f>
        <v>n/a</v>
      </c>
      <c r="M259" s="40" t="str">
        <f t="shared" ref="M259" si="603">IFERROR(IF(AND(M258&gt;0,I258&gt;0),M258/I258-1,"n/m"),"n/a")</f>
        <v>n/a</v>
      </c>
      <c r="N259" s="40" t="str">
        <f t="shared" ref="N259" si="604">IFERROR(IF(AND(N258&gt;0,J258&gt;0),N258/J258-1,"n/m"),"n/a")</f>
        <v>n/a</v>
      </c>
      <c r="O259" s="40">
        <f t="shared" ref="O259" si="605">IFERROR(IF(AND(O258&gt;0,K258&gt;0),O258/K258-1,"n/m"),"n/a")</f>
        <v>0.15384615384615374</v>
      </c>
      <c r="P259" s="40" t="str">
        <f t="shared" ref="P259" si="606">IFERROR(IF(AND(P258&gt;0,L258&gt;0),P258/L258-1,"n/m"),"n/a")</f>
        <v>n/a</v>
      </c>
      <c r="Q259" s="40" t="str">
        <f t="shared" ref="Q259" si="607">IFERROR(IF(AND(Q258&gt;0,M258&gt;0),Q258/M258-1,"n/m"),"n/a")</f>
        <v>n/a</v>
      </c>
      <c r="R259" s="40" t="str">
        <f t="shared" ref="R259" si="608">IFERROR(IF(AND(R258&gt;0,N258&gt;0),R258/N258-1,"n/m"),"n/a")</f>
        <v>n/a</v>
      </c>
      <c r="S259" s="40">
        <f t="shared" ref="S259" si="609">IFERROR(IF(AND(S258&gt;0,O258&gt;0),S258/O258-1,"n/m"),"n/a")</f>
        <v>6.6666666666666652E-2</v>
      </c>
      <c r="T259" s="40" t="str">
        <f t="shared" ref="T259" si="610">IFERROR(IF(AND(T258&gt;0,P258&gt;0),T258/P258-1,"n/m"),"n/a")</f>
        <v>n/a</v>
      </c>
      <c r="U259" s="40" t="str">
        <f t="shared" ref="U259:V259" si="611">IFERROR(IF(AND(U258&gt;0,Q258&gt;0),U258/Q258-1,"n/m"),"n/a")</f>
        <v>n/a</v>
      </c>
      <c r="V259" s="40" t="str">
        <f t="shared" si="611"/>
        <v>n/a</v>
      </c>
      <c r="W259" s="40"/>
      <c r="X259" s="40"/>
      <c r="Y259" s="40"/>
      <c r="Z259" s="40"/>
      <c r="AA259" s="40"/>
      <c r="AB259" s="18"/>
      <c r="AC259" s="40"/>
      <c r="AD259" s="40">
        <f t="shared" ref="AD259" si="612">IFERROR(IF(AND(AD258&gt;0,AC258&gt;0),AD258/AC258-1,"n/m"),"n/a")</f>
        <v>0.37213740458015265</v>
      </c>
      <c r="AE259" s="40">
        <f t="shared" ref="AE259" si="613">IFERROR(IF(AND(AE258&gt;0,AD258&gt;0),AE258/AD258-1,"n/m"),"n/a")</f>
        <v>0.17107093184979139</v>
      </c>
      <c r="AF259" s="40">
        <f t="shared" ref="AF259" si="614">IFERROR(IF(AND(AF258&gt;0,AE258&gt;0),AF258/AE258-1,"n/m"),"n/a")</f>
        <v>0.8004750593824228</v>
      </c>
      <c r="AG259" s="40">
        <f t="shared" ref="AG259" si="615">IFERROR(IF(AND(AG258&gt;0,AF258&gt;0),AG258/AF258-1,"n/m"),"n/a")</f>
        <v>0.28364116094986813</v>
      </c>
      <c r="AH259" s="40">
        <f t="shared" ref="AH259" si="616">IFERROR(IF(AND(AH258&gt;0,AG258&gt;0),AH258/AG258-1,"n/m"),"n/a")</f>
        <v>-0.11151079136690645</v>
      </c>
      <c r="AI259" s="40">
        <f t="shared" ref="AI259" si="617">IFERROR(IF(AND(AI258&gt;0,AH258&gt;0),AI258/AH258-1,"n/m"),"n/a")</f>
        <v>3.1810294968189767E-2</v>
      </c>
      <c r="AJ259" s="40">
        <f t="shared" ref="AJ259" si="618">IFERROR(IF(AND(AJ258&gt;0,AI258&gt;0),AJ258/AI258-1,"n/m"),"n/a")</f>
        <v>0.19282511210762321</v>
      </c>
      <c r="AK259" s="40">
        <f t="shared" ref="AK259" si="619">IFERROR(IF(AND(AK258&gt;0,AJ258&gt;0),AK258/AJ258-1,"n/m"),"n/a")</f>
        <v>0.24342105263157898</v>
      </c>
      <c r="AL259" s="40">
        <f t="shared" ref="AL259" si="620">IFERROR(IF(AND(AL258&gt;0,AK258&gt;0),AL258/AK258-1,"n/m"),"n/a")</f>
        <v>0.18631897203325765</v>
      </c>
      <c r="AM259" s="40">
        <f t="shared" ref="AM259" si="621">IFERROR(IF(AND(AM258&gt;0,AL258&gt;0),AM258/AL258-1,"n/m"),"n/a")</f>
        <v>0.17362217266645419</v>
      </c>
      <c r="AN259" s="40">
        <f t="shared" ref="AN259" si="622">IFERROR(IF(AND(AN258&gt;0,AM258&gt;0),AN258/AM258-1,"n/m"),"n/a")</f>
        <v>0.13137893593919658</v>
      </c>
      <c r="AO259" s="40">
        <f t="shared" ref="AO259" si="623">IFERROR(IF(AND(AO258&gt;0,AN258&gt;0),AO258/AN258-1,"n/m"),"n/a")</f>
        <v>6.1420345489443307E-2</v>
      </c>
      <c r="AP259" s="40">
        <f t="shared" ref="AP259" si="624">IFERROR(IF(AND(AP258&gt;0,AO258&gt;0),AP258/AO258-1,"n/m"),"n/a")</f>
        <v>0.13811030741410479</v>
      </c>
      <c r="AQ259" s="40">
        <f t="shared" ref="AQ259" si="625">IFERROR(IF(AND(AQ258&gt;0,AP258&gt;0),AQ258/AP258-1,"n/m"),"n/a")</f>
        <v>0.16703078450844089</v>
      </c>
      <c r="AR259" s="40">
        <f t="shared" ref="AR259" si="626">IFERROR(IF(AND(AR258&gt;0,AQ258&gt;0),AR258/AQ258-1,"n/m"),"n/a")</f>
        <v>0.14142273655547988</v>
      </c>
      <c r="AS259" s="40">
        <f t="shared" ref="AS259" si="627">IFERROR(IF(AND(AS258&gt;0,AR258&gt;0),AS258/AR258-1,"n/m"),"n/a")</f>
        <v>8.9906068286864427E-2</v>
      </c>
      <c r="AT259" s="40">
        <f t="shared" ref="AT259" si="628">IFERROR(IF(AND(AT258&gt;0,AS258&gt;0),AT258/AS258-1,"n/m"),"n/a")</f>
        <v>0.11846785225718204</v>
      </c>
      <c r="AU259" s="40">
        <f t="shared" ref="AU259" si="629">IFERROR(IF(AND(AU258&gt;0,AT258&gt;0),AU258/AT258-1,"n/m"),"n/a")</f>
        <v>0.10078277886497067</v>
      </c>
      <c r="AV259" s="40">
        <f t="shared" ref="AV259" si="630">IFERROR(IF(AND(AV258&gt;0,AU258&gt;0),AV258/AU258-1,"n/m"),"n/a")</f>
        <v>0.11111111111111116</v>
      </c>
      <c r="AW259" s="40">
        <f t="shared" ref="AW259" si="631">IFERROR(IF(AND(AW258&gt;0,AV258&gt;0),AW258/AV258-1,"n/m"),"n/a")</f>
        <v>0.10000000000000009</v>
      </c>
      <c r="AX259" s="40">
        <f t="shared" ref="AX259" si="632">IFERROR(IF(AND(AX258&gt;0,AW258&gt;0),AX258/AW258-1,"n/m"),"n/a")</f>
        <v>9.0909090909090828E-2</v>
      </c>
      <c r="AY259" s="40">
        <f t="shared" ref="AY259" si="633">IFERROR(IF(AND(AY258&gt;0,AX258&gt;0),AY258/AX258-1,"n/m"),"n/a")</f>
        <v>0</v>
      </c>
      <c r="AZ259" s="40">
        <f t="shared" ref="AZ259" si="634">IFERROR(IF(AND(AZ258&gt;0,AY258&gt;0),AZ258/AY258-1,"n/m"),"n/a")</f>
        <v>0</v>
      </c>
      <c r="BA259" s="40">
        <f t="shared" ref="BA259" si="635">IFERROR(IF(AND(BA258&gt;0,AZ258&gt;0),BA258/AZ258-1,"n/m"),"n/a")</f>
        <v>8.3333333333333259E-2</v>
      </c>
      <c r="BB259" s="40">
        <f t="shared" ref="BB259" si="636">IFERROR(IF(AND(BB258&gt;0,BA258&gt;0),BB258/BA258-1,"n/m"),"n/a")</f>
        <v>0.15384615384615374</v>
      </c>
      <c r="BC259" s="40">
        <f t="shared" ref="BC259" si="637">IFERROR(IF(AND(BC258&gt;0,BB258&gt;0),BC258/BB258-1,"n/m"),"n/a")</f>
        <v>6.6666666666666652E-2</v>
      </c>
      <c r="BD259" s="40"/>
      <c r="BE259" s="40"/>
      <c r="BF259" s="18"/>
      <c r="BG259" s="18"/>
      <c r="BH259" s="18"/>
      <c r="BI259" s="18"/>
      <c r="BJ259" s="18"/>
      <c r="BK259" s="18"/>
    </row>
    <row r="260" spans="1:74" s="54" customFormat="1" ht="11.25" customHeight="1">
      <c r="A260" s="18"/>
      <c r="B260" s="35" t="s">
        <v>467</v>
      </c>
      <c r="C260" s="18"/>
      <c r="D260" s="18"/>
      <c r="E260" s="18"/>
      <c r="F260" s="72"/>
      <c r="G260" s="72"/>
      <c r="H260" s="40"/>
      <c r="I260" s="40"/>
      <c r="J260" s="40"/>
      <c r="K260" s="40"/>
      <c r="L260" s="40" t="str">
        <f>IFERROR((L258/D258)^(1/2)-1,"n/a")</f>
        <v>n/a</v>
      </c>
      <c r="M260" s="40" t="str">
        <f t="shared" ref="M260:V260" si="638">IFERROR((M258/E258)^(1/2)-1,"n/a")</f>
        <v>n/a</v>
      </c>
      <c r="N260" s="40" t="str">
        <f t="shared" si="638"/>
        <v>n/a</v>
      </c>
      <c r="O260" s="40">
        <f t="shared" si="638"/>
        <v>0.1180339887498949</v>
      </c>
      <c r="P260" s="40" t="str">
        <f t="shared" si="638"/>
        <v>n/a</v>
      </c>
      <c r="Q260" s="40" t="str">
        <f t="shared" si="638"/>
        <v>n/a</v>
      </c>
      <c r="R260" s="40" t="str">
        <f t="shared" si="638"/>
        <v>n/a</v>
      </c>
      <c r="S260" s="40">
        <f t="shared" si="638"/>
        <v>0.10940039245045829</v>
      </c>
      <c r="T260" s="40" t="str">
        <f t="shared" si="638"/>
        <v>n/a</v>
      </c>
      <c r="U260" s="40" t="str">
        <f t="shared" si="638"/>
        <v>n/a</v>
      </c>
      <c r="V260" s="40" t="str">
        <f t="shared" si="638"/>
        <v>n/a</v>
      </c>
      <c r="W260" s="40"/>
      <c r="X260" s="40"/>
      <c r="Y260" s="40"/>
      <c r="Z260" s="40"/>
      <c r="AA260" s="40"/>
      <c r="AB260" s="18"/>
      <c r="AC260" s="18"/>
      <c r="AD260" s="18"/>
      <c r="AE260" s="40">
        <f t="shared" ref="AE260:AS260" si="639">(AE258/AC258)^(1/2)-1</f>
        <v>0.26762385154573098</v>
      </c>
      <c r="AF260" s="40">
        <f t="shared" si="639"/>
        <v>0.45206198406379428</v>
      </c>
      <c r="AG260" s="40">
        <f t="shared" si="639"/>
        <v>0.52025126064310023</v>
      </c>
      <c r="AH260" s="40">
        <f t="shared" si="639"/>
        <v>6.7942563652752641E-2</v>
      </c>
      <c r="AI260" s="40">
        <f t="shared" si="639"/>
        <v>-4.2528166244162668E-2</v>
      </c>
      <c r="AJ260" s="40">
        <f t="shared" si="639"/>
        <v>0.10940039245045829</v>
      </c>
      <c r="AK260" s="40">
        <f t="shared" si="639"/>
        <v>0.2178603600176181</v>
      </c>
      <c r="AL260" s="40">
        <f t="shared" si="639"/>
        <v>0.2145344725294569</v>
      </c>
      <c r="AM260" s="40">
        <f t="shared" si="639"/>
        <v>0.17995349460608256</v>
      </c>
      <c r="AN260" s="40">
        <f t="shared" si="639"/>
        <v>0.15230699247467072</v>
      </c>
      <c r="AO260" s="40">
        <f t="shared" si="639"/>
        <v>9.5841512749020197E-2</v>
      </c>
      <c r="AP260" s="40">
        <f t="shared" si="639"/>
        <v>9.9096645295842833E-2</v>
      </c>
      <c r="AQ260" s="40">
        <f t="shared" si="639"/>
        <v>0.15247983276004695</v>
      </c>
      <c r="AR260" s="40">
        <f t="shared" si="639"/>
        <v>0.15415573979342723</v>
      </c>
      <c r="AS260" s="40">
        <f t="shared" si="639"/>
        <v>0.11536701002513805</v>
      </c>
      <c r="AT260" s="40">
        <f>(AT258/AR258)^(1/2)-1</f>
        <v>0.10409460616329369</v>
      </c>
      <c r="AU260" s="40">
        <f t="shared" ref="AU260" si="640">(AU258/AS258)^(1/2)-1</f>
        <v>0.10959008218296362</v>
      </c>
      <c r="AV260" s="40">
        <f t="shared" ref="AV260" si="641">(AV258/AT258)^(1/2)-1</f>
        <v>0.10593488800952211</v>
      </c>
      <c r="AW260" s="40">
        <f t="shared" ref="AW260" si="642">(AW258/AU258)^(1/2)-1</f>
        <v>0.10554159678513342</v>
      </c>
      <c r="AX260" s="40">
        <f t="shared" ref="AX260" si="643">(AX258/AV258)^(1/2)-1</f>
        <v>9.5445115010332149E-2</v>
      </c>
      <c r="AY260" s="40">
        <f t="shared" ref="AY260" si="644">(AY258/AW258)^(1/2)-1</f>
        <v>4.4465935734187001E-2</v>
      </c>
      <c r="AZ260" s="40">
        <f t="shared" ref="AZ260" si="645">(AZ258/AX258)^(1/2)-1</f>
        <v>0</v>
      </c>
      <c r="BA260" s="40">
        <f t="shared" ref="BA260" si="646">(BA258/AY258)^(1/2)-1</f>
        <v>4.0832999733066311E-2</v>
      </c>
      <c r="BB260" s="40">
        <f t="shared" ref="BB260" si="647">(BB258/AZ258)^(1/2)-1</f>
        <v>0.1180339887498949</v>
      </c>
      <c r="BC260" s="40">
        <f t="shared" ref="BC260" si="648">(BC258/BA258)^(1/2)-1</f>
        <v>0.10940039245045829</v>
      </c>
      <c r="BD260" s="40"/>
      <c r="BE260" s="40"/>
      <c r="BF260" s="18"/>
      <c r="BG260" s="18"/>
      <c r="BH260" s="18"/>
      <c r="BI260" s="18"/>
      <c r="BJ260" s="18"/>
      <c r="BK260" s="18"/>
    </row>
    <row r="261" spans="1:74" s="54" customFormat="1" ht="11.25" customHeight="1">
      <c r="A261" s="18"/>
      <c r="B261" s="35" t="s">
        <v>466</v>
      </c>
      <c r="C261" s="18"/>
      <c r="D261" s="18"/>
      <c r="E261" s="18"/>
      <c r="F261" s="72"/>
      <c r="G261" s="72"/>
      <c r="H261" s="40"/>
      <c r="I261" s="40"/>
      <c r="J261" s="40"/>
      <c r="K261" s="40"/>
      <c r="L261" s="40"/>
      <c r="M261" s="40"/>
      <c r="N261" s="40"/>
      <c r="O261" s="40"/>
      <c r="P261" s="40" t="str">
        <f>IFERROR((P258/D258)^(1/3)-1,"n/a")</f>
        <v>n/a</v>
      </c>
      <c r="Q261" s="40" t="str">
        <f t="shared" ref="Q261:V261" si="649">IFERROR((Q258/E258)^(1/3)-1,"n/a")</f>
        <v>n/a</v>
      </c>
      <c r="R261" s="40" t="str">
        <f t="shared" si="649"/>
        <v>n/a</v>
      </c>
      <c r="S261" s="40">
        <f t="shared" si="649"/>
        <v>0.10064241629820891</v>
      </c>
      <c r="T261" s="40" t="str">
        <f t="shared" si="649"/>
        <v>n/a</v>
      </c>
      <c r="U261" s="40" t="str">
        <f t="shared" si="649"/>
        <v>n/a</v>
      </c>
      <c r="V261" s="40" t="str">
        <f t="shared" si="649"/>
        <v>n/a</v>
      </c>
      <c r="W261" s="40"/>
      <c r="X261" s="40"/>
      <c r="Y261" s="40"/>
      <c r="Z261" s="40"/>
      <c r="AA261" s="40"/>
      <c r="AB261" s="18"/>
      <c r="AC261" s="18"/>
      <c r="AD261" s="18"/>
      <c r="AE261" s="18"/>
      <c r="AF261" s="40">
        <f t="shared" ref="AF261:AT261" si="650">(AF258/AC258)^(1/3)-1</f>
        <v>0.42491613680955909</v>
      </c>
      <c r="AG261" s="40">
        <f t="shared" si="650"/>
        <v>0.39359950001199273</v>
      </c>
      <c r="AH261" s="40">
        <f t="shared" si="650"/>
        <v>0.27104511910580875</v>
      </c>
      <c r="AI261" s="40">
        <f t="shared" si="650"/>
        <v>5.5760030531990745E-2</v>
      </c>
      <c r="AJ261" s="40">
        <f t="shared" si="650"/>
        <v>3.0250725984880322E-2</v>
      </c>
      <c r="AK261" s="40">
        <f t="shared" si="650"/>
        <v>0.15238681904207252</v>
      </c>
      <c r="AL261" s="40">
        <f t="shared" si="650"/>
        <v>0.20725446940369197</v>
      </c>
      <c r="AM261" s="40">
        <f t="shared" si="650"/>
        <v>0.20074097928954981</v>
      </c>
      <c r="AN261" s="40">
        <f t="shared" si="650"/>
        <v>0.16353456712023529</v>
      </c>
      <c r="AO261" s="40">
        <f t="shared" si="650"/>
        <v>0.12117808652262108</v>
      </c>
      <c r="AP261" s="40">
        <f t="shared" si="650"/>
        <v>0.10975374118864134</v>
      </c>
      <c r="AQ261" s="40">
        <f t="shared" si="650"/>
        <v>0.12129019779017014</v>
      </c>
      <c r="AR261" s="40">
        <f t="shared" si="650"/>
        <v>0.14878228371142743</v>
      </c>
      <c r="AS261" s="40">
        <f t="shared" si="650"/>
        <v>0.13232901011562292</v>
      </c>
      <c r="AT261" s="40">
        <f t="shared" si="650"/>
        <v>0.11639966772577881</v>
      </c>
      <c r="AU261" s="40">
        <f>(AU258/AR258)^(1/3)-1</f>
        <v>0.10298955809715582</v>
      </c>
      <c r="AV261" s="40">
        <f t="shared" ref="AV261" si="651">(AV258/AS258)^(1/3)-1</f>
        <v>0.11009686033190924</v>
      </c>
      <c r="AW261" s="40">
        <f t="shared" ref="AW261" si="652">(AW258/AT258)^(1/3)-1</f>
        <v>0.10395304264287719</v>
      </c>
      <c r="AX261" s="40">
        <f t="shared" ref="AX261" si="653">(AX258/AU258)^(1/3)-1</f>
        <v>0.10064241629820891</v>
      </c>
      <c r="AY261" s="40">
        <f t="shared" ref="AY261" si="654">(AY258/AV258)^(1/3)-1</f>
        <v>6.2658569182611146E-2</v>
      </c>
      <c r="AZ261" s="40">
        <f t="shared" ref="AZ261" si="655">(AZ258/AW258)^(1/3)-1</f>
        <v>2.9428498400178693E-2</v>
      </c>
      <c r="BA261" s="40">
        <f t="shared" ref="BA261" si="656">(BA258/AX258)^(1/3)-1</f>
        <v>2.7040024624839676E-2</v>
      </c>
      <c r="BB261" s="40">
        <f t="shared" ref="BB261" si="657">(BB258/AY258)^(1/3)-1</f>
        <v>7.7217345015941907E-2</v>
      </c>
      <c r="BC261" s="40">
        <f t="shared" ref="BC261" si="658">(BC258/AZ258)^(1/3)-1</f>
        <v>0.10064241629820891</v>
      </c>
      <c r="BD261" s="40"/>
      <c r="BE261" s="40"/>
      <c r="BF261" s="18"/>
      <c r="BG261" s="18"/>
      <c r="BH261" s="18"/>
      <c r="BI261" s="18"/>
      <c r="BJ261" s="18"/>
      <c r="BK261" s="18"/>
    </row>
    <row r="262" spans="1:74" s="54" customFormat="1" ht="11.25" customHeight="1">
      <c r="A262" s="18"/>
      <c r="B262" s="35"/>
      <c r="C262" s="18"/>
      <c r="D262" s="18"/>
      <c r="E262" s="18"/>
      <c r="F262" s="72"/>
      <c r="G262" s="72"/>
      <c r="H262" s="40"/>
      <c r="I262" s="40"/>
      <c r="J262" s="40"/>
      <c r="K262" s="40"/>
      <c r="L262" s="40"/>
      <c r="M262" s="40"/>
      <c r="N262" s="40"/>
      <c r="O262" s="40"/>
      <c r="P262" s="40"/>
      <c r="Q262" s="40"/>
      <c r="R262" s="40"/>
      <c r="S262" s="353"/>
      <c r="T262" s="40"/>
      <c r="U262" s="40"/>
      <c r="V262" s="40"/>
      <c r="W262" s="40"/>
      <c r="X262" s="40"/>
      <c r="Y262" s="40"/>
      <c r="Z262" s="40"/>
      <c r="AA262" s="40"/>
      <c r="AB262" s="18"/>
      <c r="AC262" s="18"/>
      <c r="AD262" s="18"/>
      <c r="AE262" s="18"/>
      <c r="AF262" s="18"/>
      <c r="AG262" s="18"/>
      <c r="AH262" s="18"/>
      <c r="AI262" s="18"/>
      <c r="AJ262" s="18"/>
      <c r="AK262" s="18"/>
      <c r="AL262" s="18"/>
      <c r="AM262" s="18"/>
      <c r="AN262" s="18"/>
      <c r="AO262" s="18"/>
      <c r="AP262" s="18"/>
      <c r="AQ262" s="18"/>
      <c r="AR262" s="40"/>
      <c r="AS262" s="40"/>
      <c r="AT262" s="40"/>
      <c r="AU262" s="40"/>
      <c r="AV262" s="40"/>
      <c r="AW262" s="40"/>
      <c r="AX262" s="40"/>
      <c r="AY262" s="40"/>
      <c r="AZ262" s="40"/>
      <c r="BA262" s="40"/>
      <c r="BB262" s="40"/>
      <c r="BC262" s="40"/>
      <c r="BD262" s="40"/>
      <c r="BE262" s="40"/>
      <c r="BF262" s="18"/>
      <c r="BG262" s="18"/>
      <c r="BH262" s="18"/>
      <c r="BI262" s="18"/>
      <c r="BJ262" s="18"/>
      <c r="BK262" s="18"/>
    </row>
    <row r="263" spans="1:74" s="54" customFormat="1" ht="11.25" customHeight="1">
      <c r="A263" s="18"/>
      <c r="B263" s="35" t="s">
        <v>408</v>
      </c>
      <c r="C263" s="18"/>
      <c r="D263" s="18"/>
      <c r="E263" s="18"/>
      <c r="F263" s="72"/>
      <c r="G263" s="72"/>
      <c r="H263" s="40"/>
      <c r="I263" s="40"/>
      <c r="J263" s="40"/>
      <c r="K263" s="40"/>
      <c r="L263" s="40"/>
      <c r="M263" s="40"/>
      <c r="N263" s="40"/>
      <c r="O263" s="40"/>
      <c r="P263" s="40"/>
      <c r="Q263" s="40"/>
      <c r="R263" s="40"/>
      <c r="S263" s="40"/>
      <c r="T263" s="40"/>
      <c r="U263" s="40"/>
      <c r="V263" s="40"/>
      <c r="W263" s="40"/>
      <c r="X263" s="40"/>
      <c r="Y263" s="40"/>
      <c r="Z263" s="40"/>
      <c r="AA263" s="40"/>
      <c r="AB263" s="18"/>
      <c r="AC263" s="18"/>
      <c r="AD263" s="18"/>
      <c r="AE263" s="18"/>
      <c r="AF263" s="18"/>
      <c r="AG263" s="18"/>
      <c r="AH263" s="18"/>
      <c r="AI263" s="18"/>
      <c r="AJ263" s="18"/>
      <c r="AK263" s="18"/>
      <c r="AL263" s="18"/>
      <c r="AM263" s="18"/>
      <c r="AN263" s="18"/>
      <c r="AO263" s="18"/>
      <c r="AP263" s="18"/>
      <c r="AQ263" s="18"/>
      <c r="AR263" s="40">
        <f t="shared" ref="AR263:BC263" si="659">AR265/AR$258</f>
        <v>0.93066944982853739</v>
      </c>
      <c r="AS263" s="40">
        <f t="shared" si="659"/>
        <v>0.95253077975376199</v>
      </c>
      <c r="AT263" s="40">
        <f t="shared" si="659"/>
        <v>1.0106409001956946</v>
      </c>
      <c r="AU263" s="40">
        <f t="shared" si="659"/>
        <v>0.97366666666666668</v>
      </c>
      <c r="AV263" s="40">
        <f t="shared" si="659"/>
        <v>0.96050000000000002</v>
      </c>
      <c r="AW263" s="40">
        <f t="shared" si="659"/>
        <v>0.94990909090909093</v>
      </c>
      <c r="AX263" s="40">
        <f t="shared" si="659"/>
        <v>0.89600000000000002</v>
      </c>
      <c r="AY263" s="40">
        <f t="shared" si="659"/>
        <v>0.83908333333333329</v>
      </c>
      <c r="AZ263" s="40">
        <f t="shared" si="659"/>
        <v>1.0329999999999999</v>
      </c>
      <c r="BA263" s="40">
        <f t="shared" si="659"/>
        <v>1.0906923076923076</v>
      </c>
      <c r="BB263" s="40">
        <f t="shared" si="659"/>
        <v>1.0168666666666666</v>
      </c>
      <c r="BC263" s="40">
        <f t="shared" si="659"/>
        <v>0.75012500000000004</v>
      </c>
      <c r="BD263" s="40"/>
      <c r="BE263" s="40"/>
      <c r="BF263" s="18"/>
      <c r="BG263" s="18"/>
      <c r="BH263" s="18"/>
      <c r="BI263" s="18"/>
      <c r="BJ263" s="18"/>
      <c r="BK263" s="18"/>
    </row>
    <row r="264" spans="1:74" ht="11.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row>
    <row r="265" spans="1:74" ht="11.25" customHeight="1">
      <c r="A265" s="2"/>
      <c r="B265" s="2" t="s">
        <v>283</v>
      </c>
      <c r="C265" s="2"/>
      <c r="D265" s="265">
        <v>2925</v>
      </c>
      <c r="E265" s="265">
        <v>2985</v>
      </c>
      <c r="F265" s="265">
        <v>3240</v>
      </c>
      <c r="G265" s="265">
        <v>3246</v>
      </c>
      <c r="H265" s="265">
        <v>3359</v>
      </c>
      <c r="I265" s="265">
        <v>3449</v>
      </c>
      <c r="J265" s="265">
        <v>3646</v>
      </c>
      <c r="K265" s="638">
        <v>3725</v>
      </c>
      <c r="L265" s="265">
        <v>3778</v>
      </c>
      <c r="M265" s="265">
        <v>3799</v>
      </c>
      <c r="N265" s="265">
        <v>3974</v>
      </c>
      <c r="O265" s="265">
        <v>3702</v>
      </c>
      <c r="P265" s="265">
        <v>3227</v>
      </c>
      <c r="Q265" s="265">
        <v>2916</v>
      </c>
      <c r="R265" s="265">
        <v>2902</v>
      </c>
      <c r="S265" s="265">
        <v>2957</v>
      </c>
      <c r="T265" s="265">
        <v>3030</v>
      </c>
      <c r="U265" s="265">
        <v>3125</v>
      </c>
      <c r="V265" s="265">
        <v>3338</v>
      </c>
      <c r="W265" s="2"/>
      <c r="X265" s="2"/>
      <c r="Y265" s="2"/>
      <c r="Z265" s="2"/>
      <c r="AA265" s="2"/>
      <c r="AB265" s="2"/>
      <c r="AC265" s="272">
        <v>510</v>
      </c>
      <c r="AD265" s="272">
        <v>523</v>
      </c>
      <c r="AE265" s="272">
        <v>782</v>
      </c>
      <c r="AF265" s="272">
        <v>1515</v>
      </c>
      <c r="AG265" s="272">
        <v>959</v>
      </c>
      <c r="AH265" s="272">
        <v>1190</v>
      </c>
      <c r="AI265" s="272">
        <v>1644</v>
      </c>
      <c r="AJ265" s="272">
        <v>2225</v>
      </c>
      <c r="AK265" s="272">
        <v>2500</v>
      </c>
      <c r="AL265" s="272">
        <v>3207</v>
      </c>
      <c r="AM265" s="272">
        <v>3558</v>
      </c>
      <c r="AN265" s="272">
        <v>3764</v>
      </c>
      <c r="AO265" s="272">
        <v>3439</v>
      </c>
      <c r="AP265" s="272">
        <v>5271</v>
      </c>
      <c r="AQ265" s="272">
        <v>5577</v>
      </c>
      <c r="AR265" s="272">
        <v>6242</v>
      </c>
      <c r="AS265" s="272">
        <v>6963</v>
      </c>
      <c r="AT265" s="272">
        <v>8263</v>
      </c>
      <c r="AU265" s="272">
        <v>8763</v>
      </c>
      <c r="AV265" s="272">
        <v>9605</v>
      </c>
      <c r="AW265" s="272">
        <v>10449</v>
      </c>
      <c r="AX265" s="272">
        <v>10752</v>
      </c>
      <c r="AY265" s="272">
        <v>10069</v>
      </c>
      <c r="AZ265" s="272">
        <v>12396</v>
      </c>
      <c r="BA265" s="272">
        <v>14179</v>
      </c>
      <c r="BB265" s="272">
        <v>15253</v>
      </c>
      <c r="BC265" s="272">
        <v>12002</v>
      </c>
      <c r="BD265" s="272"/>
      <c r="BE265" s="272"/>
      <c r="BF265" s="2"/>
      <c r="BG265" s="2"/>
      <c r="BH265" s="2">
        <v>510</v>
      </c>
      <c r="BI265">
        <v>523</v>
      </c>
      <c r="BJ265">
        <v>782</v>
      </c>
      <c r="BK265">
        <v>1515</v>
      </c>
      <c r="BL265">
        <v>959</v>
      </c>
      <c r="BM265">
        <v>1190</v>
      </c>
      <c r="BN265">
        <v>1644</v>
      </c>
      <c r="BO265">
        <v>2225</v>
      </c>
      <c r="BP265">
        <v>2500</v>
      </c>
      <c r="BQ265">
        <v>3207</v>
      </c>
      <c r="BR265">
        <v>3558</v>
      </c>
      <c r="BS265">
        <v>3764</v>
      </c>
      <c r="BT265">
        <v>3439</v>
      </c>
      <c r="BU265">
        <v>5271</v>
      </c>
      <c r="BV265">
        <v>5577</v>
      </c>
    </row>
    <row r="266" spans="1:74" s="54" customFormat="1" ht="11.25" customHeight="1">
      <c r="A266" s="18"/>
      <c r="B266" s="35" t="s">
        <v>249</v>
      </c>
      <c r="C266" s="18"/>
      <c r="D266" s="18"/>
      <c r="E266" s="18"/>
      <c r="F266" s="72"/>
      <c r="G266" s="72"/>
      <c r="H266" s="40">
        <f>IFERROR(IF(AND(H265&gt;0,D265&gt;0),H265/D265-1,"n/m"),"n/a")</f>
        <v>0.14837606837606843</v>
      </c>
      <c r="I266" s="40">
        <f t="shared" ref="I266" si="660">IFERROR(IF(AND(I265&gt;0,E265&gt;0),I265/E265-1,"n/m"),"n/a")</f>
        <v>0.15544388609715254</v>
      </c>
      <c r="J266" s="40">
        <f t="shared" ref="J266" si="661">IFERROR(IF(AND(J265&gt;0,F265&gt;0),J265/F265-1,"n/m"),"n/a")</f>
        <v>0.12530864197530867</v>
      </c>
      <c r="K266" s="40">
        <f t="shared" ref="K266" si="662">IFERROR(IF(AND(K265&gt;0,G265&gt;0),K265/G265-1,"n/m"),"n/a")</f>
        <v>0.14756623536660496</v>
      </c>
      <c r="L266" s="40">
        <f t="shared" ref="L266" si="663">IFERROR(IF(AND(L265&gt;0,H265&gt;0),L265/H265-1,"n/m"),"n/a")</f>
        <v>0.12473950580529913</v>
      </c>
      <c r="M266" s="40">
        <f t="shared" ref="M266" si="664">IFERROR(IF(AND(M265&gt;0,I265&gt;0),M265/I265-1,"n/m"),"n/a")</f>
        <v>0.10147868947521022</v>
      </c>
      <c r="N266" s="40">
        <f t="shared" ref="N266" si="665">IFERROR(IF(AND(N265&gt;0,J265&gt;0),N265/J265-1,"n/m"),"n/a")</f>
        <v>8.9961601755348397E-2</v>
      </c>
      <c r="O266" s="40">
        <f t="shared" ref="O266" si="666">IFERROR(IF(AND(O265&gt;0,K265&gt;0),O265/K265-1,"n/m"),"n/a")</f>
        <v>-6.1744966442952576E-3</v>
      </c>
      <c r="P266" s="40">
        <f t="shared" ref="P266" si="667">IFERROR(IF(AND(P265&gt;0,L265&gt;0),P265/L265-1,"n/m"),"n/a")</f>
        <v>-0.14584436209634732</v>
      </c>
      <c r="Q266" s="40">
        <f t="shared" ref="Q266" si="668">IFERROR(IF(AND(Q265&gt;0,M265&gt;0),Q265/M265-1,"n/m"),"n/a")</f>
        <v>-0.2324295867333509</v>
      </c>
      <c r="R266" s="40">
        <f t="shared" ref="R266" si="669">IFERROR(IF(AND(R265&gt;0,N265&gt;0),R265/N265-1,"n/m"),"n/a")</f>
        <v>-0.26975339708102664</v>
      </c>
      <c r="S266" s="40">
        <f t="shared" ref="S266" si="670">IFERROR(IF(AND(S265&gt;0,O265&gt;0),S265/O265-1,"n/m"),"n/a")</f>
        <v>-0.20124257158292813</v>
      </c>
      <c r="T266" s="40">
        <f t="shared" ref="T266:V266" si="671">IFERROR(IF(AND(T265&gt;0,P265&gt;0),T265/P265-1,"n/m"),"n/a")</f>
        <v>-6.1047412457390759E-2</v>
      </c>
      <c r="U266" s="40">
        <f t="shared" si="671"/>
        <v>7.1673525377229153E-2</v>
      </c>
      <c r="V266" s="40">
        <f t="shared" si="671"/>
        <v>0.15024121295658177</v>
      </c>
      <c r="W266" s="40"/>
      <c r="X266" s="40"/>
      <c r="Y266" s="40"/>
      <c r="Z266" s="40"/>
      <c r="AA266" s="40"/>
      <c r="AB266" s="18"/>
      <c r="AC266" s="18"/>
      <c r="AD266" s="40">
        <f t="shared" ref="AD266" si="672">IFERROR(IF(AND(AD265&gt;0,AC265&gt;0),AD265/AC265-1,"n/m"),"n/a")</f>
        <v>2.5490196078431282E-2</v>
      </c>
      <c r="AE266" s="40">
        <f t="shared" ref="AE266" si="673">IFERROR(IF(AND(AE265&gt;0,AD265&gt;0),AE265/AD265-1,"n/m"),"n/a")</f>
        <v>0.4952198852772467</v>
      </c>
      <c r="AF266" s="40">
        <f t="shared" ref="AF266" si="674">IFERROR(IF(AND(AF265&gt;0,AE265&gt;0),AF265/AE265-1,"n/m"),"n/a")</f>
        <v>0.93734015345268551</v>
      </c>
      <c r="AG266" s="40">
        <f t="shared" ref="AG266" si="675">IFERROR(IF(AND(AG265&gt;0,AF265&gt;0),AG265/AF265-1,"n/m"),"n/a")</f>
        <v>-0.36699669966996695</v>
      </c>
      <c r="AH266" s="40">
        <f t="shared" ref="AH266" si="676">IFERROR(IF(AND(AH265&gt;0,AG265&gt;0),AH265/AG265-1,"n/m"),"n/a")</f>
        <v>0.24087591240875916</v>
      </c>
      <c r="AI266" s="40">
        <f t="shared" ref="AI266" si="677">IFERROR(IF(AND(AI265&gt;0,AH265&gt;0),AI265/AH265-1,"n/m"),"n/a")</f>
        <v>0.38151260504201678</v>
      </c>
      <c r="AJ266" s="40">
        <f t="shared" ref="AJ266" si="678">IFERROR(IF(AND(AJ265&gt;0,AI265&gt;0),AJ265/AI265-1,"n/m"),"n/a")</f>
        <v>0.35340632603406319</v>
      </c>
      <c r="AK266" s="40">
        <f t="shared" ref="AK266" si="679">IFERROR(IF(AND(AK265&gt;0,AJ265&gt;0),AK265/AJ265-1,"n/m"),"n/a")</f>
        <v>0.12359550561797761</v>
      </c>
      <c r="AL266" s="40">
        <f t="shared" ref="AL266" si="680">IFERROR(IF(AND(AL265&gt;0,AK265&gt;0),AL265/AK265-1,"n/m"),"n/a")</f>
        <v>0.28279999999999994</v>
      </c>
      <c r="AM266" s="40">
        <f t="shared" ref="AM266" si="681">IFERROR(IF(AND(AM265&gt;0,AL265&gt;0),AM265/AL265-1,"n/m"),"n/a")</f>
        <v>0.10944808231992509</v>
      </c>
      <c r="AN266" s="40">
        <f t="shared" ref="AN266" si="682">IFERROR(IF(AND(AN265&gt;0,AM265&gt;0),AN265/AM265-1,"n/m"),"n/a")</f>
        <v>5.7897695334457655E-2</v>
      </c>
      <c r="AO266" s="40">
        <f t="shared" ref="AO266" si="683">IFERROR(IF(AND(AO265&gt;0,AN265&gt;0),AO265/AN265-1,"n/m"),"n/a")</f>
        <v>-8.634431455897984E-2</v>
      </c>
      <c r="AP266" s="40">
        <f t="shared" ref="AP266" si="684">IFERROR(IF(AND(AP265&gt;0,AO265&gt;0),AP265/AO265-1,"n/m"),"n/a")</f>
        <v>0.53271299796452465</v>
      </c>
      <c r="AQ266" s="40">
        <f t="shared" ref="AQ266" si="685">IFERROR(IF(AND(AQ265&gt;0,AP265&gt;0),AQ265/AP265-1,"n/m"),"n/a")</f>
        <v>5.8053500284575899E-2</v>
      </c>
      <c r="AR266" s="40">
        <f t="shared" ref="AR266" si="686">IFERROR(IF(AND(AR265&gt;0,AQ265&gt;0),AR265/AQ265-1,"n/m"),"n/a")</f>
        <v>0.11923973462435011</v>
      </c>
      <c r="AS266" s="40">
        <f t="shared" ref="AS266" si="687">IFERROR(IF(AND(AS265&gt;0,AR265&gt;0),AS265/AR265-1,"n/m"),"n/a")</f>
        <v>0.11550785004806152</v>
      </c>
      <c r="AT266" s="40">
        <f t="shared" ref="AT266" si="688">IFERROR(IF(AND(AT265&gt;0,AS265&gt;0),AT265/AS265-1,"n/m"),"n/a")</f>
        <v>0.18670113456843307</v>
      </c>
      <c r="AU266" s="40">
        <f t="shared" ref="AU266" si="689">IFERROR(IF(AND(AU265&gt;0,AT265&gt;0),AU265/AT265-1,"n/m"),"n/a")</f>
        <v>6.0510710395740075E-2</v>
      </c>
      <c r="AV266" s="40">
        <f t="shared" ref="AV266" si="690">IFERROR(IF(AND(AV265&gt;0,AU265&gt;0),AV265/AU265-1,"n/m"),"n/a")</f>
        <v>9.6085815360036575E-2</v>
      </c>
      <c r="AW266" s="40">
        <f t="shared" ref="AW266" si="691">IFERROR(IF(AND(AW265&gt;0,AV265&gt;0),AW265/AV265-1,"n/m"),"n/a")</f>
        <v>8.7870900572618371E-2</v>
      </c>
      <c r="AX266" s="40">
        <f t="shared" ref="AX266" si="692">IFERROR(IF(AND(AX265&gt;0,AW265&gt;0),AX265/AW265-1,"n/m"),"n/a")</f>
        <v>2.8997990238300408E-2</v>
      </c>
      <c r="AY266" s="40">
        <f t="shared" ref="AY266" si="693">IFERROR(IF(AND(AY265&gt;0,AX265&gt;0),AY265/AX265-1,"n/m"),"n/a")</f>
        <v>-6.3523065476190466E-2</v>
      </c>
      <c r="AZ266" s="40">
        <f t="shared" ref="AZ266" si="694">IFERROR(IF(AND(AZ265&gt;0,AY265&gt;0),AZ265/AY265-1,"n/m"),"n/a")</f>
        <v>0.23110537292680511</v>
      </c>
      <c r="BA266" s="40">
        <f t="shared" ref="BA266" si="695">IFERROR(IF(AND(BA265&gt;0,AZ265&gt;0),BA265/AZ265-1,"n/m"),"n/a")</f>
        <v>0.14383672152307203</v>
      </c>
      <c r="BB266" s="40">
        <f t="shared" ref="BB266" si="696">IFERROR(IF(AND(BB265&gt;0,BA265&gt;0),BB265/BA265-1,"n/m"),"n/a")</f>
        <v>7.5745821284998849E-2</v>
      </c>
      <c r="BC266" s="40">
        <f t="shared" ref="BC266" si="697">IFERROR(IF(AND(BC265&gt;0,BB265&gt;0),BC265/BB265-1,"n/m"),"n/a")</f>
        <v>-0.21313839900347475</v>
      </c>
      <c r="BD266" s="40"/>
      <c r="BE266" s="40"/>
      <c r="BF266" s="18"/>
      <c r="BG266" s="18"/>
      <c r="BH266" s="18"/>
      <c r="BI266" s="18"/>
      <c r="BJ266" s="18"/>
      <c r="BK266" s="18"/>
    </row>
    <row r="267" spans="1:74" s="54" customFormat="1" ht="11.25" customHeight="1">
      <c r="A267" s="18"/>
      <c r="B267" s="35" t="s">
        <v>467</v>
      </c>
      <c r="C267" s="18"/>
      <c r="D267" s="18"/>
      <c r="E267" s="18"/>
      <c r="F267" s="72"/>
      <c r="G267" s="72"/>
      <c r="H267" s="40"/>
      <c r="I267" s="40"/>
      <c r="J267" s="40"/>
      <c r="K267" s="40"/>
      <c r="L267" s="40">
        <f t="shared" ref="L267:T267" si="698">(L265/D265)^(1/2)-1</f>
        <v>0.13649634034779523</v>
      </c>
      <c r="M267" s="40">
        <f t="shared" si="698"/>
        <v>0.12813865168268901</v>
      </c>
      <c r="N267" s="40">
        <f t="shared" si="698"/>
        <v>0.10749411279543297</v>
      </c>
      <c r="O267" s="40">
        <f t="shared" si="698"/>
        <v>6.7932859077398877E-2</v>
      </c>
      <c r="P267" s="40">
        <f t="shared" si="698"/>
        <v>-1.9845629476374582E-2</v>
      </c>
      <c r="Q267" s="40">
        <f t="shared" si="698"/>
        <v>-8.0509677655662193E-2</v>
      </c>
      <c r="R267" s="40">
        <f t="shared" si="698"/>
        <v>-0.10784488064352515</v>
      </c>
      <c r="S267" s="40">
        <f t="shared" si="698"/>
        <v>-0.10903114344231724</v>
      </c>
      <c r="T267" s="40">
        <f t="shared" si="698"/>
        <v>-0.10444897053616053</v>
      </c>
      <c r="U267" s="40">
        <f>(U265/M265)^(1/2)-1</f>
        <v>-9.3035342055311165E-2</v>
      </c>
      <c r="V267" s="40">
        <f>(V265/N265)^(1/2)-1</f>
        <v>-8.3506825830686804E-2</v>
      </c>
      <c r="W267" s="40"/>
      <c r="X267" s="40"/>
      <c r="Y267" s="40"/>
      <c r="Z267" s="40"/>
      <c r="AA267" s="40"/>
      <c r="AB267" s="18"/>
      <c r="AC267" s="18"/>
      <c r="AD267" s="18"/>
      <c r="AE267" s="40">
        <f t="shared" ref="AE267:AS267" si="699">(AE265/AC265)^(1/2)-1</f>
        <v>0.23827837473378066</v>
      </c>
      <c r="AF267" s="40">
        <f t="shared" si="699"/>
        <v>0.70198399580857629</v>
      </c>
      <c r="AG267" s="40">
        <f t="shared" si="699"/>
        <v>0.10740358993342736</v>
      </c>
      <c r="AH267" s="40">
        <f t="shared" si="699"/>
        <v>-0.11372772363410499</v>
      </c>
      <c r="AI267" s="40">
        <f t="shared" si="699"/>
        <v>0.30930734141595417</v>
      </c>
      <c r="AJ267" s="40">
        <f t="shared" si="699"/>
        <v>0.36738725281452878</v>
      </c>
      <c r="AK267" s="40">
        <f t="shared" si="699"/>
        <v>0.23315905916747526</v>
      </c>
      <c r="AL267" s="40">
        <f t="shared" si="699"/>
        <v>0.20056166630737526</v>
      </c>
      <c r="AM267" s="40">
        <f t="shared" si="699"/>
        <v>0.19297946336053906</v>
      </c>
      <c r="AN267" s="40">
        <f t="shared" si="699"/>
        <v>8.3366313570568007E-2</v>
      </c>
      <c r="AO267" s="40">
        <f t="shared" si="699"/>
        <v>-1.6865093714357293E-2</v>
      </c>
      <c r="AP267" s="40">
        <f t="shared" si="699"/>
        <v>0.18337312152154217</v>
      </c>
      <c r="AQ267" s="40">
        <f t="shared" si="699"/>
        <v>0.27345685141980036</v>
      </c>
      <c r="AR267" s="40">
        <f t="shared" si="699"/>
        <v>8.8216669086112365E-2</v>
      </c>
      <c r="AS267" s="40">
        <f t="shared" si="699"/>
        <v>0.11737223433338073</v>
      </c>
      <c r="AT267" s="40">
        <f>(AT265/AR265)^(1/2)-1</f>
        <v>0.1505539671271523</v>
      </c>
      <c r="AU267" s="40">
        <f t="shared" ref="AU267:BC267" si="700">(AU265/AS265)^(1/2)-1</f>
        <v>0.12183299258338787</v>
      </c>
      <c r="AV267" s="40">
        <f t="shared" si="700"/>
        <v>7.8151541622125675E-2</v>
      </c>
      <c r="AW267" s="40">
        <f t="shared" si="700"/>
        <v>9.1970632874618818E-2</v>
      </c>
      <c r="AX267" s="40">
        <f t="shared" si="700"/>
        <v>5.8025032940125731E-2</v>
      </c>
      <c r="AY267" s="40">
        <f t="shared" si="700"/>
        <v>-1.8351955368155148E-2</v>
      </c>
      <c r="AZ267" s="40">
        <f t="shared" si="700"/>
        <v>7.3732641635843033E-2</v>
      </c>
      <c r="BA267" s="40">
        <f t="shared" si="700"/>
        <v>0.18666909187778025</v>
      </c>
      <c r="BB267" s="40">
        <f t="shared" si="700"/>
        <v>0.10926893646706692</v>
      </c>
      <c r="BC267" s="40">
        <f t="shared" si="700"/>
        <v>-7.996571846390621E-2</v>
      </c>
      <c r="BD267" s="40"/>
      <c r="BE267" s="40"/>
      <c r="BF267" s="18"/>
      <c r="BG267" s="18"/>
      <c r="BH267" s="18"/>
      <c r="BI267" s="18"/>
      <c r="BJ267" s="18"/>
      <c r="BK267" s="18"/>
    </row>
    <row r="268" spans="1:74" s="54" customFormat="1" ht="11.25" customHeight="1">
      <c r="A268" s="18"/>
      <c r="B268" s="35" t="s">
        <v>466</v>
      </c>
      <c r="C268" s="18"/>
      <c r="D268" s="18"/>
      <c r="E268" s="18"/>
      <c r="F268" s="72"/>
      <c r="G268" s="72"/>
      <c r="H268" s="40"/>
      <c r="I268" s="40"/>
      <c r="J268" s="40"/>
      <c r="K268" s="40"/>
      <c r="L268" s="40"/>
      <c r="M268" s="40"/>
      <c r="N268" s="40"/>
      <c r="O268" s="40"/>
      <c r="P268" s="40">
        <f t="shared" ref="P268:T268" si="701">(P265/D265)^(1/3)-1</f>
        <v>3.3295088279190033E-2</v>
      </c>
      <c r="Q268" s="40">
        <f t="shared" si="701"/>
        <v>-7.7653370041422809E-3</v>
      </c>
      <c r="R268" s="40">
        <f t="shared" si="701"/>
        <v>-3.6058230983617157E-2</v>
      </c>
      <c r="S268" s="40">
        <f t="shared" si="701"/>
        <v>-3.0604640671320515E-2</v>
      </c>
      <c r="T268" s="40">
        <f t="shared" si="701"/>
        <v>-3.377662106638879E-2</v>
      </c>
      <c r="U268" s="40">
        <f>(U265/I265)^(1/3)-1</f>
        <v>-3.2348570702162793E-2</v>
      </c>
      <c r="V268" s="40">
        <f>(V265/J265)^(1/3)-1</f>
        <v>-2.8991072890631631E-2</v>
      </c>
      <c r="W268" s="40"/>
      <c r="X268" s="40"/>
      <c r="Y268" s="40"/>
      <c r="Z268" s="40"/>
      <c r="AA268" s="40"/>
      <c r="AB268" s="18"/>
      <c r="AC268" s="18"/>
      <c r="AD268" s="18"/>
      <c r="AE268" s="18"/>
      <c r="AF268" s="40">
        <f t="shared" ref="AF268:AT268" si="702">(AF265/AC265)^(1/3)-1</f>
        <v>0.43752084924725443</v>
      </c>
      <c r="AG268" s="40">
        <f t="shared" si="702"/>
        <v>0.22397432015701857</v>
      </c>
      <c r="AH268" s="40">
        <f t="shared" si="702"/>
        <v>0.15021776101472994</v>
      </c>
      <c r="AI268" s="40">
        <f t="shared" si="702"/>
        <v>2.7613324260332694E-2</v>
      </c>
      <c r="AJ268" s="40">
        <f t="shared" si="702"/>
        <v>0.3238449894935993</v>
      </c>
      <c r="AK268" s="40">
        <f t="shared" si="702"/>
        <v>0.2807499544220331</v>
      </c>
      <c r="AL268" s="40">
        <f t="shared" si="702"/>
        <v>0.24948884209746147</v>
      </c>
      <c r="AM268" s="40">
        <f t="shared" si="702"/>
        <v>0.16938802671001207</v>
      </c>
      <c r="AN268" s="40">
        <f t="shared" si="702"/>
        <v>0.1461370067481218</v>
      </c>
      <c r="AO268" s="40">
        <f t="shared" si="702"/>
        <v>2.3554735644366831E-2</v>
      </c>
      <c r="AP268" s="40">
        <f t="shared" si="702"/>
        <v>0.13997595438947763</v>
      </c>
      <c r="AQ268" s="40">
        <f t="shared" si="702"/>
        <v>0.14003191606348842</v>
      </c>
      <c r="AR268" s="40">
        <f t="shared" si="702"/>
        <v>0.21982406272685906</v>
      </c>
      <c r="AS268" s="40">
        <f t="shared" si="702"/>
        <v>9.723872373992215E-2</v>
      </c>
      <c r="AT268" s="40">
        <f t="shared" si="702"/>
        <v>0.14001973474593288</v>
      </c>
      <c r="AU268" s="40">
        <f>(AU265/AR265)^(1/3)-1</f>
        <v>0.1197206367736523</v>
      </c>
      <c r="AV268" s="40">
        <f t="shared" ref="AV268" si="703">(AV265/AS265)^(1/3)-1</f>
        <v>0.11318409183678968</v>
      </c>
      <c r="AW268" s="40">
        <f t="shared" ref="AW268" si="704">(AW265/AT265)^(1/3)-1</f>
        <v>8.1381641024603768E-2</v>
      </c>
      <c r="AX268" s="40">
        <f t="shared" ref="AX268" si="705">(AX265/AU265)^(1/3)-1</f>
        <v>7.0562799000611243E-2</v>
      </c>
      <c r="AY268" s="40">
        <f t="shared" ref="AY268" si="706">(AY265/AV265)^(1/3)-1</f>
        <v>1.5850169080969811E-2</v>
      </c>
      <c r="AZ268" s="40">
        <f t="shared" ref="AZ268" si="707">(AZ265/AW265)^(1/3)-1</f>
        <v>5.8609075257302523E-2</v>
      </c>
      <c r="BA268" s="40">
        <f t="shared" ref="BA268" si="708">(BA265/AX265)^(1/3)-1</f>
        <v>9.6609782085254725E-2</v>
      </c>
      <c r="BB268" s="40">
        <f t="shared" ref="BB268" si="709">(BB265/AY265)^(1/3)-1</f>
        <v>0.14847878305324458</v>
      </c>
      <c r="BC268" s="40">
        <f t="shared" ref="BC268" si="710">(BC265/AZ265)^(1/3)-1</f>
        <v>-1.0709090767607732E-2</v>
      </c>
      <c r="BD268" s="40"/>
      <c r="BE268" s="40"/>
      <c r="BF268" s="18"/>
      <c r="BG268" s="18"/>
      <c r="BH268" s="18"/>
      <c r="BI268" s="18"/>
      <c r="BJ268" s="18"/>
      <c r="BK268" s="18"/>
    </row>
    <row r="269" spans="1:74" s="54" customFormat="1" ht="11.25" customHeight="1">
      <c r="A269" s="18"/>
      <c r="B269" s="35"/>
      <c r="C269" s="18"/>
      <c r="D269" s="18"/>
      <c r="E269" s="18"/>
      <c r="F269" s="72"/>
      <c r="G269" s="72"/>
      <c r="H269" s="40"/>
      <c r="I269" s="40"/>
      <c r="J269" s="40"/>
      <c r="K269" s="40"/>
      <c r="L269" s="40"/>
      <c r="M269" s="40"/>
      <c r="N269" s="40"/>
      <c r="O269" s="40"/>
      <c r="P269" s="40"/>
      <c r="Q269" s="40"/>
      <c r="R269" s="40"/>
      <c r="S269" s="40"/>
      <c r="T269" s="40"/>
      <c r="U269" s="40"/>
      <c r="V269" s="40"/>
      <c r="W269" s="40"/>
      <c r="X269" s="40"/>
      <c r="Y269" s="40"/>
      <c r="Z269" s="40"/>
      <c r="AA269" s="40"/>
      <c r="AB269" s="18"/>
      <c r="AC269" s="18"/>
      <c r="AD269" s="18"/>
      <c r="AE269" s="18"/>
      <c r="AF269" s="18"/>
      <c r="AG269" s="18"/>
      <c r="AH269" s="18"/>
      <c r="AI269" s="18"/>
      <c r="AJ269" s="18"/>
      <c r="AK269" s="18"/>
      <c r="AL269" s="18"/>
      <c r="AM269" s="18"/>
      <c r="AN269" s="18"/>
      <c r="AO269" s="18"/>
      <c r="AP269" s="18"/>
      <c r="AQ269" s="18"/>
      <c r="AR269" s="40"/>
      <c r="AS269" s="40"/>
      <c r="AT269" s="40"/>
      <c r="AU269" s="40"/>
      <c r="AV269" s="40"/>
      <c r="AW269" s="40"/>
      <c r="AX269" s="40"/>
      <c r="AY269" s="40"/>
      <c r="AZ269" s="40"/>
      <c r="BA269" s="40"/>
      <c r="BB269" s="40"/>
      <c r="BC269" s="40"/>
      <c r="BD269" s="40"/>
      <c r="BE269" s="40"/>
      <c r="BF269" s="18"/>
      <c r="BG269" s="18"/>
      <c r="BH269" s="18"/>
      <c r="BI269" s="18"/>
      <c r="BJ269" s="18"/>
      <c r="BK269" s="18"/>
    </row>
    <row r="270" spans="1:74" s="54" customFormat="1" ht="11.25" customHeight="1">
      <c r="A270" s="18"/>
      <c r="B270" s="646" t="s">
        <v>975</v>
      </c>
      <c r="C270" s="18"/>
      <c r="D270" s="268">
        <f>IFERROR(D186/(D265/1000000)/D294,"n/a")</f>
        <v>3082.4449748284605</v>
      </c>
      <c r="E270" s="268">
        <f t="shared" ref="E270:U270" si="711">IFERROR(E186/(E265/1000000)/E294,"n/a")</f>
        <v>3084.3057697375589</v>
      </c>
      <c r="F270" s="268">
        <f t="shared" si="711"/>
        <v>3328.0259632599946</v>
      </c>
      <c r="G270" s="268">
        <f t="shared" si="711"/>
        <v>3406.1481001967459</v>
      </c>
      <c r="H270" s="268">
        <f t="shared" si="711"/>
        <v>3417.1534101843586</v>
      </c>
      <c r="I270" s="268">
        <f t="shared" si="711"/>
        <v>3439.1300087834552</v>
      </c>
      <c r="J270" s="268">
        <f t="shared" si="711"/>
        <v>3601.4713099435057</v>
      </c>
      <c r="K270" s="268">
        <f t="shared" si="711"/>
        <v>3709.7783573994434</v>
      </c>
      <c r="L270" s="268">
        <f t="shared" si="711"/>
        <v>4145.3181076831206</v>
      </c>
      <c r="M270" s="268">
        <f t="shared" si="711"/>
        <v>4253.1773697897579</v>
      </c>
      <c r="N270" s="268">
        <f t="shared" si="711"/>
        <v>4471.9661564559865</v>
      </c>
      <c r="O270" s="268">
        <f t="shared" si="711"/>
        <v>4629.8360397860179</v>
      </c>
      <c r="P270" s="268">
        <f t="shared" si="711"/>
        <v>4567.5527953057899</v>
      </c>
      <c r="Q270" s="268">
        <f t="shared" si="711"/>
        <v>4699.4394934025449</v>
      </c>
      <c r="R270" s="268">
        <f t="shared" si="711"/>
        <v>5142.7052290695638</v>
      </c>
      <c r="S270" s="268">
        <f t="shared" si="711"/>
        <v>5739.9103444173588</v>
      </c>
      <c r="T270" s="268">
        <f t="shared" si="711"/>
        <v>5474.7655429614133</v>
      </c>
      <c r="U270" s="268">
        <f t="shared" ca="1" si="711"/>
        <v>5893.7677491538388</v>
      </c>
      <c r="V270" s="268">
        <f t="shared" ref="V270" si="712">IFERROR(V186/(V265/1000000)/V294,"n/a")</f>
        <v>6157.2564037499587</v>
      </c>
      <c r="W270" s="323"/>
      <c r="X270" s="323"/>
      <c r="Y270" s="323"/>
      <c r="Z270" s="323"/>
      <c r="AA270" s="323"/>
      <c r="AB270" s="18"/>
      <c r="AC270" s="18"/>
      <c r="AD270" s="18"/>
      <c r="AE270" s="18"/>
      <c r="AF270" s="18"/>
      <c r="AG270" s="18"/>
      <c r="AH270" s="18"/>
      <c r="AI270" s="18"/>
      <c r="AJ270" s="18"/>
      <c r="AK270" s="18"/>
      <c r="AL270" s="18"/>
      <c r="AM270" s="18"/>
      <c r="AN270" s="18"/>
      <c r="AO270" s="18"/>
      <c r="AP270" s="18"/>
      <c r="AQ270" s="18"/>
      <c r="AR270" s="645">
        <f t="shared" ref="AR270:AV270" si="713">IFERROR(AR186/(AR265/1000000),"n/a")</f>
        <v>0</v>
      </c>
      <c r="AS270" s="645">
        <f t="shared" si="713"/>
        <v>0</v>
      </c>
      <c r="AT270" s="645">
        <f t="shared" si="713"/>
        <v>0</v>
      </c>
      <c r="AU270" s="645">
        <f t="shared" si="713"/>
        <v>0</v>
      </c>
      <c r="AV270" s="645">
        <f t="shared" si="713"/>
        <v>0</v>
      </c>
      <c r="AW270" s="644">
        <f t="shared" ref="AW270:BC270" si="714">IFERROR(AW186/(AW265/1000000)/AW294,"n/a")</f>
        <v>2735.6538657175506</v>
      </c>
      <c r="AX270" s="644">
        <f t="shared" si="714"/>
        <v>2810.3908423845528</v>
      </c>
      <c r="AY270" s="644">
        <f t="shared" si="714"/>
        <v>2979.58869435718</v>
      </c>
      <c r="AZ270" s="644">
        <f t="shared" si="714"/>
        <v>3226.3699892705595</v>
      </c>
      <c r="BA270" s="644">
        <f t="shared" si="714"/>
        <v>3545.9819953142178</v>
      </c>
      <c r="BB270" s="644">
        <f t="shared" si="714"/>
        <v>4380.7177202650755</v>
      </c>
      <c r="BC270" s="644">
        <f t="shared" si="714"/>
        <v>5032.0368505026818</v>
      </c>
      <c r="BD270" s="323"/>
      <c r="BE270" s="323"/>
      <c r="BF270" s="18"/>
      <c r="BG270" s="18"/>
      <c r="BH270" s="18"/>
      <c r="BI270" s="18"/>
      <c r="BJ270" s="18"/>
      <c r="BK270" s="18"/>
    </row>
    <row r="271" spans="1:74" s="54" customFormat="1" ht="11.25" customHeight="1">
      <c r="A271" s="18"/>
      <c r="B271" s="35" t="s">
        <v>249</v>
      </c>
      <c r="C271" s="18"/>
      <c r="D271" s="18"/>
      <c r="E271" s="18"/>
      <c r="F271" s="72"/>
      <c r="G271" s="72"/>
      <c r="H271" s="40">
        <f>IFERROR(IF(AND(H270&gt;0,D270&gt;0),H270/D270-1,"n/m"),"n/a")</f>
        <v>0.10858537235511379</v>
      </c>
      <c r="I271" s="40">
        <f t="shared" ref="I271" si="715">IFERROR(IF(AND(I270&gt;0,E270&gt;0),I270/E270-1,"n/m"),"n/a")</f>
        <v>0.11504184913420179</v>
      </c>
      <c r="J271" s="40">
        <f t="shared" ref="J271" si="716">IFERROR(IF(AND(J270&gt;0,F270&gt;0),J270/F270-1,"n/m"),"n/a")</f>
        <v>8.2164427111516725E-2</v>
      </c>
      <c r="K271" s="40">
        <f t="shared" ref="K271" si="717">IFERROR(IF(AND(K270&gt;0,G270&gt;0),K270/G270-1,"n/m"),"n/a")</f>
        <v>8.9141824803554259E-2</v>
      </c>
      <c r="L271" s="40">
        <f t="shared" ref="L271" si="718">IFERROR(IF(AND(L270&gt;0,H270&gt;0),L270/H270-1,"n/m"),"n/a")</f>
        <v>0.21309101760797944</v>
      </c>
      <c r="M271" s="40">
        <f t="shared" ref="M271" si="719">IFERROR(IF(AND(M270&gt;0,I270&gt;0),M270/I270-1,"n/m"),"n/a")</f>
        <v>0.23670153757701673</v>
      </c>
      <c r="N271" s="40">
        <f t="shared" ref="N271" si="720">IFERROR(IF(AND(N270&gt;0,J270&gt;0),N270/J270-1,"n/m"),"n/a")</f>
        <v>0.24170533973409203</v>
      </c>
      <c r="O271" s="40">
        <f t="shared" ref="O271" si="721">IFERROR(IF(AND(O270&gt;0,K270&gt;0),O270/K270-1,"n/m"),"n/a")</f>
        <v>0.24800880099789446</v>
      </c>
      <c r="P271" s="40">
        <f t="shared" ref="P271" si="722">IFERROR(IF(AND(P270&gt;0,L270&gt;0),P270/L270-1,"n/m"),"n/a")</f>
        <v>0.10185821127697792</v>
      </c>
      <c r="Q271" s="40">
        <f t="shared" ref="Q271" si="723">IFERROR(IF(AND(Q270&gt;0,M270&gt;0),Q270/M270-1,"n/m"),"n/a")</f>
        <v>0.10492440940332726</v>
      </c>
      <c r="R271" s="40">
        <f t="shared" ref="R271" si="724">IFERROR(IF(AND(R270&gt;0,N270&gt;0),R270/N270-1,"n/m"),"n/a")</f>
        <v>0.14998751089501416</v>
      </c>
      <c r="S271" s="40">
        <f t="shared" ref="S271" si="725">IFERROR(IF(AND(S270&gt;0,O270&gt;0),S270/O270-1,"n/m"),"n/a")</f>
        <v>0.23976535995919335</v>
      </c>
      <c r="T271" s="40">
        <f t="shared" ref="T271" si="726">IFERROR(IF(AND(T270&gt;0,P270&gt;0),T270/P270-1,"n/m"),"n/a")</f>
        <v>0.19862118475959223</v>
      </c>
      <c r="U271" s="40">
        <f t="shared" ref="U271:V271" ca="1" si="727">IFERROR(IF(AND(U270&gt;0,Q270&gt;0),U270/Q270-1,"n/m"),"n/a")</f>
        <v>0.25414270306660813</v>
      </c>
      <c r="V271" s="40">
        <f t="shared" si="727"/>
        <v>0.1972796669242407</v>
      </c>
      <c r="W271" s="40"/>
      <c r="X271" s="40"/>
      <c r="Y271" s="40"/>
      <c r="Z271" s="40"/>
      <c r="AA271" s="40"/>
      <c r="AB271" s="18"/>
      <c r="AC271" s="18"/>
      <c r="AD271" s="18"/>
      <c r="AE271" s="18"/>
      <c r="AF271" s="18"/>
      <c r="AG271" s="18"/>
      <c r="AH271" s="18"/>
      <c r="AI271" s="18"/>
      <c r="AJ271" s="18"/>
      <c r="AK271" s="18"/>
      <c r="AL271" s="18"/>
      <c r="AM271" s="18"/>
      <c r="AN271" s="18"/>
      <c r="AO271" s="18"/>
      <c r="AP271" s="18"/>
      <c r="AQ271" s="18"/>
      <c r="AR271" s="40"/>
      <c r="AS271" s="40" t="str">
        <f t="shared" ref="AS271" si="728">IFERROR(IF(AND(AS270&gt;0,AR270&gt;0),AS270/AR270-1,"n/m"),"n/a")</f>
        <v>n/m</v>
      </c>
      <c r="AT271" s="40" t="str">
        <f t="shared" ref="AT271" si="729">IFERROR(IF(AND(AT270&gt;0,AS270&gt;0),AT270/AS270-1,"n/m"),"n/a")</f>
        <v>n/m</v>
      </c>
      <c r="AU271" s="40" t="str">
        <f t="shared" ref="AU271" si="730">IFERROR(IF(AND(AU270&gt;0,AT270&gt;0),AU270/AT270-1,"n/m"),"n/a")</f>
        <v>n/m</v>
      </c>
      <c r="AV271" s="40" t="str">
        <f t="shared" ref="AV271" si="731">IFERROR(IF(AND(AV270&gt;0,AU270&gt;0),AV270/AU270-1,"n/m"),"n/a")</f>
        <v>n/m</v>
      </c>
      <c r="AW271" s="40" t="str">
        <f t="shared" ref="AW271" si="732">IFERROR(IF(AND(AW270&gt;0,AV270&gt;0),AW270/AV270-1,"n/m"),"n/a")</f>
        <v>n/m</v>
      </c>
      <c r="AX271" s="40">
        <f t="shared" ref="AX271" si="733">IFERROR(IF(AND(AX270&gt;0,AW270&gt;0),AX270/AW270-1,"n/m"),"n/a")</f>
        <v>2.7319602674733545E-2</v>
      </c>
      <c r="AY271" s="40">
        <f t="shared" ref="AY271" si="734">IFERROR(IF(AND(AY270&gt;0,AX270&gt;0),AY270/AX270-1,"n/m"),"n/a")</f>
        <v>6.020438489226887E-2</v>
      </c>
      <c r="AZ271" s="40">
        <f t="shared" ref="AZ271" si="735">IFERROR(IF(AND(AZ270&gt;0,AY270&gt;0),AZ270/AY270-1,"n/m"),"n/a")</f>
        <v>8.2823946600663501E-2</v>
      </c>
      <c r="BA271" s="40">
        <f t="shared" ref="BA271" si="736">IFERROR(IF(AND(BA270&gt;0,AZ270&gt;0),BA270/AZ270-1,"n/m"),"n/a")</f>
        <v>9.9062415998953268E-2</v>
      </c>
      <c r="BB271" s="40">
        <f t="shared" ref="BB271" si="737">IFERROR(IF(AND(BB270&gt;0,BA270&gt;0),BB270/BA270-1,"n/m"),"n/a")</f>
        <v>0.2354032609454606</v>
      </c>
      <c r="BC271" s="40">
        <f t="shared" ref="BC271" si="738">IFERROR(IF(AND(BC270&gt;0,BB270&gt;0),BC270/BB270-1,"n/m"),"n/a")</f>
        <v>0.14867863483296873</v>
      </c>
      <c r="BD271" s="40"/>
      <c r="BE271" s="40"/>
      <c r="BF271" s="18"/>
      <c r="BG271" s="255"/>
      <c r="BH271" s="18"/>
      <c r="BI271" s="18"/>
      <c r="BJ271" s="18"/>
      <c r="BK271" s="18"/>
    </row>
    <row r="272" spans="1:74" s="54" customFormat="1" ht="11.25" customHeight="1">
      <c r="A272" s="18"/>
      <c r="B272" s="35" t="s">
        <v>467</v>
      </c>
      <c r="C272" s="18"/>
      <c r="D272" s="18"/>
      <c r="E272" s="18"/>
      <c r="F272" s="72"/>
      <c r="G272" s="72"/>
      <c r="H272" s="40"/>
      <c r="I272" s="40"/>
      <c r="J272" s="40"/>
      <c r="K272" s="40"/>
      <c r="L272" s="40">
        <f t="shared" ref="L272" si="739">(L270/D270)^(1/2)-1</f>
        <v>0.1596615702245141</v>
      </c>
      <c r="M272" s="40">
        <f t="shared" ref="M272" si="740">(M270/E270)^(1/2)-1</f>
        <v>0.17429722357118216</v>
      </c>
      <c r="N272" s="40">
        <f t="shared" ref="N272" si="741">(N270/F270)^(1/2)-1</f>
        <v>0.15919340388679526</v>
      </c>
      <c r="O272" s="40">
        <f t="shared" ref="O272" si="742">(O270/G270)^(1/2)-1</f>
        <v>0.16587245566989117</v>
      </c>
      <c r="P272" s="40">
        <f t="shared" ref="P272" si="743">(P270/H270)^(1/2)-1</f>
        <v>0.15613766428470655</v>
      </c>
      <c r="Q272" s="40">
        <f t="shared" ref="Q272" si="744">(Q270/I270)^(1/2)-1</f>
        <v>0.16895753388028245</v>
      </c>
      <c r="R272" s="40">
        <f t="shared" ref="R272" si="745">(R270/J270)^(1/2)-1</f>
        <v>0.19496679154939556</v>
      </c>
      <c r="S272" s="40">
        <f t="shared" ref="S272" si="746">(S270/K270)^(1/2)-1</f>
        <v>0.24388025163252602</v>
      </c>
      <c r="T272" s="40">
        <f t="shared" ref="T272" si="747">(T270/L270)^(1/2)-1</f>
        <v>0.14922173432192642</v>
      </c>
      <c r="U272" s="40">
        <f ca="1">(U270/M270)^(1/2)-1</f>
        <v>0.17717156162275871</v>
      </c>
      <c r="V272" s="40">
        <f>(V270/N270)^(1/2)-1</f>
        <v>0.17339535707766429</v>
      </c>
      <c r="W272" s="40"/>
      <c r="X272" s="40"/>
      <c r="Y272" s="40"/>
      <c r="Z272" s="40"/>
      <c r="AA272" s="40"/>
      <c r="AB272" s="18"/>
      <c r="AC272" s="18"/>
      <c r="AD272" s="18"/>
      <c r="AE272" s="18"/>
      <c r="AF272" s="18"/>
      <c r="AG272" s="18"/>
      <c r="AH272" s="18"/>
      <c r="AI272" s="18"/>
      <c r="AJ272" s="18"/>
      <c r="AK272" s="18"/>
      <c r="AL272" s="18"/>
      <c r="AM272" s="18"/>
      <c r="AN272" s="18"/>
      <c r="AO272" s="18"/>
      <c r="AP272" s="18"/>
      <c r="AQ272" s="18"/>
      <c r="AR272" s="40"/>
      <c r="AS272" s="40"/>
      <c r="AT272" s="40" t="str">
        <f t="shared" ref="AT272:AW272" si="748">IFERROR((AT270/AR270)^(1/2)-1,"n/a")</f>
        <v>n/a</v>
      </c>
      <c r="AU272" s="40" t="str">
        <f t="shared" si="748"/>
        <v>n/a</v>
      </c>
      <c r="AV272" s="40" t="str">
        <f t="shared" si="748"/>
        <v>n/a</v>
      </c>
      <c r="AW272" s="40" t="str">
        <f t="shared" si="748"/>
        <v>n/a</v>
      </c>
      <c r="AX272" s="40" t="str">
        <f>IFERROR((AX270/AV270)^(1/2)-1,"n/a")</f>
        <v>n/a</v>
      </c>
      <c r="AY272" s="40">
        <f t="shared" ref="AY272:BC272" si="749">IFERROR((AY270/AW270)^(1/2)-1,"n/a")</f>
        <v>4.3632477187987684E-2</v>
      </c>
      <c r="AZ272" s="40">
        <f t="shared" si="749"/>
        <v>7.1454476985548521E-2</v>
      </c>
      <c r="BA272" s="40">
        <f t="shared" si="749"/>
        <v>9.0912967588361981E-2</v>
      </c>
      <c r="BB272" s="40">
        <f t="shared" si="749"/>
        <v>0.16524044416064765</v>
      </c>
      <c r="BC272" s="40">
        <f t="shared" si="749"/>
        <v>0.19125200157272748</v>
      </c>
      <c r="BD272" s="40"/>
      <c r="BE272" s="40"/>
      <c r="BF272" s="18"/>
      <c r="BG272" s="18"/>
      <c r="BH272" s="18"/>
      <c r="BI272" s="18"/>
      <c r="BJ272" s="18"/>
      <c r="BK272" s="18"/>
    </row>
    <row r="273" spans="1:63" s="54" customFormat="1" ht="11.25" customHeight="1">
      <c r="A273" s="18"/>
      <c r="B273" s="35" t="s">
        <v>466</v>
      </c>
      <c r="C273" s="18"/>
      <c r="D273" s="18"/>
      <c r="E273" s="18"/>
      <c r="F273" s="72"/>
      <c r="G273" s="72"/>
      <c r="H273" s="40"/>
      <c r="I273" s="40"/>
      <c r="J273" s="40"/>
      <c r="K273" s="40"/>
      <c r="L273" s="40"/>
      <c r="M273" s="40"/>
      <c r="N273" s="40"/>
      <c r="O273" s="40"/>
      <c r="P273" s="40">
        <f t="shared" ref="P273" si="750">(P270/D270)^(1/3)-1</f>
        <v>0.1400644786348717</v>
      </c>
      <c r="Q273" s="40">
        <f t="shared" ref="Q273" si="751">(Q270/E270)^(1/3)-1</f>
        <v>0.15070202846611425</v>
      </c>
      <c r="R273" s="40">
        <f t="shared" ref="R273" si="752">(R270/F270)^(1/3)-1</f>
        <v>0.15611661354081074</v>
      </c>
      <c r="S273" s="40">
        <f t="shared" ref="S273" si="753">(S270/G270)^(1/3)-1</f>
        <v>0.19000063702951198</v>
      </c>
      <c r="T273" s="40">
        <f t="shared" ref="T273" si="754">(T270/H270)^(1/3)-1</f>
        <v>0.1701288384710502</v>
      </c>
      <c r="U273" s="40">
        <f ca="1">(U270/I270)^(1/3)-1</f>
        <v>0.19668948430353872</v>
      </c>
      <c r="V273" s="40">
        <f>(V270/J270)^(1/3)-1</f>
        <v>0.19573725314144874</v>
      </c>
      <c r="W273" s="40"/>
      <c r="X273" s="40"/>
      <c r="Y273" s="40"/>
      <c r="Z273" s="40"/>
      <c r="AA273" s="40"/>
      <c r="AB273" s="18"/>
      <c r="AC273" s="18"/>
      <c r="AD273" s="18"/>
      <c r="AE273" s="18"/>
      <c r="AF273" s="18"/>
      <c r="AG273" s="18"/>
      <c r="AH273" s="18"/>
      <c r="AI273" s="18"/>
      <c r="AJ273" s="18"/>
      <c r="AK273" s="18"/>
      <c r="AL273" s="18"/>
      <c r="AM273" s="18"/>
      <c r="AN273" s="18"/>
      <c r="AO273" s="18"/>
      <c r="AP273" s="18"/>
      <c r="AQ273" s="18"/>
      <c r="AR273" s="40"/>
      <c r="AS273" s="40"/>
      <c r="AT273" s="40"/>
      <c r="AU273" s="40" t="str">
        <f t="shared" ref="AU273:AW273" si="755">IFERROR((AU270/AR270)^(1/3)-1,"n/a")</f>
        <v>n/a</v>
      </c>
      <c r="AV273" s="40" t="str">
        <f t="shared" si="755"/>
        <v>n/a</v>
      </c>
      <c r="AW273" s="40" t="str">
        <f t="shared" si="755"/>
        <v>n/a</v>
      </c>
      <c r="AX273" s="40" t="str">
        <f>IFERROR((AX270/AU270)^(1/3)-1,"n/a")</f>
        <v>n/a</v>
      </c>
      <c r="AY273" s="40" t="str">
        <f t="shared" ref="AY273:BC273" si="756">IFERROR((AY270/AV270)^(1/3)-1,"n/a")</f>
        <v>n/a</v>
      </c>
      <c r="AZ273" s="40">
        <f t="shared" si="756"/>
        <v>5.653610052033442E-2</v>
      </c>
      <c r="BA273" s="40">
        <f t="shared" si="756"/>
        <v>8.0579194832870016E-2</v>
      </c>
      <c r="BB273" s="40">
        <f t="shared" si="756"/>
        <v>0.13709386730619855</v>
      </c>
      <c r="BC273" s="40">
        <f t="shared" si="756"/>
        <v>0.15969347737942918</v>
      </c>
      <c r="BD273" s="40"/>
      <c r="BE273" s="40"/>
      <c r="BF273" s="18"/>
      <c r="BG273" s="18"/>
      <c r="BH273" s="18"/>
      <c r="BI273" s="18"/>
      <c r="BJ273" s="18"/>
      <c r="BK273" s="18"/>
    </row>
    <row r="274" spans="1:63" s="54" customFormat="1" ht="11.25" customHeight="1">
      <c r="A274" s="18"/>
      <c r="B274" s="36"/>
      <c r="C274" s="18"/>
      <c r="D274" s="18"/>
      <c r="E274" s="18"/>
      <c r="F274" s="72"/>
      <c r="G274" s="72"/>
      <c r="H274" s="40"/>
      <c r="I274" s="40"/>
      <c r="J274" s="40"/>
      <c r="K274" s="40"/>
      <c r="L274" s="40"/>
      <c r="M274" s="40"/>
      <c r="N274" s="40"/>
      <c r="O274" s="40"/>
      <c r="P274" s="40"/>
      <c r="Q274" s="40"/>
      <c r="R274" s="40"/>
      <c r="S274" s="40"/>
      <c r="T274" s="40"/>
      <c r="U274" s="40"/>
      <c r="V274" s="40"/>
      <c r="W274" s="40"/>
      <c r="X274" s="40"/>
      <c r="Y274" s="40"/>
      <c r="Z274" s="40"/>
      <c r="AA274" s="40"/>
      <c r="AB274" s="18"/>
      <c r="AC274" s="18"/>
      <c r="AD274" s="18"/>
      <c r="AE274" s="18"/>
      <c r="AF274" s="18"/>
      <c r="AG274" s="18"/>
      <c r="AH274" s="18"/>
      <c r="AI274" s="18"/>
      <c r="AJ274" s="18"/>
      <c r="AK274" s="18"/>
      <c r="AL274" s="18"/>
      <c r="AM274" s="18"/>
      <c r="AN274" s="18"/>
      <c r="AO274" s="18"/>
      <c r="AP274" s="18"/>
      <c r="AQ274" s="18"/>
      <c r="AR274" s="40"/>
      <c r="AS274" s="40"/>
      <c r="AT274" s="40"/>
      <c r="AU274" s="40"/>
      <c r="AV274" s="40"/>
      <c r="AW274" s="40"/>
      <c r="AX274" s="40"/>
      <c r="AY274" s="40"/>
      <c r="AZ274" s="40"/>
      <c r="BA274" s="40"/>
      <c r="BB274" s="40"/>
      <c r="BC274" s="40"/>
      <c r="BD274" s="40"/>
      <c r="BE274" s="40"/>
      <c r="BF274" s="18"/>
      <c r="BG274" s="18"/>
      <c r="BH274" s="18"/>
      <c r="BI274" s="18"/>
      <c r="BJ274" s="18"/>
      <c r="BK274" s="18"/>
    </row>
    <row r="275" spans="1:63" s="54" customFormat="1" ht="11.25" customHeight="1">
      <c r="A275" s="18"/>
      <c r="B275" s="646" t="s">
        <v>976</v>
      </c>
      <c r="C275" s="18"/>
      <c r="D275" s="268">
        <f>D16/(D265/1000000)/D294</f>
        <v>3524.3857482744211</v>
      </c>
      <c r="E275" s="268">
        <f t="shared" ref="E275:U275" si="757">E16/(E265/1000000)/E294</f>
        <v>3481.9331656597255</v>
      </c>
      <c r="F275" s="268">
        <f t="shared" si="757"/>
        <v>3747.2614269129103</v>
      </c>
      <c r="G275" s="268">
        <f t="shared" si="757"/>
        <v>3908.8518633639533</v>
      </c>
      <c r="H275" s="268">
        <f t="shared" si="757"/>
        <v>3840.365582737752</v>
      </c>
      <c r="I275" s="268">
        <f t="shared" si="757"/>
        <v>3854.9201314693705</v>
      </c>
      <c r="J275" s="268">
        <f t="shared" si="757"/>
        <v>4080.3035739998663</v>
      </c>
      <c r="K275" s="268">
        <f t="shared" si="757"/>
        <v>4224.3358543955737</v>
      </c>
      <c r="L275" s="268">
        <f t="shared" si="757"/>
        <v>4640.8918175513218</v>
      </c>
      <c r="M275" s="268">
        <f t="shared" si="757"/>
        <v>4774.8742913685273</v>
      </c>
      <c r="N275" s="268">
        <f t="shared" si="757"/>
        <v>5075.7190718112579</v>
      </c>
      <c r="O275" s="268">
        <f t="shared" si="757"/>
        <v>5390.8388356817595</v>
      </c>
      <c r="P275" s="268">
        <f t="shared" si="757"/>
        <v>5181.3035949950954</v>
      </c>
      <c r="Q275" s="268">
        <f t="shared" si="757"/>
        <v>5366.9448172790471</v>
      </c>
      <c r="R275" s="268">
        <f t="shared" si="757"/>
        <v>5943.8973081130189</v>
      </c>
      <c r="S275" s="268">
        <f t="shared" si="757"/>
        <v>6648.2936689401995</v>
      </c>
      <c r="T275" s="268">
        <f t="shared" si="757"/>
        <v>6216.9129754744208</v>
      </c>
      <c r="U275" s="268">
        <f t="shared" si="757"/>
        <v>6657.5681474527728</v>
      </c>
      <c r="V275" s="268">
        <f t="shared" ref="V275" si="758">V16/(V265/1000000)/V294</f>
        <v>7045.7948833965647</v>
      </c>
      <c r="W275" s="323"/>
      <c r="X275" s="323"/>
      <c r="Y275" s="323"/>
      <c r="Z275" s="323"/>
      <c r="AA275" s="323"/>
      <c r="AB275" s="18"/>
      <c r="AC275" s="644">
        <f t="shared" ref="AC275:AQ275" si="759">IFERROR(AC16/(AC265/1000000)/AC294,"n/a")</f>
        <v>2992.1328811341641</v>
      </c>
      <c r="AD275" s="644">
        <f t="shared" si="759"/>
        <v>2875.5624506225145</v>
      </c>
      <c r="AE275" s="644">
        <f t="shared" si="759"/>
        <v>2891.0652843015387</v>
      </c>
      <c r="AF275" s="644">
        <f t="shared" si="759"/>
        <v>3508.5763625046388</v>
      </c>
      <c r="AG275" s="644">
        <f t="shared" si="759"/>
        <v>3879.7359877990739</v>
      </c>
      <c r="AH275" s="644">
        <f t="shared" si="759"/>
        <v>3948.8957258513324</v>
      </c>
      <c r="AI275" s="644">
        <f t="shared" si="759"/>
        <v>3589.1930516740622</v>
      </c>
      <c r="AJ275" s="644">
        <f t="shared" si="759"/>
        <v>3463.0185185034097</v>
      </c>
      <c r="AK275" s="644">
        <f t="shared" si="759"/>
        <v>3318.1195542505666</v>
      </c>
      <c r="AL275" s="644">
        <f t="shared" si="759"/>
        <v>3044.5134541584794</v>
      </c>
      <c r="AM275" s="644">
        <f t="shared" si="759"/>
        <v>2754.9541733644969</v>
      </c>
      <c r="AN275" s="644">
        <f t="shared" si="759"/>
        <v>2805.7833248743177</v>
      </c>
      <c r="AO275" s="644">
        <f t="shared" si="759"/>
        <v>2602.406210196903</v>
      </c>
      <c r="AP275" s="644">
        <f t="shared" si="759"/>
        <v>2523.5123313096788</v>
      </c>
      <c r="AQ275" s="644">
        <f t="shared" si="759"/>
        <v>2603.0194854276451</v>
      </c>
      <c r="AR275" s="644">
        <f>IFERROR(AR16/(AR265/1000000)/AR294,"n/a")</f>
        <v>2744.7568512380467</v>
      </c>
      <c r="AS275" s="644">
        <f t="shared" ref="AS275:BC275" si="760">IFERROR(AS16/(AS265/1000000)/AS294,"n/a")</f>
        <v>2886.6296837949772</v>
      </c>
      <c r="AT275" s="644">
        <f t="shared" si="760"/>
        <v>3043.7596278463252</v>
      </c>
      <c r="AU275" s="644">
        <f t="shared" si="760"/>
        <v>3028.1067950024785</v>
      </c>
      <c r="AV275" s="644">
        <f t="shared" si="760"/>
        <v>3058.2272263667678</v>
      </c>
      <c r="AW275" s="644">
        <f t="shared" si="760"/>
        <v>3073.7683884466865</v>
      </c>
      <c r="AX275" s="644">
        <f t="shared" si="760"/>
        <v>3181.0110884570822</v>
      </c>
      <c r="AY275" s="644">
        <f t="shared" si="760"/>
        <v>3437.9994513739052</v>
      </c>
      <c r="AZ275" s="644">
        <f t="shared" si="760"/>
        <v>3666.6031902879217</v>
      </c>
      <c r="BA275" s="644">
        <f t="shared" si="760"/>
        <v>4005.510600433116</v>
      </c>
      <c r="BB275" s="644">
        <f t="shared" si="760"/>
        <v>4979.009006427008</v>
      </c>
      <c r="BC275" s="644">
        <f t="shared" si="760"/>
        <v>5778.3961432435563</v>
      </c>
      <c r="BD275" s="323"/>
      <c r="BE275" s="323"/>
      <c r="BF275" s="18"/>
      <c r="BG275" s="18"/>
      <c r="BH275" s="18"/>
      <c r="BI275" s="18"/>
      <c r="BJ275" s="18"/>
      <c r="BK275" s="18"/>
    </row>
    <row r="276" spans="1:63" s="54" customFormat="1" ht="11.25" customHeight="1">
      <c r="A276" s="18"/>
      <c r="B276" s="35" t="s">
        <v>249</v>
      </c>
      <c r="C276" s="18"/>
      <c r="D276" s="18"/>
      <c r="E276" s="18"/>
      <c r="F276" s="72"/>
      <c r="G276" s="72"/>
      <c r="H276" s="40">
        <f>IFERROR(IF(AND(H275&gt;0,D275&gt;0),H275/D275-1,"n/m"),"n/a")</f>
        <v>8.9655292306762391E-2</v>
      </c>
      <c r="I276" s="40">
        <f t="shared" ref="I276" si="761">IFERROR(IF(AND(I275&gt;0,E275&gt;0),I275/E275-1,"n/m"),"n/a")</f>
        <v>0.10712065627456546</v>
      </c>
      <c r="J276" s="40">
        <f t="shared" ref="J276" si="762">IFERROR(IF(AND(J275&gt;0,F275&gt;0),J275/F275-1,"n/m"),"n/a")</f>
        <v>8.8876144240975563E-2</v>
      </c>
      <c r="K276" s="40">
        <f t="shared" ref="K276" si="763">IFERROR(IF(AND(K275&gt;0,G275&gt;0),K275/G275-1,"n/m"),"n/a")</f>
        <v>8.0710142532778306E-2</v>
      </c>
      <c r="L276" s="40">
        <f t="shared" ref="L276" si="764">IFERROR(IF(AND(L275&gt;0,H275&gt;0),L275/H275-1,"n/m"),"n/a")</f>
        <v>0.20845052835904343</v>
      </c>
      <c r="M276" s="40">
        <f t="shared" ref="M276" si="765">IFERROR(IF(AND(M275&gt;0,I275&gt;0),M275/I275-1,"n/m"),"n/a")</f>
        <v>0.23864415565686437</v>
      </c>
      <c r="N276" s="40">
        <f t="shared" ref="N276" si="766">IFERROR(IF(AND(N275&gt;0,J275&gt;0),N275/J275-1,"n/m"),"n/a")</f>
        <v>0.24395623505914754</v>
      </c>
      <c r="O276" s="40">
        <f t="shared" ref="O276" si="767">IFERROR(IF(AND(O275&gt;0,K275&gt;0),O275/K275-1,"n/m"),"n/a")</f>
        <v>0.27613878760903865</v>
      </c>
      <c r="P276" s="40">
        <f t="shared" ref="P276" si="768">IFERROR(IF(AND(P275&gt;0,L275&gt;0),P275/L275-1,"n/m"),"n/a")</f>
        <v>0.11644567438525466</v>
      </c>
      <c r="Q276" s="40">
        <f t="shared" ref="Q276" si="769">IFERROR(IF(AND(Q275&gt;0,M275&gt;0),Q275/M275-1,"n/m"),"n/a")</f>
        <v>0.12399709181470953</v>
      </c>
      <c r="R276" s="40">
        <f t="shared" ref="R276" si="770">IFERROR(IF(AND(R275&gt;0,N275&gt;0),R275/N275-1,"n/m"),"n/a")</f>
        <v>0.17104536796043623</v>
      </c>
      <c r="S276" s="40">
        <f t="shared" ref="S276" si="771">IFERROR(IF(AND(S275&gt;0,O275&gt;0),S275/O275-1,"n/m"),"n/a")</f>
        <v>0.23325773067734712</v>
      </c>
      <c r="T276" s="40">
        <f t="shared" ref="T276:V276" si="772">IFERROR(IF(AND(T275&gt;0,P275&gt;0),T275/P275-1,"n/m"),"n/a")</f>
        <v>0.19987429060896522</v>
      </c>
      <c r="U276" s="40">
        <f t="shared" si="772"/>
        <v>0.24047635556425395</v>
      </c>
      <c r="V276" s="40">
        <f t="shared" si="772"/>
        <v>0.18538301019762393</v>
      </c>
      <c r="W276" s="40"/>
      <c r="X276" s="40"/>
      <c r="Y276" s="40"/>
      <c r="Z276" s="40"/>
      <c r="AA276" s="40"/>
      <c r="AB276" s="18"/>
      <c r="AC276" s="18"/>
      <c r="AD276" s="40">
        <f t="shared" ref="AD276" si="773">IFERROR(IF(AND(AD275&gt;0,AC275&gt;0),AD275/AC275-1,"n/m"),"n/a")</f>
        <v>-3.8958975133304818E-2</v>
      </c>
      <c r="AE276" s="40">
        <f t="shared" ref="AE276" si="774">IFERROR(IF(AND(AE275&gt;0,AD275&gt;0),AE275/AD275-1,"n/m"),"n/a")</f>
        <v>5.3912352610070435E-3</v>
      </c>
      <c r="AF276" s="40">
        <f t="shared" ref="AF276" si="775">IFERROR(IF(AND(AF275&gt;0,AE275&gt;0),AF275/AE275-1,"n/m"),"n/a")</f>
        <v>0.21359292076736569</v>
      </c>
      <c r="AG276" s="40">
        <f t="shared" ref="AG276" si="776">IFERROR(IF(AND(AG275&gt;0,AF275&gt;0),AG275/AF275-1,"n/m"),"n/a")</f>
        <v>0.10578638939170149</v>
      </c>
      <c r="AH276" s="40">
        <f t="shared" ref="AH276" si="777">IFERROR(IF(AND(AH275&gt;0,AG275&gt;0),AH275/AG275-1,"n/m"),"n/a")</f>
        <v>1.7825887707243693E-2</v>
      </c>
      <c r="AI276" s="40">
        <f t="shared" ref="AI276" si="778">IFERROR(IF(AND(AI275&gt;0,AH275&gt;0),AI275/AH275-1,"n/m"),"n/a")</f>
        <v>-9.1089433388298113E-2</v>
      </c>
      <c r="AJ276" s="40">
        <f t="shared" ref="AJ276" si="779">IFERROR(IF(AND(AJ275&gt;0,AI275&gt;0),AJ275/AI275-1,"n/m"),"n/a")</f>
        <v>-3.5154011320678968E-2</v>
      </c>
      <c r="AK276" s="40">
        <f t="shared" ref="AK276" si="780">IFERROR(IF(AND(AK275&gt;0,AJ275&gt;0),AK275/AJ275-1,"n/m"),"n/a")</f>
        <v>-4.1841810397093449E-2</v>
      </c>
      <c r="AL276" s="40">
        <f t="shared" ref="AL276" si="781">IFERROR(IF(AND(AL275&gt;0,AK275&gt;0),AL275/AK275-1,"n/m"),"n/a")</f>
        <v>-8.2458180188713537E-2</v>
      </c>
      <c r="AM276" s="40">
        <f t="shared" ref="AM276" si="782">IFERROR(IF(AND(AM275&gt;0,AL275&gt;0),AM275/AL275-1,"n/m"),"n/a")</f>
        <v>-9.510855680354291E-2</v>
      </c>
      <c r="AN276" s="40">
        <f t="shared" ref="AN276" si="783">IFERROR(IF(AND(AN275&gt;0,AM275&gt;0),AN275/AM275-1,"n/m"),"n/a")</f>
        <v>1.8450089660745794E-2</v>
      </c>
      <c r="AO276" s="40">
        <f t="shared" ref="AO276" si="784">IFERROR(IF(AND(AO275&gt;0,AN275&gt;0),AO275/AN275-1,"n/m"),"n/a")</f>
        <v>-7.2484968056656607E-2</v>
      </c>
      <c r="AP276" s="40">
        <f t="shared" ref="AP276" si="785">IFERROR(IF(AND(AP275&gt;0,AO275&gt;0),AP275/AO275-1,"n/m"),"n/a")</f>
        <v>-3.0315743398589223E-2</v>
      </c>
      <c r="AQ276" s="40">
        <f t="shared" ref="AQ276" si="786">IFERROR(IF(AND(AQ275&gt;0,AP275&gt;0),AQ275/AP275-1,"n/m"),"n/a")</f>
        <v>3.1506544720034224E-2</v>
      </c>
      <c r="AR276" s="40">
        <f t="shared" ref="AR276" si="787">IFERROR(IF(AND(AR275&gt;0,AQ275&gt;0),AR275/AQ275-1,"n/m"),"n/a")</f>
        <v>5.4451135154340191E-2</v>
      </c>
      <c r="AS276" s="40">
        <f t="shared" ref="AS276" si="788">IFERROR(IF(AND(AS275&gt;0,AR275&gt;0),AS275/AR275-1,"n/m"),"n/a")</f>
        <v>5.1688670525747105E-2</v>
      </c>
      <c r="AT276" s="40">
        <f t="shared" ref="AT276" si="789">IFERROR(IF(AND(AT275&gt;0,AS275&gt;0),AT275/AS275-1,"n/m"),"n/a")</f>
        <v>5.4433703406241429E-2</v>
      </c>
      <c r="AU276" s="40">
        <f t="shared" ref="AU276" si="790">IFERROR(IF(AND(AU275&gt;0,AT275&gt;0),AU275/AT275-1,"n/m"),"n/a")</f>
        <v>-5.14259821986085E-3</v>
      </c>
      <c r="AV276" s="40">
        <f t="shared" ref="AV276" si="791">IFERROR(IF(AND(AV275&gt;0,AU275&gt;0),AV275/AU275-1,"n/m"),"n/a")</f>
        <v>9.9469514793861791E-3</v>
      </c>
      <c r="AW276" s="40">
        <f t="shared" ref="AW276" si="792">IFERROR(IF(AND(AW275&gt;0,AV275&gt;0),AW275/AV275-1,"n/m"),"n/a")</f>
        <v>5.0817551900426139E-3</v>
      </c>
      <c r="AX276" s="40">
        <f t="shared" ref="AX276" si="793">IFERROR(IF(AND(AX275&gt;0,AW275&gt;0),AX275/AW275-1,"n/m"),"n/a")</f>
        <v>3.4889648944756768E-2</v>
      </c>
      <c r="AY276" s="40">
        <f t="shared" ref="AY276" si="794">IFERROR(IF(AND(AY275&gt;0,AX275&gt;0),AY275/AX275-1,"n/m"),"n/a")</f>
        <v>8.078826378485604E-2</v>
      </c>
      <c r="AZ276" s="40">
        <f t="shared" ref="AZ276" si="795">IFERROR(IF(AND(AZ275&gt;0,AY275&gt;0),AZ275/AY275-1,"n/m"),"n/a")</f>
        <v>6.6493244733550227E-2</v>
      </c>
      <c r="BA276" s="40">
        <f t="shared" ref="BA276" si="796">IFERROR(IF(AND(BA275&gt;0,AZ275&gt;0),BA275/AZ275-1,"n/m"),"n/a")</f>
        <v>9.2430893815532045E-2</v>
      </c>
      <c r="BB276" s="40">
        <f t="shared" ref="BB276" si="797">IFERROR(IF(AND(BB275&gt;0,BA275&gt;0),BB275/BA275-1,"n/m"),"n/a")</f>
        <v>0.24303977772237761</v>
      </c>
      <c r="BC276" s="40">
        <f t="shared" ref="BC276" si="798">IFERROR(IF(AND(BC275&gt;0,BB275&gt;0),BC275/BB275-1,"n/m"),"n/a")</f>
        <v>0.16055145427226236</v>
      </c>
      <c r="BD276" s="40"/>
      <c r="BE276" s="40"/>
      <c r="BF276" s="18"/>
      <c r="BG276" s="255"/>
      <c r="BH276" s="18"/>
      <c r="BI276" s="18"/>
      <c r="BJ276" s="18"/>
      <c r="BK276" s="18"/>
    </row>
    <row r="277" spans="1:63" s="54" customFormat="1" ht="11.25" customHeight="1">
      <c r="A277" s="18"/>
      <c r="B277" s="35" t="s">
        <v>467</v>
      </c>
      <c r="C277" s="18"/>
      <c r="D277" s="18"/>
      <c r="E277" s="18"/>
      <c r="F277" s="72"/>
      <c r="G277" s="72"/>
      <c r="H277" s="40"/>
      <c r="I277" s="40"/>
      <c r="J277" s="40"/>
      <c r="K277" s="40"/>
      <c r="L277" s="40">
        <f t="shared" ref="L277" si="799">(L275/D275)^(1/2)-1</f>
        <v>0.14751667252259781</v>
      </c>
      <c r="M277" s="40">
        <f t="shared" ref="M277" si="800">(M275/E275)^(1/2)-1</f>
        <v>0.17103737365699945</v>
      </c>
      <c r="N277" s="40">
        <f t="shared" ref="N277" si="801">(N275/F275)^(1/2)-1</f>
        <v>0.16383601458097408</v>
      </c>
      <c r="O277" s="40">
        <f t="shared" ref="O277" si="802">(O275/G275)^(1/2)-1</f>
        <v>0.17436626784345721</v>
      </c>
      <c r="P277" s="40">
        <f t="shared" ref="P277" si="803">(P275/H275)^(1/2)-1</f>
        <v>0.16153750051172655</v>
      </c>
      <c r="Q277" s="40">
        <f t="shared" ref="Q277" si="804">(Q275/I275)^(1/2)-1</f>
        <v>0.17992899309729737</v>
      </c>
      <c r="R277" s="40">
        <f t="shared" ref="R277" si="805">(R275/J275)^(1/2)-1</f>
        <v>0.20695036642420339</v>
      </c>
      <c r="S277" s="40">
        <f t="shared" ref="S277" si="806">(S275/K275)^(1/2)-1</f>
        <v>0.25451505580286438</v>
      </c>
      <c r="T277" s="40">
        <f t="shared" ref="T277" si="807">(T275/L275)^(1/2)-1</f>
        <v>0.15740851109556608</v>
      </c>
      <c r="U277" s="40">
        <f>(U275/M275)^(1/2)-1</f>
        <v>0.1808013449006276</v>
      </c>
      <c r="V277" s="40">
        <f>(V275/N275)^(1/2)-1</f>
        <v>0.17819237960144951</v>
      </c>
      <c r="W277" s="40"/>
      <c r="X277" s="40"/>
      <c r="Y277" s="40"/>
      <c r="Z277" s="40"/>
      <c r="AA277" s="40"/>
      <c r="AB277" s="18"/>
      <c r="AC277" s="18"/>
      <c r="AD277" s="18"/>
      <c r="AE277" s="40">
        <f t="shared" ref="AE277:AS277" si="808">(AE275/AC275)^(1/2)-1</f>
        <v>-1.703396644277122E-2</v>
      </c>
      <c r="AF277" s="40">
        <f t="shared" si="808"/>
        <v>0.10459752204787942</v>
      </c>
      <c r="AG277" s="40">
        <f t="shared" si="808"/>
        <v>0.15843624513681132</v>
      </c>
      <c r="AH277" s="40">
        <f t="shared" si="808"/>
        <v>6.0894911570979371E-2</v>
      </c>
      <c r="AI277" s="40">
        <f t="shared" si="808"/>
        <v>-3.8172206521328911E-2</v>
      </c>
      <c r="AJ277" s="40">
        <f t="shared" si="808"/>
        <v>-6.3539261760777621E-2</v>
      </c>
      <c r="AK277" s="40">
        <f t="shared" si="808"/>
        <v>-3.8503725561765623E-2</v>
      </c>
      <c r="AL277" s="40">
        <f t="shared" si="808"/>
        <v>-6.2369897584693357E-2</v>
      </c>
      <c r="AM277" s="40">
        <f t="shared" si="808"/>
        <v>-8.8805321831751161E-2</v>
      </c>
      <c r="AN277" s="40">
        <f t="shared" si="808"/>
        <v>-4.0006889891040287E-2</v>
      </c>
      <c r="AO277" s="40">
        <f t="shared" si="808"/>
        <v>-2.8080369863645815E-2</v>
      </c>
      <c r="AP277" s="40">
        <f t="shared" si="808"/>
        <v>-5.1634709493955211E-2</v>
      </c>
      <c r="AQ277" s="40">
        <f t="shared" si="808"/>
        <v>1.1782155720863052E-4</v>
      </c>
      <c r="AR277" s="40">
        <f t="shared" si="808"/>
        <v>4.2915743000924822E-2</v>
      </c>
      <c r="AS277" s="40">
        <f t="shared" si="808"/>
        <v>5.3068997010562891E-2</v>
      </c>
      <c r="AT277" s="40">
        <f>(AT275/AR275)^(1/2)-1</f>
        <v>5.3060292525005437E-2</v>
      </c>
      <c r="AU277" s="40">
        <f t="shared" ref="AU277" si="809">(AU275/AS275)^(1/2)-1</f>
        <v>2.4212465516868731E-2</v>
      </c>
      <c r="AV277" s="40">
        <f t="shared" ref="AV277" si="810">(AV275/AT275)^(1/2)-1</f>
        <v>2.3737826203129586E-3</v>
      </c>
      <c r="AW277" s="40">
        <f t="shared" ref="AW277" si="811">(AW275/AU275)^(1/2)-1</f>
        <v>7.5114166309651065E-3</v>
      </c>
      <c r="AX277" s="40">
        <f t="shared" ref="AX277" si="812">(AX275/AV275)^(1/2)-1</f>
        <v>1.9876808633966014E-2</v>
      </c>
      <c r="AY277" s="40">
        <f t="shared" ref="AY277" si="813">(AY275/AW275)^(1/2)-1</f>
        <v>5.7589989973393596E-2</v>
      </c>
      <c r="AZ277" s="40">
        <f t="shared" ref="AZ277" si="814">(AZ275/AX275)^(1/2)-1</f>
        <v>7.3616962568052724E-2</v>
      </c>
      <c r="BA277" s="40">
        <f t="shared" ref="BA277" si="815">(BA275/AY275)^(1/2)-1</f>
        <v>7.9384161729501912E-2</v>
      </c>
      <c r="BB277" s="40">
        <f t="shared" ref="BB277" si="816">(BB275/AZ275)^(1/2)-1</f>
        <v>0.16530470497012817</v>
      </c>
      <c r="BC277" s="40">
        <f t="shared" ref="BC277" si="817">(BC275/BA275)^(1/2)-1</f>
        <v>0.20108768279171652</v>
      </c>
      <c r="BD277" s="40"/>
      <c r="BE277" s="40"/>
      <c r="BF277" s="18"/>
      <c r="BG277" s="18"/>
      <c r="BH277" s="18"/>
      <c r="BI277" s="18"/>
      <c r="BJ277" s="18"/>
      <c r="BK277" s="18"/>
    </row>
    <row r="278" spans="1:63" s="54" customFormat="1" ht="11.25" customHeight="1">
      <c r="A278" s="18"/>
      <c r="B278" s="35" t="s">
        <v>466</v>
      </c>
      <c r="C278" s="18"/>
      <c r="D278" s="18"/>
      <c r="E278" s="18"/>
      <c r="F278" s="72"/>
      <c r="G278" s="72"/>
      <c r="H278" s="40"/>
      <c r="I278" s="40"/>
      <c r="J278" s="40"/>
      <c r="K278" s="40"/>
      <c r="L278" s="40"/>
      <c r="M278" s="40"/>
      <c r="N278" s="40"/>
      <c r="O278" s="40"/>
      <c r="P278" s="40">
        <f t="shared" ref="P278" si="818">(P275/D275)^(1/3)-1</f>
        <v>0.13706476320389749</v>
      </c>
      <c r="Q278" s="40">
        <f t="shared" ref="Q278" si="819">(Q275/E275)^(1/3)-1</f>
        <v>0.15514250978117494</v>
      </c>
      <c r="R278" s="40">
        <f t="shared" ref="R278" si="820">(R275/F275)^(1/3)-1</f>
        <v>0.1662341873622013</v>
      </c>
      <c r="S278" s="40">
        <f t="shared" ref="S278" si="821">(S275/G275)^(1/3)-1</f>
        <v>0.19367746294043164</v>
      </c>
      <c r="T278" s="40">
        <f t="shared" ref="T278" si="822">(T275/H275)^(1/3)-1</f>
        <v>0.17417836263150055</v>
      </c>
      <c r="U278" s="40">
        <f>(U275/I275)^(1/3)-1</f>
        <v>0.19977574728843317</v>
      </c>
      <c r="V278" s="40">
        <f>(V275/J275)^(1/3)-1</f>
        <v>0.19971799594218509</v>
      </c>
      <c r="W278" s="40"/>
      <c r="X278" s="40"/>
      <c r="Y278" s="40"/>
      <c r="Z278" s="40"/>
      <c r="AA278" s="40"/>
      <c r="AB278" s="18"/>
      <c r="AC278" s="18"/>
      <c r="AD278" s="18"/>
      <c r="AE278" s="18"/>
      <c r="AF278" s="40">
        <f t="shared" ref="AF278:AT278" si="823">(AF275/AC275)^(1/3)-1</f>
        <v>5.4508339860495747E-2</v>
      </c>
      <c r="AG278" s="40">
        <f t="shared" si="823"/>
        <v>0.10499366907342433</v>
      </c>
      <c r="AH278" s="40">
        <f t="shared" si="823"/>
        <v>0.10953052716290479</v>
      </c>
      <c r="AI278" s="40">
        <f t="shared" si="823"/>
        <v>7.6010894105693616E-3</v>
      </c>
      <c r="AJ278" s="40">
        <f t="shared" si="823"/>
        <v>-3.7167191960654877E-2</v>
      </c>
      <c r="AK278" s="40">
        <f t="shared" si="823"/>
        <v>-5.6361927886090735E-2</v>
      </c>
      <c r="AL278" s="40">
        <f t="shared" si="823"/>
        <v>-5.338432189805753E-2</v>
      </c>
      <c r="AM278" s="40">
        <f t="shared" si="823"/>
        <v>-7.3412319516108049E-2</v>
      </c>
      <c r="AN278" s="40">
        <f t="shared" si="823"/>
        <v>-5.4371179550498971E-2</v>
      </c>
      <c r="AO278" s="40">
        <f t="shared" si="823"/>
        <v>-5.0957350855124428E-2</v>
      </c>
      <c r="AP278" s="40">
        <f t="shared" si="823"/>
        <v>-2.8826066357824587E-2</v>
      </c>
      <c r="AQ278" s="40">
        <f t="shared" si="823"/>
        <v>-2.469354981222005E-2</v>
      </c>
      <c r="AR278" s="40">
        <f t="shared" si="823"/>
        <v>1.7910506586308106E-2</v>
      </c>
      <c r="AS278" s="40">
        <f t="shared" si="823"/>
        <v>4.5831890593388547E-2</v>
      </c>
      <c r="AT278" s="40">
        <f t="shared" si="823"/>
        <v>5.3523702776317572E-2</v>
      </c>
      <c r="AU278" s="40">
        <f>(AU275/AR275)^(1/3)-1</f>
        <v>3.329050027609215E-2</v>
      </c>
      <c r="AV278" s="40">
        <f t="shared" ref="AV278:BC278" si="824">(AV275/AS275)^(1/3)-1</f>
        <v>1.9435044624036779E-2</v>
      </c>
      <c r="AW278" s="40">
        <f t="shared" si="824"/>
        <v>3.2756285003103791E-3</v>
      </c>
      <c r="AX278" s="40">
        <f t="shared" si="824"/>
        <v>1.6556055500673184E-2</v>
      </c>
      <c r="AY278" s="40">
        <f t="shared" si="824"/>
        <v>3.9789316521101181E-2</v>
      </c>
      <c r="AZ278" s="40">
        <f t="shared" si="824"/>
        <v>6.0549452348588106E-2</v>
      </c>
      <c r="BA278" s="40">
        <f t="shared" si="824"/>
        <v>7.9851992949284689E-2</v>
      </c>
      <c r="BB278" s="40">
        <f t="shared" si="824"/>
        <v>0.13139008799013285</v>
      </c>
      <c r="BC278" s="40">
        <f t="shared" si="824"/>
        <v>0.16371812890922577</v>
      </c>
      <c r="BD278" s="40"/>
      <c r="BE278" s="40"/>
      <c r="BF278" s="18"/>
      <c r="BG278" s="18"/>
      <c r="BH278" s="18"/>
      <c r="BI278" s="18"/>
      <c r="BJ278" s="18"/>
      <c r="BK278" s="18"/>
    </row>
    <row r="279" spans="1:63" ht="11.25" customHeight="1">
      <c r="A279" s="2"/>
      <c r="B279" s="2"/>
      <c r="C279" s="2"/>
      <c r="D279" s="2"/>
      <c r="E279" s="2"/>
      <c r="F279" s="2"/>
      <c r="G279" s="2"/>
      <c r="H279" s="2"/>
      <c r="I279" s="2"/>
      <c r="J279" s="2"/>
      <c r="K279" s="2"/>
      <c r="L279" s="2"/>
      <c r="M279" s="2"/>
      <c r="N279" s="2"/>
      <c r="O279" s="2"/>
      <c r="P279" s="335"/>
      <c r="Q279" s="335"/>
      <c r="R279" s="335"/>
      <c r="S279" s="335"/>
      <c r="T279" s="335"/>
      <c r="U279" s="335"/>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row>
    <row r="280" spans="1:63" s="159" customFormat="1" ht="11.25" customHeight="1">
      <c r="A280" s="52"/>
      <c r="B280" s="213" t="s">
        <v>331</v>
      </c>
      <c r="C280" s="52"/>
      <c r="D280" s="34"/>
      <c r="E280" s="34"/>
      <c r="F280" s="34"/>
      <c r="G280" s="34"/>
      <c r="H280" s="192"/>
      <c r="I280" s="192"/>
      <c r="J280" s="192"/>
      <c r="K280" s="228"/>
      <c r="L280" s="134"/>
      <c r="M280" s="134"/>
      <c r="N280" s="134"/>
      <c r="O280" s="228"/>
      <c r="P280" s="134"/>
      <c r="Q280" s="134"/>
      <c r="R280" s="228"/>
      <c r="S280" s="134"/>
      <c r="T280" s="134"/>
      <c r="U280" s="134"/>
      <c r="V280" s="134"/>
      <c r="W280" s="134"/>
      <c r="X280" s="134"/>
      <c r="Y280" s="134"/>
      <c r="Z280" s="134"/>
      <c r="AA280" s="134"/>
      <c r="AB280" s="52"/>
      <c r="AC280" s="52"/>
      <c r="AD280" s="52"/>
      <c r="AE280" s="52"/>
      <c r="AF280" s="52"/>
      <c r="AG280" s="52"/>
      <c r="AH280" s="52"/>
      <c r="AI280" s="52"/>
      <c r="AJ280" s="52"/>
      <c r="AK280" s="52"/>
      <c r="AL280" s="52"/>
      <c r="AM280" s="52"/>
      <c r="AN280" s="52"/>
      <c r="AO280" s="52"/>
      <c r="AP280" s="52"/>
      <c r="AQ280" s="52"/>
      <c r="AR280" s="52"/>
      <c r="AS280" s="52"/>
      <c r="AT280" s="52"/>
      <c r="AU280" s="52"/>
      <c r="AV280" s="34"/>
      <c r="AW280" s="134"/>
      <c r="AX280" s="134"/>
      <c r="AY280" s="134"/>
      <c r="AZ280" s="134"/>
      <c r="BA280" s="134"/>
      <c r="BB280" s="134"/>
      <c r="BC280" s="134"/>
      <c r="BD280" s="134"/>
      <c r="BE280" s="134"/>
      <c r="BF280" s="52"/>
      <c r="BG280" s="52"/>
      <c r="BH280" s="52"/>
      <c r="BI280" s="52"/>
      <c r="BJ280" s="52"/>
      <c r="BK280" s="52"/>
    </row>
    <row r="281" spans="1:63" s="159" customFormat="1" ht="11.25" customHeight="1">
      <c r="A281" s="52"/>
      <c r="B281" s="30" t="s">
        <v>103</v>
      </c>
      <c r="C281" s="52"/>
      <c r="D281" s="256"/>
      <c r="E281" s="256"/>
      <c r="F281" s="256"/>
      <c r="G281" s="256"/>
      <c r="H281" s="256">
        <v>10.31</v>
      </c>
      <c r="I281" s="256">
        <v>10.38</v>
      </c>
      <c r="J281" s="256">
        <v>12.14</v>
      </c>
      <c r="K281" s="256">
        <v>12.68</v>
      </c>
      <c r="L281" s="255">
        <f t="shared" ref="L281" si="825">H283</f>
        <v>12.92</v>
      </c>
      <c r="M281" s="255">
        <f t="shared" ref="M281:V281" si="826">I283</f>
        <v>13.29</v>
      </c>
      <c r="N281" s="255">
        <f t="shared" si="826"/>
        <v>14.88</v>
      </c>
      <c r="O281" s="255">
        <f t="shared" si="826"/>
        <v>15.74</v>
      </c>
      <c r="P281" s="255">
        <f t="shared" si="826"/>
        <v>17.57</v>
      </c>
      <c r="Q281" s="255">
        <f t="shared" si="826"/>
        <v>18.16</v>
      </c>
      <c r="R281" s="255">
        <f t="shared" si="826"/>
        <v>20.23</v>
      </c>
      <c r="S281" s="255">
        <f t="shared" si="826"/>
        <v>19.93</v>
      </c>
      <c r="T281" s="255">
        <f t="shared" si="826"/>
        <v>16.72</v>
      </c>
      <c r="U281" s="255">
        <f t="shared" si="826"/>
        <v>15.68</v>
      </c>
      <c r="V281" s="255">
        <f t="shared" si="826"/>
        <v>17.28</v>
      </c>
      <c r="W281" s="255">
        <f t="shared" ref="W281" si="827">S283</f>
        <v>19.62</v>
      </c>
      <c r="X281" s="255">
        <f t="shared" ref="X281" si="828">T283</f>
        <v>18.87</v>
      </c>
      <c r="Y281" s="255">
        <f t="shared" ref="Y281" si="829">U283</f>
        <v>20.82</v>
      </c>
      <c r="Z281" s="255">
        <f t="shared" ref="Z281" si="830">V283</f>
        <v>23.5</v>
      </c>
      <c r="AA281" s="255">
        <f t="shared" ref="AA281" ca="1" si="831">W283</f>
        <v>26.57287739703014</v>
      </c>
      <c r="AB281" s="52"/>
      <c r="AC281" s="52"/>
      <c r="AD281" s="255">
        <f t="shared" ref="AD281" si="832">AC283</f>
        <v>1.5259877693784241</v>
      </c>
      <c r="AE281" s="255">
        <f t="shared" ref="AE281" si="833">AD283</f>
        <v>1.5039191616755749</v>
      </c>
      <c r="AF281" s="255">
        <f t="shared" ref="AF281" si="834">AE283</f>
        <v>2.2608130523238037</v>
      </c>
      <c r="AG281" s="255">
        <f t="shared" ref="AG281" si="835">AF283</f>
        <v>5.3154931891945285</v>
      </c>
      <c r="AH281" s="255">
        <f t="shared" ref="AH281" si="836">AG283</f>
        <v>3.7206668122993123</v>
      </c>
      <c r="AI281" s="255">
        <f t="shared" ref="AI281" si="837">AH283</f>
        <v>4.6991859137630856</v>
      </c>
      <c r="AJ281" s="255">
        <f t="shared" ref="AJ281" si="838">AI283</f>
        <v>5.9006333769521584</v>
      </c>
      <c r="AK281" s="255">
        <f t="shared" ref="AK281" si="839">AJ283</f>
        <v>7.7052162036700862</v>
      </c>
      <c r="AL281" s="255">
        <f t="shared" ref="AL281" si="840">AK283</f>
        <v>8.2952988856264174</v>
      </c>
      <c r="AM281" s="255">
        <f t="shared" ref="AM281" si="841">AL283</f>
        <v>9.7637546474862447</v>
      </c>
      <c r="AN281" s="255">
        <f t="shared" ref="AN281:AU281" si="842">AM283</f>
        <v>9.80212694883088</v>
      </c>
      <c r="AO281" s="255">
        <f t="shared" si="842"/>
        <v>10.560968434826933</v>
      </c>
      <c r="AP281" s="255">
        <f t="shared" si="842"/>
        <v>8.9496749568671508</v>
      </c>
      <c r="AQ281" s="255">
        <f t="shared" si="842"/>
        <v>13.301433498333317</v>
      </c>
      <c r="AR281" s="255">
        <f t="shared" si="842"/>
        <v>14.517039670229975</v>
      </c>
      <c r="AS281" s="255">
        <f t="shared" si="842"/>
        <v>17.132772265427889</v>
      </c>
      <c r="AT281" s="255">
        <f t="shared" si="842"/>
        <v>20.099602488264424</v>
      </c>
      <c r="AU281" s="255">
        <f t="shared" si="842"/>
        <v>25.150585804894185</v>
      </c>
      <c r="AV281" s="255">
        <f>AU283</f>
        <v>26.535299844606719</v>
      </c>
      <c r="AW281" s="256">
        <v>29.43</v>
      </c>
      <c r="AX281" s="255">
        <f>AW283</f>
        <v>32.11</v>
      </c>
      <c r="AY281" s="255">
        <f t="shared" ref="AY281:BE281" si="843">AX283</f>
        <v>34.200000000000003</v>
      </c>
      <c r="AZ281" s="255">
        <f t="shared" si="843"/>
        <v>34.630000000000003</v>
      </c>
      <c r="BA281" s="255">
        <f t="shared" si="843"/>
        <v>45.51</v>
      </c>
      <c r="BB281" s="255">
        <f t="shared" si="843"/>
        <v>56.82</v>
      </c>
      <c r="BC281" s="255">
        <f t="shared" si="843"/>
        <v>75.88</v>
      </c>
      <c r="BD281" s="255">
        <f t="shared" si="843"/>
        <v>69.3</v>
      </c>
      <c r="BE281" s="255">
        <f t="shared" ca="1" si="843"/>
        <v>89.762877397030138</v>
      </c>
      <c r="BF281" s="52"/>
      <c r="BG281" s="52"/>
      <c r="BH281" s="52"/>
      <c r="BI281" s="52"/>
      <c r="BJ281" s="52"/>
      <c r="BK281" s="52"/>
    </row>
    <row r="282" spans="1:63" s="159" customFormat="1" ht="13.5" customHeight="1">
      <c r="A282" s="52"/>
      <c r="B282" s="30" t="s">
        <v>325</v>
      </c>
      <c r="C282" s="52"/>
      <c r="D282"/>
      <c r="E282"/>
      <c r="F282"/>
      <c r="G282"/>
      <c r="H282" s="290">
        <f t="shared" ref="H282" si="844">H283-H281</f>
        <v>2.6099999999999994</v>
      </c>
      <c r="I282" s="290">
        <f t="shared" ref="I282:T282" si="845">I283-I281</f>
        <v>2.9099999999999984</v>
      </c>
      <c r="J282" s="290">
        <f t="shared" si="845"/>
        <v>2.74</v>
      </c>
      <c r="K282" s="290">
        <f t="shared" si="845"/>
        <v>3.0600000000000005</v>
      </c>
      <c r="L282" s="290">
        <f t="shared" si="845"/>
        <v>4.6500000000000004</v>
      </c>
      <c r="M282" s="290">
        <f t="shared" si="845"/>
        <v>4.870000000000001</v>
      </c>
      <c r="N282" s="290">
        <f t="shared" si="845"/>
        <v>5.35</v>
      </c>
      <c r="O282" s="290">
        <f t="shared" si="845"/>
        <v>4.1899999999999995</v>
      </c>
      <c r="P282" s="290">
        <f t="shared" si="845"/>
        <v>-0.85000000000000142</v>
      </c>
      <c r="Q282" s="290">
        <f t="shared" si="845"/>
        <v>-2.4800000000000004</v>
      </c>
      <c r="R282" s="290">
        <f t="shared" si="845"/>
        <v>-2.9499999999999993</v>
      </c>
      <c r="S282" s="290">
        <f t="shared" si="845"/>
        <v>-0.30999999999999872</v>
      </c>
      <c r="T282" s="290">
        <f t="shared" si="845"/>
        <v>2.1500000000000021</v>
      </c>
      <c r="U282" s="290">
        <f>U283-U281</f>
        <v>5.1400000000000006</v>
      </c>
      <c r="V282" s="290">
        <f>V283-V281</f>
        <v>6.2199999999999989</v>
      </c>
      <c r="W282" s="290">
        <f t="shared" ref="W282" ca="1" si="846">W283-W281</f>
        <v>6.9528773970301394</v>
      </c>
      <c r="X282" s="290">
        <f t="shared" ref="X282:AA282" si="847">X283-X281</f>
        <v>5.6321796266805535</v>
      </c>
      <c r="Y282" s="290">
        <f t="shared" si="847"/>
        <v>3.9315454138976484</v>
      </c>
      <c r="Z282" s="290">
        <f t="shared" si="847"/>
        <v>4.4187333476250288</v>
      </c>
      <c r="AA282" s="290">
        <f t="shared" ca="1" si="847"/>
        <v>5.0742168915690513</v>
      </c>
      <c r="AB282" s="52"/>
      <c r="AC282" s="52"/>
      <c r="AD282" s="290">
        <f t="shared" ref="AD282:AM282" si="848">AD283-AD281</f>
        <v>-2.206860770284913E-2</v>
      </c>
      <c r="AE282" s="290">
        <f t="shared" si="848"/>
        <v>0.75689389064822876</v>
      </c>
      <c r="AF282" s="290">
        <f t="shared" si="848"/>
        <v>3.0546801368707248</v>
      </c>
      <c r="AG282" s="290">
        <f t="shared" si="848"/>
        <v>-1.5948263768952162</v>
      </c>
      <c r="AH282" s="290">
        <f t="shared" si="848"/>
        <v>0.9785191014637733</v>
      </c>
      <c r="AI282" s="290">
        <f t="shared" si="848"/>
        <v>1.2014474631890728</v>
      </c>
      <c r="AJ282" s="290">
        <f t="shared" si="848"/>
        <v>1.8045828267179278</v>
      </c>
      <c r="AK282" s="290">
        <f t="shared" si="848"/>
        <v>0.59008268195633118</v>
      </c>
      <c r="AL282" s="290">
        <f t="shared" si="848"/>
        <v>1.4684557618598273</v>
      </c>
      <c r="AM282" s="290">
        <f t="shared" si="848"/>
        <v>3.8372301344635318E-2</v>
      </c>
      <c r="AN282" s="290">
        <f t="shared" ref="AN282" si="849">AN283-AN281</f>
        <v>0.75884148599605261</v>
      </c>
      <c r="AO282" s="290">
        <f t="shared" ref="AO282:AV282" si="850">AO283-AO281</f>
        <v>-1.6112934779597818</v>
      </c>
      <c r="AP282" s="290">
        <f t="shared" si="850"/>
        <v>4.3517585414661664</v>
      </c>
      <c r="AQ282" s="290">
        <f t="shared" si="850"/>
        <v>1.215606171896658</v>
      </c>
      <c r="AR282" s="290">
        <f t="shared" si="850"/>
        <v>2.6157325951979136</v>
      </c>
      <c r="AS282" s="290">
        <f t="shared" si="850"/>
        <v>2.9668302228365349</v>
      </c>
      <c r="AT282" s="290">
        <f t="shared" si="850"/>
        <v>5.0509833166297611</v>
      </c>
      <c r="AU282" s="290">
        <f t="shared" si="850"/>
        <v>1.3847140397125344</v>
      </c>
      <c r="AV282" s="290">
        <f t="shared" si="850"/>
        <v>2.8389726646460858</v>
      </c>
      <c r="AW282" s="290">
        <f t="shared" ref="AW282:BC282" si="851">AW283-AW281</f>
        <v>2.6799999999999997</v>
      </c>
      <c r="AX282" s="290">
        <f t="shared" si="851"/>
        <v>2.0900000000000034</v>
      </c>
      <c r="AY282" s="290">
        <f t="shared" si="851"/>
        <v>0.42999999999999972</v>
      </c>
      <c r="AZ282" s="290">
        <f t="shared" si="851"/>
        <v>10.879999999999995</v>
      </c>
      <c r="BA282" s="290">
        <f t="shared" si="851"/>
        <v>11.310000000000002</v>
      </c>
      <c r="BB282" s="290">
        <f t="shared" si="851"/>
        <v>19.059999999999995</v>
      </c>
      <c r="BC282" s="290">
        <f t="shared" si="851"/>
        <v>-6.5799999999999983</v>
      </c>
      <c r="BD282" s="290">
        <f ca="1">SUM(T282:W282)</f>
        <v>20.462877397030141</v>
      </c>
      <c r="BE282" s="290">
        <f ca="1">SUM(X282:AA282)</f>
        <v>19.056675279772282</v>
      </c>
      <c r="BF282" s="52"/>
      <c r="BG282" s="84"/>
      <c r="BH282" s="84">
        <f>ROUND(BA282-SUM(H282:K282),1)</f>
        <v>0</v>
      </c>
      <c r="BI282" s="84">
        <f>ROUND(BB282-SUM(L282:O282),1)</f>
        <v>0</v>
      </c>
      <c r="BJ282" s="84">
        <f>ROUND(BC282-SUM(P282:S282),1)</f>
        <v>0</v>
      </c>
      <c r="BK282" s="84">
        <f ca="1">ROUND(BD282-SUM(T282:W282),1)</f>
        <v>0</v>
      </c>
    </row>
    <row r="283" spans="1:63" s="159" customFormat="1" ht="11.25" customHeight="1">
      <c r="A283" s="52"/>
      <c r="B283" s="31" t="s">
        <v>104</v>
      </c>
      <c r="C283" s="52"/>
      <c r="D283" s="256"/>
      <c r="E283" s="256"/>
      <c r="F283" s="256"/>
      <c r="G283" s="255">
        <f>G289/G294</f>
        <v>0</v>
      </c>
      <c r="H283" s="256">
        <v>12.92</v>
      </c>
      <c r="I283" s="256">
        <v>13.29</v>
      </c>
      <c r="J283" s="256">
        <v>14.88</v>
      </c>
      <c r="K283" s="256">
        <v>15.74</v>
      </c>
      <c r="L283" s="256">
        <v>17.57</v>
      </c>
      <c r="M283" s="256">
        <v>18.16</v>
      </c>
      <c r="N283" s="256">
        <v>20.23</v>
      </c>
      <c r="O283" s="256">
        <v>19.93</v>
      </c>
      <c r="P283" s="256">
        <v>16.72</v>
      </c>
      <c r="Q283" s="256">
        <v>15.68</v>
      </c>
      <c r="R283" s="256">
        <v>17.28</v>
      </c>
      <c r="S283" s="256">
        <v>19.62</v>
      </c>
      <c r="T283" s="256">
        <v>18.87</v>
      </c>
      <c r="U283" s="256">
        <v>20.82</v>
      </c>
      <c r="V283" s="256">
        <v>23.5</v>
      </c>
      <c r="W283" s="255">
        <f ca="1">W289/W294</f>
        <v>26.57287739703014</v>
      </c>
      <c r="X283" s="255">
        <f t="shared" ref="X283:AA283" si="852">X289/X294</f>
        <v>24.502179626680554</v>
      </c>
      <c r="Y283" s="255">
        <f t="shared" si="852"/>
        <v>24.751545413897649</v>
      </c>
      <c r="Z283" s="255">
        <f t="shared" si="852"/>
        <v>27.918733347625029</v>
      </c>
      <c r="AA283" s="255">
        <f t="shared" ca="1" si="852"/>
        <v>31.647094288599192</v>
      </c>
      <c r="AB283" s="52"/>
      <c r="AC283" s="255">
        <f t="shared" ref="AC283:AM283" si="853">AC289/AC294</f>
        <v>1.5259877693784241</v>
      </c>
      <c r="AD283" s="255">
        <f t="shared" si="853"/>
        <v>1.5039191616755749</v>
      </c>
      <c r="AE283" s="255">
        <f t="shared" si="853"/>
        <v>2.2608130523238037</v>
      </c>
      <c r="AF283" s="255">
        <f t="shared" si="853"/>
        <v>5.3154931891945285</v>
      </c>
      <c r="AG283" s="255">
        <f t="shared" si="853"/>
        <v>3.7206668122993123</v>
      </c>
      <c r="AH283" s="255">
        <f t="shared" si="853"/>
        <v>4.6991859137630856</v>
      </c>
      <c r="AI283" s="255">
        <f t="shared" si="853"/>
        <v>5.9006333769521584</v>
      </c>
      <c r="AJ283" s="255">
        <f t="shared" si="853"/>
        <v>7.7052162036700862</v>
      </c>
      <c r="AK283" s="255">
        <f t="shared" si="853"/>
        <v>8.2952988856264174</v>
      </c>
      <c r="AL283" s="255">
        <f t="shared" si="853"/>
        <v>9.7637546474862447</v>
      </c>
      <c r="AM283" s="255">
        <f t="shared" si="853"/>
        <v>9.80212694883088</v>
      </c>
      <c r="AN283" s="255">
        <f t="shared" ref="AN283:AV283" si="854">AN289/AN294</f>
        <v>10.560968434826933</v>
      </c>
      <c r="AO283" s="255">
        <f t="shared" si="854"/>
        <v>8.9496749568671508</v>
      </c>
      <c r="AP283" s="255">
        <f t="shared" si="854"/>
        <v>13.301433498333317</v>
      </c>
      <c r="AQ283" s="255">
        <f t="shared" si="854"/>
        <v>14.517039670229975</v>
      </c>
      <c r="AR283" s="255">
        <f t="shared" si="854"/>
        <v>17.132772265427889</v>
      </c>
      <c r="AS283" s="255">
        <f t="shared" si="854"/>
        <v>20.099602488264424</v>
      </c>
      <c r="AT283" s="255">
        <f t="shared" si="854"/>
        <v>25.150585804894185</v>
      </c>
      <c r="AU283" s="255">
        <f t="shared" si="854"/>
        <v>26.535299844606719</v>
      </c>
      <c r="AV283" s="255">
        <f t="shared" si="854"/>
        <v>29.374272509252805</v>
      </c>
      <c r="AW283" s="256">
        <v>32.11</v>
      </c>
      <c r="AX283" s="256">
        <v>34.200000000000003</v>
      </c>
      <c r="AY283" s="256">
        <v>34.630000000000003</v>
      </c>
      <c r="AZ283" s="256">
        <v>45.51</v>
      </c>
      <c r="BA283" s="256">
        <v>56.82</v>
      </c>
      <c r="BB283" s="256">
        <v>75.88</v>
      </c>
      <c r="BC283" s="256">
        <v>69.3</v>
      </c>
      <c r="BD283" s="255">
        <f ca="1">BD281+BD282</f>
        <v>89.762877397030138</v>
      </c>
      <c r="BE283" s="255">
        <f ca="1">BE281+BE282</f>
        <v>108.81955267680242</v>
      </c>
      <c r="BF283" s="52"/>
      <c r="BG283" s="374"/>
      <c r="BH283" s="52"/>
      <c r="BI283" s="52"/>
      <c r="BJ283" s="52"/>
      <c r="BK283" s="52"/>
    </row>
    <row r="284" spans="1:63" s="159" customFormat="1" ht="11.25" customHeight="1">
      <c r="A284" s="52"/>
      <c r="B284" s="36" t="s">
        <v>249</v>
      </c>
      <c r="C284" s="52"/>
      <c r="D284" s="134"/>
      <c r="E284" s="134"/>
      <c r="F284" s="134"/>
      <c r="G284" s="134"/>
      <c r="H284" s="134">
        <f t="shared" ref="H284:T284" si="855">H282/H281</f>
        <v>0.2531522793404461</v>
      </c>
      <c r="I284" s="134">
        <f t="shared" si="855"/>
        <v>0.28034682080924839</v>
      </c>
      <c r="J284" s="134">
        <f t="shared" si="855"/>
        <v>0.2257001647446458</v>
      </c>
      <c r="K284" s="134">
        <f t="shared" si="855"/>
        <v>0.24132492113564674</v>
      </c>
      <c r="L284" s="134">
        <f t="shared" si="855"/>
        <v>0.3599071207430341</v>
      </c>
      <c r="M284" s="134">
        <f t="shared" si="855"/>
        <v>0.36644093303235525</v>
      </c>
      <c r="N284" s="134">
        <f t="shared" si="855"/>
        <v>0.35954301075268813</v>
      </c>
      <c r="O284" s="134">
        <f t="shared" si="855"/>
        <v>0.26620076238881824</v>
      </c>
      <c r="P284" s="134">
        <f t="shared" si="855"/>
        <v>-4.8377916903813399E-2</v>
      </c>
      <c r="Q284" s="134">
        <f t="shared" si="855"/>
        <v>-0.13656387665198241</v>
      </c>
      <c r="R284" s="134">
        <f t="shared" si="855"/>
        <v>-0.14582303509639147</v>
      </c>
      <c r="S284" s="134">
        <f t="shared" si="855"/>
        <v>-1.5554440541896574E-2</v>
      </c>
      <c r="T284" s="134">
        <f t="shared" si="855"/>
        <v>0.12858851674641161</v>
      </c>
      <c r="U284" s="134">
        <f>U282/U281</f>
        <v>0.32780612244897961</v>
      </c>
      <c r="V284" s="134">
        <f>V282/V281</f>
        <v>0.35995370370370361</v>
      </c>
      <c r="W284" s="134">
        <f t="shared" ref="W284" ca="1" si="856">W282/W281</f>
        <v>0.35437703348777466</v>
      </c>
      <c r="X284" s="134">
        <f t="shared" ref="X284:AA284" si="857">X282/X281</f>
        <v>0.29847268821836531</v>
      </c>
      <c r="Y284" s="134">
        <f t="shared" si="857"/>
        <v>0.18883503428903212</v>
      </c>
      <c r="Z284" s="134">
        <f t="shared" si="857"/>
        <v>0.18803120628191611</v>
      </c>
      <c r="AA284" s="134">
        <f t="shared" ca="1" si="857"/>
        <v>0.19095473989339823</v>
      </c>
      <c r="AB284" s="52"/>
      <c r="AC284" s="52"/>
      <c r="AD284" s="134">
        <f t="shared" ref="AD284:AN284" si="858">AD282/AD281</f>
        <v>-1.4461850970036456E-2</v>
      </c>
      <c r="AE284" s="134">
        <f t="shared" si="858"/>
        <v>0.50328096744571282</v>
      </c>
      <c r="AF284" s="134">
        <f t="shared" si="858"/>
        <v>1.3511422953485408</v>
      </c>
      <c r="AG284" s="134">
        <f t="shared" si="858"/>
        <v>-0.30003356605502202</v>
      </c>
      <c r="AH284" s="134">
        <f t="shared" si="858"/>
        <v>0.2629956270819811</v>
      </c>
      <c r="AI284" s="134">
        <f t="shared" si="858"/>
        <v>0.25567140462994781</v>
      </c>
      <c r="AJ284" s="134">
        <f t="shared" si="858"/>
        <v>0.30582866472718306</v>
      </c>
      <c r="AK284" s="134">
        <f t="shared" si="858"/>
        <v>7.6582235508883933E-2</v>
      </c>
      <c r="AL284" s="134">
        <f t="shared" si="858"/>
        <v>0.17702264645391824</v>
      </c>
      <c r="AM284" s="134">
        <f t="shared" si="858"/>
        <v>3.9300763620186393E-3</v>
      </c>
      <c r="AN284" s="134">
        <f t="shared" si="858"/>
        <v>7.7416002665274722E-2</v>
      </c>
      <c r="AO284" s="134">
        <f t="shared" ref="AO284:AV284" si="859">AO282/AO281</f>
        <v>-0.1525706177329548</v>
      </c>
      <c r="AP284" s="134">
        <f t="shared" si="859"/>
        <v>0.48624766401454955</v>
      </c>
      <c r="AQ284" s="134">
        <f t="shared" si="859"/>
        <v>9.1389110207480612E-2</v>
      </c>
      <c r="AR284" s="134">
        <f t="shared" si="859"/>
        <v>0.18018360868448849</v>
      </c>
      <c r="AS284" s="134">
        <f t="shared" si="859"/>
        <v>0.17316696777808005</v>
      </c>
      <c r="AT284" s="134">
        <f t="shared" si="859"/>
        <v>0.25129767215938148</v>
      </c>
      <c r="AU284" s="134">
        <f t="shared" si="859"/>
        <v>5.5056929904315613E-2</v>
      </c>
      <c r="AV284" s="134">
        <f t="shared" si="859"/>
        <v>0.10698852778266627</v>
      </c>
      <c r="AW284" s="134">
        <f t="shared" ref="AW284:BD284" si="860">AW282/AW281</f>
        <v>9.1063540604824994E-2</v>
      </c>
      <c r="AX284" s="134">
        <f t="shared" si="860"/>
        <v>6.5088757396449815E-2</v>
      </c>
      <c r="AY284" s="134">
        <f t="shared" si="860"/>
        <v>1.2573099415204668E-2</v>
      </c>
      <c r="AZ284" s="134">
        <f t="shared" si="860"/>
        <v>0.31417845798440641</v>
      </c>
      <c r="BA284" s="134">
        <f t="shared" si="860"/>
        <v>0.2485168094924193</v>
      </c>
      <c r="BB284" s="134">
        <f t="shared" si="860"/>
        <v>0.33544526575149586</v>
      </c>
      <c r="BC284" s="134">
        <f t="shared" si="860"/>
        <v>-8.6715867158671564E-2</v>
      </c>
      <c r="BD284" s="134">
        <f t="shared" ca="1" si="860"/>
        <v>0.29527961611876108</v>
      </c>
      <c r="BE284" s="134">
        <f t="shared" ref="BE284" ca="1" si="861">BE282/BE281</f>
        <v>0.21230018279697865</v>
      </c>
      <c r="BF284" s="52"/>
      <c r="BG284" s="52"/>
      <c r="BH284" s="52"/>
      <c r="BI284" s="52"/>
      <c r="BJ284" s="52"/>
      <c r="BK284" s="52"/>
    </row>
    <row r="285" spans="1:63" s="159" customFormat="1" ht="11.25" customHeight="1">
      <c r="A285" s="52"/>
      <c r="B285" s="36"/>
      <c r="C285" s="52"/>
      <c r="D285" s="134"/>
      <c r="E285" s="134"/>
      <c r="F285" s="134"/>
      <c r="G285" s="134"/>
      <c r="H285" s="134"/>
      <c r="I285" s="134"/>
      <c r="J285" s="134"/>
      <c r="K285" s="134"/>
      <c r="L285" s="134"/>
      <c r="M285" s="134"/>
      <c r="N285" s="134"/>
      <c r="O285" s="134"/>
      <c r="P285" s="134"/>
      <c r="Q285" s="134"/>
      <c r="R285" s="134"/>
      <c r="S285" s="134"/>
      <c r="T285" s="134"/>
      <c r="U285" s="134"/>
      <c r="V285" s="134"/>
      <c r="W285" s="134"/>
      <c r="X285" s="134"/>
      <c r="Y285" s="134"/>
      <c r="Z285" s="134"/>
      <c r="AA285" s="134"/>
      <c r="AB285" s="52"/>
      <c r="AC285" s="52"/>
      <c r="AD285" s="52"/>
      <c r="AE285" s="52"/>
      <c r="AF285" s="52"/>
      <c r="AG285" s="52"/>
      <c r="AH285" s="52"/>
      <c r="AI285" s="52"/>
      <c r="AJ285" s="52"/>
      <c r="AK285" s="52"/>
      <c r="AL285" s="52"/>
      <c r="AM285" s="52"/>
      <c r="AN285" s="52"/>
      <c r="AO285" s="52"/>
      <c r="AP285" s="52"/>
      <c r="AQ285" s="52"/>
      <c r="AR285" s="52"/>
      <c r="AS285" s="52"/>
      <c r="AT285" s="52"/>
      <c r="AU285" s="52"/>
      <c r="AV285" s="34"/>
      <c r="AW285" s="134"/>
      <c r="AX285" s="134"/>
      <c r="AY285" s="134"/>
      <c r="AZ285" s="134"/>
      <c r="BA285" s="134"/>
      <c r="BB285" s="134"/>
      <c r="BC285" s="134"/>
      <c r="BD285" s="134"/>
      <c r="BE285" s="134"/>
      <c r="BF285" s="52"/>
      <c r="BG285" s="52"/>
      <c r="BH285" s="52"/>
      <c r="BI285" s="52"/>
      <c r="BJ285" s="52"/>
      <c r="BK285" s="52"/>
    </row>
    <row r="286" spans="1:63" ht="11.25" customHeight="1">
      <c r="A286" s="18"/>
      <c r="B286" s="213" t="s">
        <v>327</v>
      </c>
      <c r="C286" s="18"/>
      <c r="D286" s="52"/>
      <c r="E286" s="52"/>
      <c r="F286" s="52"/>
      <c r="G286" s="52"/>
      <c r="H286" s="52"/>
      <c r="I286" s="52"/>
      <c r="J286" s="52"/>
      <c r="K286" s="52"/>
      <c r="L286" s="52"/>
      <c r="M286" s="52"/>
      <c r="N286" s="52"/>
      <c r="O286" s="52"/>
      <c r="P286" s="52"/>
      <c r="Q286" s="52"/>
      <c r="R286" s="52"/>
      <c r="S286" s="52"/>
      <c r="T286" s="52"/>
      <c r="U286" s="52"/>
      <c r="V286" s="171"/>
      <c r="W286" s="171"/>
      <c r="X286" s="171"/>
      <c r="Y286" s="171"/>
      <c r="Z286" s="171"/>
      <c r="AA286" s="171"/>
      <c r="AB286" s="18"/>
      <c r="AC286" s="18"/>
      <c r="AD286" s="18"/>
      <c r="AE286" s="18"/>
      <c r="AF286" s="18"/>
      <c r="AG286" s="18"/>
      <c r="AH286" s="18"/>
      <c r="AI286" s="18"/>
      <c r="AJ286" s="18"/>
      <c r="AK286" s="18"/>
      <c r="AL286" s="18"/>
      <c r="AM286" s="18"/>
      <c r="AN286" s="18"/>
      <c r="AO286" s="18"/>
      <c r="AP286" s="18"/>
      <c r="AQ286" s="18"/>
      <c r="AR286" s="18"/>
      <c r="AS286" s="18"/>
      <c r="AT286" s="18"/>
      <c r="AU286" s="18"/>
      <c r="AV286" s="137"/>
      <c r="AW286" s="139"/>
      <c r="AX286" s="171"/>
      <c r="AY286" s="171"/>
      <c r="AZ286" s="171"/>
      <c r="BA286" s="171"/>
      <c r="BB286" s="171"/>
      <c r="BC286" s="52"/>
      <c r="BD286" s="171"/>
      <c r="BE286" s="171"/>
      <c r="BF286" s="18"/>
      <c r="BG286" s="18"/>
      <c r="BH286" s="18"/>
      <c r="BI286" s="18"/>
      <c r="BJ286" s="18"/>
      <c r="BK286" s="18"/>
    </row>
    <row r="287" spans="1:63" s="159" customFormat="1" ht="11.25" customHeight="1">
      <c r="A287" s="52"/>
      <c r="B287" s="30" t="s">
        <v>103</v>
      </c>
      <c r="C287" s="52"/>
      <c r="D287" s="20"/>
      <c r="E287" s="20"/>
      <c r="F287" s="20"/>
      <c r="G287" s="20"/>
      <c r="H287" s="20">
        <f t="shared" ref="H287:AA287" si="862">D16</f>
        <v>310.59718300000003</v>
      </c>
      <c r="I287" s="20">
        <f t="shared" si="862"/>
        <v>310.79836699999998</v>
      </c>
      <c r="J287" s="20">
        <f t="shared" si="862"/>
        <v>356.42620400000004</v>
      </c>
      <c r="K287" s="20">
        <f t="shared" si="862"/>
        <v>361.43305700000008</v>
      </c>
      <c r="L287" s="20">
        <f t="shared" si="862"/>
        <v>362.41023000000007</v>
      </c>
      <c r="M287" s="20">
        <f t="shared" si="862"/>
        <v>372.14512200000001</v>
      </c>
      <c r="N287" s="20">
        <f t="shared" si="862"/>
        <v>414.67037899999997</v>
      </c>
      <c r="O287" s="20">
        <f t="shared" si="862"/>
        <v>438.18930599999999</v>
      </c>
      <c r="P287" s="20">
        <f t="shared" si="862"/>
        <v>491.07587300000006</v>
      </c>
      <c r="Q287" s="20">
        <f t="shared" si="862"/>
        <v>534.14080800000011</v>
      </c>
      <c r="R287" s="20">
        <f t="shared" si="862"/>
        <v>613.14274299999988</v>
      </c>
      <c r="S287" s="20">
        <f t="shared" si="862"/>
        <v>625.53186800000003</v>
      </c>
      <c r="T287" s="20">
        <f t="shared" si="862"/>
        <v>508.63297299999999</v>
      </c>
      <c r="U287" s="20">
        <f t="shared" si="862"/>
        <v>480.84125399999999</v>
      </c>
      <c r="V287" s="20">
        <f t="shared" si="862"/>
        <v>546.73275799999999</v>
      </c>
      <c r="W287" s="20">
        <f t="shared" si="862"/>
        <v>625.52901499999996</v>
      </c>
      <c r="X287" s="20">
        <f t="shared" si="862"/>
        <v>592.64420100000007</v>
      </c>
      <c r="Y287" s="20">
        <f t="shared" si="862"/>
        <v>673.51017699999989</v>
      </c>
      <c r="Z287" s="20">
        <f t="shared" si="862"/>
        <v>759.69200000000001</v>
      </c>
      <c r="AA287" s="20">
        <f t="shared" ca="1" si="862"/>
        <v>861.14380817135782</v>
      </c>
      <c r="AB287" s="52"/>
      <c r="AC287" s="52"/>
      <c r="AD287" s="20">
        <f t="shared" ref="AD287" si="863">AC16</f>
        <v>43.927</v>
      </c>
      <c r="AE287" s="20">
        <f t="shared" ref="AE287" si="864">AD16</f>
        <v>50.421999999999997</v>
      </c>
      <c r="AF287" s="20">
        <f t="shared" ref="AF287" si="865">AE16</f>
        <v>73.066999999999993</v>
      </c>
      <c r="AG287" s="20">
        <f t="shared" ref="AG287" si="866">AF16</f>
        <v>166.19800000000001</v>
      </c>
      <c r="AH287" s="20">
        <f t="shared" ref="AH287" si="867">AG16</f>
        <v>125.88500000000001</v>
      </c>
      <c r="AI287" s="20">
        <f t="shared" ref="AI287" si="868">AH16</f>
        <v>162.30099999999999</v>
      </c>
      <c r="AJ287" s="20">
        <f t="shared" ref="AJ287" si="869">AI16</f>
        <v>202.99700000000001</v>
      </c>
      <c r="AK287" s="20">
        <f t="shared" ref="AK287" si="870">AJ16</f>
        <v>257.21300000000002</v>
      </c>
      <c r="AL287" s="20">
        <f t="shared" ref="AL287" si="871">AK16</f>
        <v>266.565</v>
      </c>
      <c r="AM287" s="20">
        <f t="shared" ref="AM287" si="872">AL16</f>
        <v>317.40699999999998</v>
      </c>
      <c r="AN287" s="20">
        <f t="shared" ref="AN287:AO287" si="873">AM16</f>
        <v>322.63</v>
      </c>
      <c r="AO287" s="20">
        <f t="shared" si="873"/>
        <v>333.15800000000002</v>
      </c>
      <c r="AP287" s="20">
        <f t="shared" ref="AP287" si="874">AO16</f>
        <v>295.74200000000002</v>
      </c>
      <c r="AQ287" s="20">
        <f t="shared" ref="AQ287" si="875">AP16</f>
        <v>419.53800000000001</v>
      </c>
      <c r="AR287" s="20">
        <f t="shared" ref="AR287" si="876">AQ16</f>
        <v>427.08100000000002</v>
      </c>
      <c r="AS287" s="20">
        <f t="shared" ref="AS287" si="877">AR16</f>
        <v>506.745</v>
      </c>
      <c r="AT287" s="20">
        <f t="shared" ref="AT287" si="878">AS16</f>
        <v>597.024</v>
      </c>
      <c r="AU287" s="20">
        <f t="shared" ref="AU287" si="879">AT16</f>
        <v>762.80600000000004</v>
      </c>
      <c r="AV287" s="20">
        <f t="shared" ref="AV287" si="880">AU16</f>
        <v>843.49699999999996</v>
      </c>
      <c r="AW287" s="20">
        <f t="shared" ref="AW287:BE287" si="881">AV16</f>
        <v>947.93799999999999</v>
      </c>
      <c r="AX287" s="20">
        <f t="shared" si="881"/>
        <v>977.44699999999989</v>
      </c>
      <c r="AY287" s="20">
        <f t="shared" si="881"/>
        <v>1031.473557</v>
      </c>
      <c r="AZ287" s="20">
        <f t="shared" si="881"/>
        <v>1069.9854480000001</v>
      </c>
      <c r="BA287" s="20">
        <f t="shared" si="881"/>
        <v>1339.254811</v>
      </c>
      <c r="BB287" s="20">
        <f t="shared" si="881"/>
        <v>1587.4150369999998</v>
      </c>
      <c r="BC287" s="20">
        <f t="shared" si="881"/>
        <v>2263.8912920000002</v>
      </c>
      <c r="BD287" s="20">
        <f t="shared" si="881"/>
        <v>2161.7359999999999</v>
      </c>
      <c r="BE287" s="20">
        <f t="shared" ca="1" si="881"/>
        <v>2886.9901861713583</v>
      </c>
      <c r="BF287" s="52"/>
      <c r="BG287" s="52"/>
      <c r="BH287" s="52"/>
      <c r="BI287" s="52"/>
      <c r="BJ287" s="52"/>
      <c r="BK287" s="52"/>
    </row>
    <row r="288" spans="1:63" s="159" customFormat="1" ht="13.5" customHeight="1">
      <c r="A288" s="52"/>
      <c r="B288" s="30" t="s">
        <v>325</v>
      </c>
      <c r="C288" s="52"/>
      <c r="D288" s="21"/>
      <c r="E288" s="21"/>
      <c r="F288" s="21"/>
      <c r="G288" s="21"/>
      <c r="H288" s="21">
        <f t="shared" ref="H288" si="882">H289-H287</f>
        <v>51.81304700000004</v>
      </c>
      <c r="I288" s="21">
        <f t="shared" ref="I288" si="883">I289-I287</f>
        <v>61.34675500000003</v>
      </c>
      <c r="J288" s="21">
        <f t="shared" ref="J288" si="884">J289-J287</f>
        <v>58.244174999999927</v>
      </c>
      <c r="K288" s="21">
        <f t="shared" ref="K288" si="885">K289-K287</f>
        <v>76.756248999999912</v>
      </c>
      <c r="L288" s="21">
        <f t="shared" ref="L288" si="886">L289-L287</f>
        <v>128.66564299999999</v>
      </c>
      <c r="M288" s="21">
        <f t="shared" ref="M288" si="887">M289-M287</f>
        <v>161.99568600000009</v>
      </c>
      <c r="N288" s="21">
        <f t="shared" ref="N288" si="888">N289-N287</f>
        <v>198.47236399999991</v>
      </c>
      <c r="O288" s="21">
        <f t="shared" ref="O288" si="889">O289-O287</f>
        <v>187.34256200000004</v>
      </c>
      <c r="P288" s="21">
        <f t="shared" ref="P288" si="890">P289-P287</f>
        <v>17.557099999999934</v>
      </c>
      <c r="Q288" s="21">
        <f t="shared" ref="Q288" si="891">Q289-Q287</f>
        <v>-53.299554000000114</v>
      </c>
      <c r="R288" s="21">
        <f t="shared" ref="R288" si="892">R289-R287</f>
        <v>-66.409984999999892</v>
      </c>
      <c r="S288" s="21">
        <f t="shared" ref="S288" si="893">S289-S287</f>
        <v>-2.8530000000728251E-3</v>
      </c>
      <c r="T288" s="21">
        <f t="shared" ref="T288" si="894">T289-T287</f>
        <v>84.011228000000074</v>
      </c>
      <c r="U288" s="21">
        <f t="shared" ref="U288:V288" si="895">U289-U287</f>
        <v>192.66892299999989</v>
      </c>
      <c r="V288" s="21">
        <f t="shared" si="895"/>
        <v>212.95924200000002</v>
      </c>
      <c r="W288" s="21">
        <f t="shared" ref="W288:AA288" ca="1" si="896">W289-W287</f>
        <v>235.61479317135786</v>
      </c>
      <c r="X288" s="21">
        <f t="shared" si="896"/>
        <v>207.42547035000007</v>
      </c>
      <c r="Y288" s="21">
        <f t="shared" si="896"/>
        <v>134.7020354</v>
      </c>
      <c r="Z288" s="21">
        <f t="shared" si="896"/>
        <v>151.9384</v>
      </c>
      <c r="AA288" s="21">
        <f t="shared" ca="1" si="896"/>
        <v>172.22876163427156</v>
      </c>
      <c r="AB288" s="52"/>
      <c r="AC288" s="52"/>
      <c r="AD288" s="21">
        <f>AD289-AD287</f>
        <v>6.4949999999999974</v>
      </c>
      <c r="AE288" s="21">
        <f t="shared" ref="AE288:AM288" si="897">AE289-AE287</f>
        <v>22.644999999999996</v>
      </c>
      <c r="AF288" s="21">
        <f t="shared" si="897"/>
        <v>93.131000000000014</v>
      </c>
      <c r="AG288" s="21">
        <f t="shared" si="897"/>
        <v>-40.313000000000002</v>
      </c>
      <c r="AH288" s="21">
        <f t="shared" si="897"/>
        <v>36.415999999999983</v>
      </c>
      <c r="AI288" s="21">
        <f t="shared" si="897"/>
        <v>40.696000000000026</v>
      </c>
      <c r="AJ288" s="21">
        <f t="shared" si="897"/>
        <v>54.216000000000008</v>
      </c>
      <c r="AK288" s="21">
        <f t="shared" si="897"/>
        <v>9.3519999999999754</v>
      </c>
      <c r="AL288" s="21">
        <f t="shared" si="897"/>
        <v>50.841999999999985</v>
      </c>
      <c r="AM288" s="21">
        <f t="shared" si="897"/>
        <v>5.2230000000000132</v>
      </c>
      <c r="AN288" s="21">
        <f>AN289-AN287</f>
        <v>10.52800000000002</v>
      </c>
      <c r="AO288" s="21">
        <f>AO289-AO287</f>
        <v>-37.415999999999997</v>
      </c>
      <c r="AP288" s="21">
        <f t="shared" ref="AP288:AV288" si="898">AP289-AP287</f>
        <v>123.79599999999999</v>
      </c>
      <c r="AQ288" s="21">
        <f t="shared" si="898"/>
        <v>7.5430000000000064</v>
      </c>
      <c r="AR288" s="21">
        <f t="shared" si="898"/>
        <v>79.663999999999987</v>
      </c>
      <c r="AS288" s="21">
        <f t="shared" si="898"/>
        <v>90.278999999999996</v>
      </c>
      <c r="AT288" s="21">
        <f t="shared" si="898"/>
        <v>165.78200000000004</v>
      </c>
      <c r="AU288" s="21">
        <f t="shared" si="898"/>
        <v>80.690999999999917</v>
      </c>
      <c r="AV288" s="21">
        <f t="shared" si="898"/>
        <v>104.44100000000003</v>
      </c>
      <c r="AW288" s="21">
        <f>AW289-AW287</f>
        <v>29.508999999999901</v>
      </c>
      <c r="AX288" s="21">
        <f t="shared" ref="AX288:BD288" si="899">AX289-AX287</f>
        <v>54.026557000000139</v>
      </c>
      <c r="AY288" s="21">
        <f t="shared" si="899"/>
        <v>38.511891000000105</v>
      </c>
      <c r="AZ288" s="21">
        <f t="shared" si="899"/>
        <v>269.26936299999988</v>
      </c>
      <c r="BA288" s="21">
        <f t="shared" si="899"/>
        <v>248.16022599999974</v>
      </c>
      <c r="BB288" s="21">
        <f t="shared" si="899"/>
        <v>676.47625500000049</v>
      </c>
      <c r="BC288" s="21">
        <f t="shared" si="899"/>
        <v>-102.15529200000037</v>
      </c>
      <c r="BD288" s="21">
        <f t="shared" ca="1" si="899"/>
        <v>725.25418617135847</v>
      </c>
      <c r="BE288" s="21">
        <f t="shared" ref="BE288" ca="1" si="900">BE289-BE287</f>
        <v>666.29466738427118</v>
      </c>
      <c r="BF288" s="52"/>
      <c r="BG288" s="52"/>
      <c r="BH288" s="52"/>
      <c r="BI288" s="52"/>
      <c r="BJ288" s="52"/>
      <c r="BK288" s="52"/>
    </row>
    <row r="289" spans="1:63" s="159" customFormat="1" ht="11.25" customHeight="1">
      <c r="A289" s="52"/>
      <c r="B289" s="31" t="s">
        <v>104</v>
      </c>
      <c r="C289" s="52"/>
      <c r="D289" s="20"/>
      <c r="E289" s="20"/>
      <c r="F289" s="20"/>
      <c r="G289" s="20"/>
      <c r="H289" s="20">
        <f t="shared" ref="H289:AA289" si="901">H16</f>
        <v>362.41023000000007</v>
      </c>
      <c r="I289" s="20">
        <f t="shared" si="901"/>
        <v>372.14512200000001</v>
      </c>
      <c r="J289" s="20">
        <f t="shared" si="901"/>
        <v>414.67037899999997</v>
      </c>
      <c r="K289" s="20">
        <f t="shared" si="901"/>
        <v>438.18930599999999</v>
      </c>
      <c r="L289" s="20">
        <f t="shared" si="901"/>
        <v>491.07587300000006</v>
      </c>
      <c r="M289" s="20">
        <f t="shared" si="901"/>
        <v>534.14080800000011</v>
      </c>
      <c r="N289" s="20">
        <f t="shared" si="901"/>
        <v>613.14274299999988</v>
      </c>
      <c r="O289" s="20">
        <f t="shared" si="901"/>
        <v>625.53186800000003</v>
      </c>
      <c r="P289" s="20">
        <f t="shared" si="901"/>
        <v>508.63297299999999</v>
      </c>
      <c r="Q289" s="20">
        <f t="shared" si="901"/>
        <v>480.84125399999999</v>
      </c>
      <c r="R289" s="20">
        <f t="shared" si="901"/>
        <v>546.73275799999999</v>
      </c>
      <c r="S289" s="20">
        <f t="shared" si="901"/>
        <v>625.52901499999996</v>
      </c>
      <c r="T289" s="20">
        <f t="shared" si="901"/>
        <v>592.64420100000007</v>
      </c>
      <c r="U289" s="20">
        <f t="shared" si="901"/>
        <v>673.51017699999989</v>
      </c>
      <c r="V289" s="20">
        <f t="shared" ref="V289" si="902">V16</f>
        <v>759.69200000000001</v>
      </c>
      <c r="W289" s="20">
        <f t="shared" ca="1" si="901"/>
        <v>861.14380817135782</v>
      </c>
      <c r="X289" s="20">
        <f t="shared" si="901"/>
        <v>800.06967135000014</v>
      </c>
      <c r="Y289" s="20">
        <f t="shared" si="901"/>
        <v>808.21221239999988</v>
      </c>
      <c r="Z289" s="20">
        <f t="shared" si="901"/>
        <v>911.63040000000001</v>
      </c>
      <c r="AA289" s="20">
        <f t="shared" ca="1" si="901"/>
        <v>1033.3725698056294</v>
      </c>
      <c r="AB289" s="52"/>
      <c r="AC289" s="20">
        <f t="shared" ref="AC289:AD289" si="903">AC16</f>
        <v>43.927</v>
      </c>
      <c r="AD289" s="20">
        <f t="shared" si="903"/>
        <v>50.421999999999997</v>
      </c>
      <c r="AE289" s="20">
        <f t="shared" ref="AE289:AM289" si="904">AE16</f>
        <v>73.066999999999993</v>
      </c>
      <c r="AF289" s="20">
        <f t="shared" si="904"/>
        <v>166.19800000000001</v>
      </c>
      <c r="AG289" s="20">
        <f t="shared" si="904"/>
        <v>125.88500000000001</v>
      </c>
      <c r="AH289" s="20">
        <f t="shared" si="904"/>
        <v>162.30099999999999</v>
      </c>
      <c r="AI289" s="20">
        <f t="shared" si="904"/>
        <v>202.99700000000001</v>
      </c>
      <c r="AJ289" s="20">
        <f t="shared" si="904"/>
        <v>257.21300000000002</v>
      </c>
      <c r="AK289" s="20">
        <f t="shared" si="904"/>
        <v>266.565</v>
      </c>
      <c r="AL289" s="20">
        <f t="shared" si="904"/>
        <v>317.40699999999998</v>
      </c>
      <c r="AM289" s="20">
        <f t="shared" si="904"/>
        <v>322.63</v>
      </c>
      <c r="AN289" s="20">
        <f t="shared" ref="AN289:AO289" si="905">AN16</f>
        <v>333.15800000000002</v>
      </c>
      <c r="AO289" s="20">
        <f t="shared" si="905"/>
        <v>295.74200000000002</v>
      </c>
      <c r="AP289" s="20">
        <f t="shared" ref="AP289:AV289" si="906">AP16</f>
        <v>419.53800000000001</v>
      </c>
      <c r="AQ289" s="20">
        <f t="shared" si="906"/>
        <v>427.08100000000002</v>
      </c>
      <c r="AR289" s="20">
        <f t="shared" si="906"/>
        <v>506.745</v>
      </c>
      <c r="AS289" s="20">
        <f t="shared" si="906"/>
        <v>597.024</v>
      </c>
      <c r="AT289" s="20">
        <f t="shared" si="906"/>
        <v>762.80600000000004</v>
      </c>
      <c r="AU289" s="20">
        <f t="shared" si="906"/>
        <v>843.49699999999996</v>
      </c>
      <c r="AV289" s="20">
        <f t="shared" si="906"/>
        <v>947.93799999999999</v>
      </c>
      <c r="AW289" s="20">
        <f t="shared" ref="AW289:BE289" si="907">AW16</f>
        <v>977.44699999999989</v>
      </c>
      <c r="AX289" s="20">
        <f t="shared" si="907"/>
        <v>1031.473557</v>
      </c>
      <c r="AY289" s="20">
        <f t="shared" si="907"/>
        <v>1069.9854480000001</v>
      </c>
      <c r="AZ289" s="20">
        <f t="shared" si="907"/>
        <v>1339.254811</v>
      </c>
      <c r="BA289" s="20">
        <f t="shared" si="907"/>
        <v>1587.4150369999998</v>
      </c>
      <c r="BB289" s="20">
        <f t="shared" si="907"/>
        <v>2263.8912920000002</v>
      </c>
      <c r="BC289" s="20">
        <f t="shared" si="907"/>
        <v>2161.7359999999999</v>
      </c>
      <c r="BD289" s="20">
        <f t="shared" ca="1" si="907"/>
        <v>2886.9901861713583</v>
      </c>
      <c r="BE289" s="20">
        <f t="shared" ca="1" si="907"/>
        <v>3553.2848535556295</v>
      </c>
      <c r="BF289" s="52"/>
      <c r="BG289" s="52"/>
      <c r="BH289" s="52"/>
      <c r="BI289" s="52"/>
      <c r="BJ289" s="52"/>
      <c r="BK289" s="52"/>
    </row>
    <row r="290" spans="1:63" s="159" customFormat="1" ht="11.25" customHeight="1">
      <c r="A290" s="52"/>
      <c r="B290" s="36" t="s">
        <v>249</v>
      </c>
      <c r="C290" s="52"/>
      <c r="D290" s="134"/>
      <c r="E290" s="134"/>
      <c r="F290" s="134"/>
      <c r="G290" s="134"/>
      <c r="H290" s="134">
        <f t="shared" ref="H290:T290" si="908">H288/H287</f>
        <v>0.16681750458760611</v>
      </c>
      <c r="I290" s="134">
        <f t="shared" si="908"/>
        <v>0.19738441868969034</v>
      </c>
      <c r="J290" s="134">
        <f t="shared" si="908"/>
        <v>0.16341159641562134</v>
      </c>
      <c r="K290" s="134">
        <f t="shared" si="908"/>
        <v>0.21236643276931888</v>
      </c>
      <c r="L290" s="134">
        <f t="shared" si="908"/>
        <v>0.35502762435817542</v>
      </c>
      <c r="M290" s="134">
        <f t="shared" si="908"/>
        <v>0.43530245708823262</v>
      </c>
      <c r="N290" s="134">
        <f t="shared" si="908"/>
        <v>0.47862681795267542</v>
      </c>
      <c r="O290" s="134">
        <f t="shared" si="908"/>
        <v>0.42753796004323313</v>
      </c>
      <c r="P290" s="134">
        <f t="shared" si="908"/>
        <v>3.5752316424635125E-2</v>
      </c>
      <c r="Q290" s="134">
        <f t="shared" si="908"/>
        <v>-9.9785586874688109E-2</v>
      </c>
      <c r="R290" s="134">
        <f t="shared" si="908"/>
        <v>-0.10831080650986341</v>
      </c>
      <c r="S290" s="134">
        <f t="shared" si="908"/>
        <v>-4.5609187093771294E-6</v>
      </c>
      <c r="T290" s="134">
        <f t="shared" si="908"/>
        <v>0.16517062884163444</v>
      </c>
      <c r="U290" s="134">
        <f>U288/U287</f>
        <v>0.40069133294457282</v>
      </c>
      <c r="V290" s="134">
        <f>V288/V287</f>
        <v>0.38951249743846522</v>
      </c>
      <c r="W290" s="134">
        <f t="shared" ref="W290" ca="1" si="909">W288/W287</f>
        <v>0.37666485090441071</v>
      </c>
      <c r="X290" s="134">
        <f t="shared" ref="X290:AA290" si="910">X288/X287</f>
        <v>0.35000000000000009</v>
      </c>
      <c r="Y290" s="134">
        <f t="shared" si="910"/>
        <v>0.20000000000000004</v>
      </c>
      <c r="Z290" s="134">
        <f t="shared" si="910"/>
        <v>0.2</v>
      </c>
      <c r="AA290" s="134">
        <f t="shared" ca="1" si="910"/>
        <v>0.2</v>
      </c>
      <c r="AB290" s="52"/>
      <c r="AC290" s="52"/>
      <c r="AD290" s="134">
        <f t="shared" ref="AD290:AM290" si="911">AD288/AD287</f>
        <v>0.14785894779975864</v>
      </c>
      <c r="AE290" s="134">
        <f t="shared" si="911"/>
        <v>0.44910951568759661</v>
      </c>
      <c r="AF290" s="134">
        <f t="shared" si="911"/>
        <v>1.2745972874211344</v>
      </c>
      <c r="AG290" s="134">
        <f t="shared" si="911"/>
        <v>-0.24256007894198486</v>
      </c>
      <c r="AH290" s="134">
        <f t="shared" si="911"/>
        <v>0.28927989831989498</v>
      </c>
      <c r="AI290" s="134">
        <f t="shared" si="911"/>
        <v>0.25074398802225512</v>
      </c>
      <c r="AJ290" s="134">
        <f t="shared" si="911"/>
        <v>0.26707783858874762</v>
      </c>
      <c r="AK290" s="134">
        <f t="shared" si="911"/>
        <v>3.6358970969585423E-2</v>
      </c>
      <c r="AL290" s="134">
        <f t="shared" si="911"/>
        <v>0.19073021589480985</v>
      </c>
      <c r="AM290" s="134">
        <f t="shared" si="911"/>
        <v>1.6455213653133086E-2</v>
      </c>
      <c r="AN290" s="134">
        <f t="shared" ref="AN290:AV290" si="912">AN288/AN287</f>
        <v>3.2631807333478043E-2</v>
      </c>
      <c r="AO290" s="134">
        <f t="shared" si="912"/>
        <v>-0.11230707352067186</v>
      </c>
      <c r="AP290" s="134">
        <f t="shared" si="912"/>
        <v>0.41859458582142539</v>
      </c>
      <c r="AQ290" s="134">
        <f t="shared" si="912"/>
        <v>1.7979301040668558E-2</v>
      </c>
      <c r="AR290" s="134">
        <f t="shared" si="912"/>
        <v>0.18653136056157962</v>
      </c>
      <c r="AS290" s="134">
        <f t="shared" si="912"/>
        <v>0.17815469318888197</v>
      </c>
      <c r="AT290" s="134">
        <f t="shared" si="912"/>
        <v>0.27768062925443537</v>
      </c>
      <c r="AU290" s="134">
        <f t="shared" si="912"/>
        <v>0.10578181084050192</v>
      </c>
      <c r="AV290" s="134">
        <f t="shared" si="912"/>
        <v>0.12381905329835202</v>
      </c>
      <c r="AW290" s="134">
        <f t="shared" ref="AW290:BD290" si="913">AW288/AW287</f>
        <v>3.1129673037688016E-2</v>
      </c>
      <c r="AX290" s="134">
        <f t="shared" si="913"/>
        <v>5.5273131944750094E-2</v>
      </c>
      <c r="AY290" s="134">
        <f t="shared" si="913"/>
        <v>3.733677003995179E-2</v>
      </c>
      <c r="AZ290" s="134">
        <f t="shared" si="913"/>
        <v>0.25165703281601998</v>
      </c>
      <c r="BA290" s="134">
        <f t="shared" si="913"/>
        <v>0.18529724437928469</v>
      </c>
      <c r="BB290" s="134">
        <f t="shared" si="913"/>
        <v>0.42614958232879624</v>
      </c>
      <c r="BC290" s="134">
        <f t="shared" si="913"/>
        <v>-4.5123762064455328E-2</v>
      </c>
      <c r="BD290" s="134">
        <f t="shared" ca="1" si="913"/>
        <v>0.33549618740279041</v>
      </c>
      <c r="BE290" s="134">
        <f t="shared" ref="BE290" ca="1" si="914">BE288/BE287</f>
        <v>0.23079214836815626</v>
      </c>
      <c r="BF290" s="52"/>
      <c r="BG290" s="52"/>
      <c r="BH290" s="52"/>
      <c r="BI290" s="52"/>
      <c r="BJ290" s="52"/>
      <c r="BK290" s="52"/>
    </row>
    <row r="291" spans="1:63" s="159" customFormat="1" ht="11.25" customHeight="1">
      <c r="A291" s="52"/>
      <c r="B291" s="135" t="s">
        <v>328</v>
      </c>
      <c r="C291" s="52"/>
      <c r="D291" s="134"/>
      <c r="E291" s="134"/>
      <c r="F291" s="134"/>
      <c r="G291" s="134"/>
      <c r="H291" s="334">
        <f t="shared" ref="H291" si="915">H290-H284</f>
        <v>-8.6334774752839988E-2</v>
      </c>
      <c r="I291" s="334">
        <f t="shared" ref="I291" si="916">I290-I284</f>
        <v>-8.2962402119558049E-2</v>
      </c>
      <c r="J291" s="334">
        <f t="shared" ref="J291" si="917">J290-J284</f>
        <v>-6.2288568329024463E-2</v>
      </c>
      <c r="K291" s="334">
        <f t="shared" ref="K291" si="918">K290-K284</f>
        <v>-2.8958488366327861E-2</v>
      </c>
      <c r="L291" s="334">
        <f t="shared" ref="L291" si="919">L290-L284</f>
        <v>-4.8794963848586836E-3</v>
      </c>
      <c r="M291" s="334">
        <f t="shared" ref="M291" si="920">M290-M284</f>
        <v>6.8861524055877366E-2</v>
      </c>
      <c r="N291" s="334">
        <f t="shared" ref="N291" si="921">N290-N284</f>
        <v>0.11908380719998729</v>
      </c>
      <c r="O291" s="334">
        <f t="shared" ref="O291" si="922">O290-O284</f>
        <v>0.1613371976544149</v>
      </c>
      <c r="P291" s="334">
        <f t="shared" ref="P291" si="923">P290-P284</f>
        <v>8.4130233328448517E-2</v>
      </c>
      <c r="Q291" s="334">
        <f t="shared" ref="Q291" si="924">Q290-Q284</f>
        <v>3.6778289777294304E-2</v>
      </c>
      <c r="R291" s="334">
        <f t="shared" ref="R291" si="925">R290-R284</f>
        <v>3.7512228586528057E-2</v>
      </c>
      <c r="S291" s="334">
        <f t="shared" ref="S291" si="926">S290-S284</f>
        <v>1.5549879623187197E-2</v>
      </c>
      <c r="T291" s="334">
        <f t="shared" ref="T291" si="927">T290-T284</f>
        <v>3.658211209522283E-2</v>
      </c>
      <c r="U291" s="334">
        <f t="shared" ref="U291:V291" si="928">U290-U284</f>
        <v>7.2885210495593211E-2</v>
      </c>
      <c r="V291" s="334">
        <f t="shared" si="928"/>
        <v>2.9558793734761613E-2</v>
      </c>
      <c r="W291" s="334">
        <f t="shared" ref="W291:AA291" ca="1" si="929">W290-W284</f>
        <v>2.2287817416636047E-2</v>
      </c>
      <c r="X291" s="334">
        <f t="shared" si="929"/>
        <v>5.1527311781634777E-2</v>
      </c>
      <c r="Y291" s="334">
        <f t="shared" si="929"/>
        <v>1.1164965710967922E-2</v>
      </c>
      <c r="Z291" s="334">
        <f t="shared" si="929"/>
        <v>1.1968793718083903E-2</v>
      </c>
      <c r="AA291" s="334">
        <f t="shared" ca="1" si="929"/>
        <v>9.0452601066017824E-3</v>
      </c>
      <c r="AB291" s="333"/>
      <c r="AC291" s="333"/>
      <c r="AD291" s="333"/>
      <c r="AE291" s="333"/>
      <c r="AF291" s="333"/>
      <c r="AG291" s="333"/>
      <c r="AH291" s="333"/>
      <c r="AI291" s="333"/>
      <c r="AJ291" s="333"/>
      <c r="AK291" s="333"/>
      <c r="AL291" s="333"/>
      <c r="AM291" s="333"/>
      <c r="AN291" s="334"/>
      <c r="AO291" s="334">
        <f t="shared" ref="AO291:AV291" si="930">AO290-AO284</f>
        <v>4.026354421228294E-2</v>
      </c>
      <c r="AP291" s="334">
        <f t="shared" si="930"/>
        <v>-6.7653078193124161E-2</v>
      </c>
      <c r="AQ291" s="334">
        <f t="shared" si="930"/>
        <v>-7.3409809166812057E-2</v>
      </c>
      <c r="AR291" s="334">
        <f t="shared" si="930"/>
        <v>6.3477518770911345E-3</v>
      </c>
      <c r="AS291" s="334">
        <f t="shared" si="930"/>
        <v>4.9877254108019187E-3</v>
      </c>
      <c r="AT291" s="334">
        <f t="shared" si="930"/>
        <v>2.6382957095053894E-2</v>
      </c>
      <c r="AU291" s="334">
        <f t="shared" si="930"/>
        <v>5.0724880936186309E-2</v>
      </c>
      <c r="AV291" s="334">
        <f t="shared" si="930"/>
        <v>1.6830525515685757E-2</v>
      </c>
      <c r="AW291" s="334">
        <f>AW290-AW284</f>
        <v>-5.9933867567136978E-2</v>
      </c>
      <c r="AX291" s="334">
        <f t="shared" ref="AX291:BD291" si="931">AX290-AX284</f>
        <v>-9.8156254516997207E-3</v>
      </c>
      <c r="AY291" s="334">
        <f t="shared" si="931"/>
        <v>2.4763670624747124E-2</v>
      </c>
      <c r="AZ291" s="334">
        <f t="shared" si="931"/>
        <v>-6.2521425168386435E-2</v>
      </c>
      <c r="BA291" s="334">
        <f t="shared" si="931"/>
        <v>-6.3219565113134618E-2</v>
      </c>
      <c r="BB291" s="334">
        <f t="shared" si="931"/>
        <v>9.0704316577300381E-2</v>
      </c>
      <c r="BC291" s="334">
        <f t="shared" si="931"/>
        <v>4.1592105094216236E-2</v>
      </c>
      <c r="BD291" s="334">
        <f t="shared" ca="1" si="931"/>
        <v>4.0216571284029334E-2</v>
      </c>
      <c r="BE291" s="334">
        <f t="shared" ref="BE291" ca="1" si="932">BE290-BE284</f>
        <v>1.8491965571177604E-2</v>
      </c>
      <c r="BF291" s="52"/>
      <c r="BG291" s="52"/>
      <c r="BH291" s="52"/>
      <c r="BI291" s="52"/>
      <c r="BJ291" s="52"/>
      <c r="BK291" s="52"/>
    </row>
    <row r="292" spans="1:63" s="159" customFormat="1" ht="11.25" customHeight="1">
      <c r="A292" s="52"/>
      <c r="B292" s="36"/>
      <c r="C292" s="52"/>
      <c r="D292" s="34"/>
      <c r="E292" s="34"/>
      <c r="F292" s="34"/>
      <c r="G292" s="34"/>
      <c r="H292" s="192"/>
      <c r="I292" s="192"/>
      <c r="J292" s="192"/>
      <c r="K292" s="228"/>
      <c r="L292" s="134"/>
      <c r="M292" s="134"/>
      <c r="N292" s="134"/>
      <c r="O292" s="228"/>
      <c r="P292" s="134"/>
      <c r="Q292" s="134"/>
      <c r="R292" s="228"/>
      <c r="S292" s="134"/>
      <c r="T292" s="134"/>
      <c r="U292" s="134"/>
      <c r="V292" s="134"/>
      <c r="W292" s="134"/>
      <c r="X292" s="134"/>
      <c r="Y292" s="134"/>
      <c r="Z292" s="134"/>
      <c r="AA292" s="134"/>
      <c r="AB292" s="52"/>
      <c r="AC292" s="52"/>
      <c r="AD292" s="52"/>
      <c r="AE292" s="52"/>
      <c r="AF292" s="52"/>
      <c r="AG292" s="52"/>
      <c r="AH292" s="52"/>
      <c r="AI292" s="52"/>
      <c r="AJ292" s="52"/>
      <c r="AK292" s="52"/>
      <c r="AL292" s="52"/>
      <c r="AM292" s="52"/>
      <c r="AN292" s="52"/>
      <c r="AO292" s="52"/>
      <c r="AP292" s="52"/>
      <c r="AQ292" s="52"/>
      <c r="AR292" s="52"/>
      <c r="AS292" s="52"/>
      <c r="AT292" s="52"/>
      <c r="AU292" s="52"/>
      <c r="AV292" s="34"/>
      <c r="AW292" s="134"/>
      <c r="AX292" s="134"/>
      <c r="AY292" s="134"/>
      <c r="AZ292" s="134"/>
      <c r="BA292" s="134"/>
      <c r="BB292" s="134"/>
      <c r="BC292" s="134"/>
      <c r="BD292" s="134"/>
      <c r="BE292" s="134"/>
      <c r="BF292" s="52"/>
      <c r="BG292" s="52"/>
      <c r="BH292" s="52"/>
      <c r="BI292" s="52"/>
      <c r="BJ292" s="52"/>
      <c r="BK292" s="52"/>
    </row>
    <row r="293" spans="1:63" s="159" customFormat="1" ht="11.25" customHeight="1">
      <c r="A293" s="52"/>
      <c r="B293" s="94" t="s">
        <v>57</v>
      </c>
      <c r="C293" s="52"/>
      <c r="D293" s="34"/>
      <c r="E293" s="34"/>
      <c r="F293" s="34"/>
      <c r="G293" s="34"/>
      <c r="H293" s="192"/>
      <c r="I293" s="192"/>
      <c r="J293" s="192"/>
      <c r="K293" s="228"/>
      <c r="L293" s="134"/>
      <c r="M293" s="134"/>
      <c r="N293" s="134"/>
      <c r="O293" s="228"/>
      <c r="P293" s="134"/>
      <c r="Q293" s="134"/>
      <c r="R293" s="228"/>
      <c r="S293" s="134"/>
      <c r="T293" s="134"/>
      <c r="U293" s="134"/>
      <c r="V293" s="134"/>
      <c r="W293" s="134"/>
      <c r="X293" s="134"/>
      <c r="Y293" s="134"/>
      <c r="Z293" s="134"/>
      <c r="AA293" s="134"/>
      <c r="AB293" s="52"/>
      <c r="AC293" s="52"/>
      <c r="AD293" s="52"/>
      <c r="AE293" s="52"/>
      <c r="AF293" s="52"/>
      <c r="AG293" s="52"/>
      <c r="AH293" s="52"/>
      <c r="AI293" s="52"/>
      <c r="AJ293" s="52"/>
      <c r="AK293" s="52"/>
      <c r="AL293" s="52"/>
      <c r="AM293" s="52"/>
      <c r="AN293" s="52"/>
      <c r="AO293" s="52"/>
      <c r="AP293" s="52"/>
      <c r="AQ293" s="52"/>
      <c r="AR293" s="52"/>
      <c r="AS293" s="52"/>
      <c r="AT293" s="52"/>
      <c r="AU293" s="52"/>
      <c r="AV293" s="34"/>
      <c r="AW293" s="134"/>
      <c r="AX293" s="134"/>
      <c r="AY293" s="134"/>
      <c r="AZ293" s="134"/>
      <c r="BA293" s="134"/>
      <c r="BB293" s="134"/>
      <c r="BC293" s="134"/>
      <c r="BD293" s="134"/>
      <c r="BE293" s="134"/>
      <c r="BF293" s="52"/>
      <c r="BG293" s="52"/>
      <c r="BH293" s="52"/>
      <c r="BI293" s="52"/>
      <c r="BJ293" s="52"/>
      <c r="BK293" s="52"/>
    </row>
    <row r="294" spans="1:63" s="159" customFormat="1" ht="11.25" customHeight="1">
      <c r="A294" s="52"/>
      <c r="B294" s="35" t="s">
        <v>326</v>
      </c>
      <c r="C294" s="52"/>
      <c r="D294" s="291">
        <f>FX!D14</f>
        <v>30.129242000000001</v>
      </c>
      <c r="E294" s="291">
        <f>FX!E14</f>
        <v>29.902944999999999</v>
      </c>
      <c r="F294" s="291">
        <f>FX!F14</f>
        <v>29.356929000000001</v>
      </c>
      <c r="G294" s="291">
        <f>FX!G14</f>
        <v>28.485913</v>
      </c>
      <c r="H294" s="291">
        <f>FX!H14</f>
        <v>28.094277999999999</v>
      </c>
      <c r="I294" s="291">
        <f>FX!I14</f>
        <v>27.990055000000002</v>
      </c>
      <c r="J294" s="291">
        <f>FX!J14</f>
        <v>27.873652</v>
      </c>
      <c r="K294" s="291">
        <f>FX!K14</f>
        <v>27.846913000000001</v>
      </c>
      <c r="L294" s="291">
        <f>FX!L14</f>
        <v>28.008199999999999</v>
      </c>
      <c r="M294" s="291">
        <f>FX!M14</f>
        <v>29.445879000000001</v>
      </c>
      <c r="N294" s="291">
        <f>FX!N14</f>
        <v>30.397379999999998</v>
      </c>
      <c r="O294" s="291">
        <f>FX!O14</f>
        <v>31.344163000000002</v>
      </c>
      <c r="P294" s="291">
        <f>FX!P14</f>
        <v>30.420511000000001</v>
      </c>
      <c r="Q294" s="291">
        <f>FX!Q14</f>
        <v>30.724658999999999</v>
      </c>
      <c r="R294" s="291">
        <f>FX!R14</f>
        <v>31.696141000000001</v>
      </c>
      <c r="S294" s="291">
        <f>FX!S14</f>
        <v>31.818957000000001</v>
      </c>
      <c r="T294" s="291">
        <f>FX!T14</f>
        <v>31.461296999999998</v>
      </c>
      <c r="U294" s="291">
        <f>FX!U14</f>
        <v>32.372669999999999</v>
      </c>
      <c r="V294" s="291">
        <f>FX!V14</f>
        <v>32.301391000000002</v>
      </c>
      <c r="W294" s="291">
        <f>FX!W14</f>
        <v>32.40687093478261</v>
      </c>
      <c r="X294" s="291">
        <f>FX!X14</f>
        <v>32.652999999999999</v>
      </c>
      <c r="Y294" s="291">
        <f>FX!Y14</f>
        <v>32.652999999999999</v>
      </c>
      <c r="Z294" s="291">
        <f>FX!Z14</f>
        <v>32.652999999999999</v>
      </c>
      <c r="AA294" s="291">
        <f>FX!AA14</f>
        <v>32.652999999999999</v>
      </c>
      <c r="AB294" s="52"/>
      <c r="AC294" s="291">
        <f>FX!AC14</f>
        <v>28.785945000000002</v>
      </c>
      <c r="AD294" s="291">
        <f>FX!AD14</f>
        <v>33.527068</v>
      </c>
      <c r="AE294" s="291">
        <f>FX!AE14</f>
        <v>32.318904000000003</v>
      </c>
      <c r="AF294" s="291">
        <f>FX!AF14</f>
        <v>31.266712999999999</v>
      </c>
      <c r="AG294" s="291">
        <f>FX!AG14</f>
        <v>33.833989000000003</v>
      </c>
      <c r="AH294" s="291">
        <f>FX!AH14</f>
        <v>34.538110000000003</v>
      </c>
      <c r="AI294" s="291">
        <f>FX!AI14</f>
        <v>34.402577999999998</v>
      </c>
      <c r="AJ294" s="291">
        <f>FX!AJ14</f>
        <v>33.381672000000002</v>
      </c>
      <c r="AK294" s="291">
        <f>FX!AK14</f>
        <v>32.134466000000003</v>
      </c>
      <c r="AL294" s="291">
        <f>FX!AL14</f>
        <v>32.508702999999997</v>
      </c>
      <c r="AM294" s="291">
        <f>FX!AM14</f>
        <v>32.914285</v>
      </c>
      <c r="AN294" s="291">
        <f>FX!AN14</f>
        <v>31.54616</v>
      </c>
      <c r="AO294" s="291">
        <f>FX!AO14</f>
        <v>33.044998999999997</v>
      </c>
      <c r="AP294" s="291">
        <f>FX!AP14</f>
        <v>31.540811000000001</v>
      </c>
      <c r="AQ294" s="291">
        <f>FX!AQ14</f>
        <v>29.41929</v>
      </c>
      <c r="AR294" s="291">
        <f>FX!AR14</f>
        <v>29.577525000000001</v>
      </c>
      <c r="AS294" s="291">
        <f>FX!AS14</f>
        <v>29.703274</v>
      </c>
      <c r="AT294" s="291">
        <f>FX!AT14</f>
        <v>30.329552</v>
      </c>
      <c r="AU294" s="291">
        <f>FX!AU14</f>
        <v>31.787731999999998</v>
      </c>
      <c r="AV294" s="291">
        <f>FX!AV14</f>
        <v>32.271028999999999</v>
      </c>
      <c r="AW294" s="291">
        <f>FX!AW14</f>
        <v>30.433181000000001</v>
      </c>
      <c r="AX294" s="291">
        <f>FX!AX14</f>
        <v>30.158078</v>
      </c>
      <c r="AY294" s="291">
        <f>FX!AY14</f>
        <v>30.909054999999999</v>
      </c>
      <c r="AZ294" s="291">
        <f>FX!AZ14</f>
        <v>29.465765999999999</v>
      </c>
      <c r="BA294" s="291">
        <f>FX!BA14</f>
        <v>27.950334000000002</v>
      </c>
      <c r="BB294" s="291">
        <f>FX!BB14</f>
        <v>29.809685000000002</v>
      </c>
      <c r="BC294" s="291">
        <f>FX!BC14</f>
        <v>31.170352999999999</v>
      </c>
      <c r="BD294" s="291">
        <f>FX!BD14</f>
        <v>32.13555723369565</v>
      </c>
      <c r="BE294" s="291">
        <f>FX!BE14</f>
        <v>32.652999999999999</v>
      </c>
      <c r="BF294" s="52"/>
      <c r="BG294" s="52"/>
      <c r="BH294" s="52"/>
      <c r="BI294" s="52"/>
      <c r="BJ294" s="52"/>
      <c r="BK294" s="52"/>
    </row>
    <row r="295" spans="1:63" s="159" customFormat="1" ht="11.25" customHeight="1">
      <c r="A295" s="52"/>
      <c r="B295" s="36" t="s">
        <v>249</v>
      </c>
      <c r="C295" s="52"/>
      <c r="D295" s="134"/>
      <c r="E295" s="134"/>
      <c r="F295" s="134"/>
      <c r="G295" s="134"/>
      <c r="H295" s="134">
        <f t="shared" ref="H295" si="933">H294/D294-1</f>
        <v>-6.7541161506817882E-2</v>
      </c>
      <c r="I295" s="134">
        <f t="shared" ref="I295" si="934">I294/E294-1</f>
        <v>-6.3969953461105455E-2</v>
      </c>
      <c r="J295" s="134">
        <f t="shared" ref="J295" si="935">J294/F294-1</f>
        <v>-5.0525618670808514E-2</v>
      </c>
      <c r="K295" s="134">
        <f t="shared" ref="K295" si="936">K294/G294-1</f>
        <v>-2.2432140405680534E-2</v>
      </c>
      <c r="L295" s="134">
        <f t="shared" ref="L295" si="937">L294/H294-1</f>
        <v>-3.0638979225592333E-3</v>
      </c>
      <c r="M295" s="134">
        <f t="shared" ref="M295" si="938">M294/I294-1</f>
        <v>5.2012187900309481E-2</v>
      </c>
      <c r="N295" s="134">
        <f t="shared" ref="N295" si="939">N294/J294-1</f>
        <v>9.0541705837469788E-2</v>
      </c>
      <c r="O295" s="134">
        <f t="shared" ref="O295" si="940">O294/K294-1</f>
        <v>0.12558842698291195</v>
      </c>
      <c r="P295" s="134">
        <f t="shared" ref="P295" si="941">P294/L294-1</f>
        <v>8.6128740868745668E-2</v>
      </c>
      <c r="Q295" s="134">
        <f t="shared" ref="Q295" si="942">Q294/M294-1</f>
        <v>4.3428148298782165E-2</v>
      </c>
      <c r="R295" s="134">
        <f t="shared" ref="R295" si="943">R294/N294-1</f>
        <v>4.2726083629575973E-2</v>
      </c>
      <c r="S295" s="134">
        <f t="shared" ref="S295" si="944">S294/O294-1</f>
        <v>1.5147764513603335E-2</v>
      </c>
      <c r="T295" s="134">
        <f t="shared" ref="T295" si="945">T294/P294-1</f>
        <v>3.4213297731914949E-2</v>
      </c>
      <c r="U295" s="134">
        <f t="shared" ref="U295" si="946">U294/Q294-1</f>
        <v>5.3638056650197496E-2</v>
      </c>
      <c r="V295" s="134">
        <f t="shared" ref="V295" si="947">V294/R294-1</f>
        <v>1.9095384513843516E-2</v>
      </c>
      <c r="W295" s="134">
        <f t="shared" ref="W295" si="948">W294/S294-1</f>
        <v>1.8476844944433912E-2</v>
      </c>
      <c r="X295" s="134">
        <f t="shared" ref="X295" si="949">X294/T294-1</f>
        <v>3.7878381174177189E-2</v>
      </c>
      <c r="Y295" s="134">
        <f t="shared" ref="Y295" si="950">Y294/U294-1</f>
        <v>8.6594649128415302E-3</v>
      </c>
      <c r="Z295" s="134">
        <f t="shared" ref="Z295" si="951">Z294/V294-1</f>
        <v>1.0885258780341633E-2</v>
      </c>
      <c r="AA295" s="134">
        <f t="shared" ref="AA295" si="952">AA294/W294-1</f>
        <v>7.5949654538605138E-3</v>
      </c>
      <c r="AB295" s="52"/>
      <c r="AC295" s="52"/>
      <c r="AD295" s="134">
        <f t="shared" ref="AD295:AV295" si="953">AD294/AC294-1</f>
        <v>0.1647027047401084</v>
      </c>
      <c r="AE295" s="134">
        <f t="shared" si="953"/>
        <v>-3.6035480346805038E-2</v>
      </c>
      <c r="AF295" s="134">
        <f t="shared" si="953"/>
        <v>-3.2556518624517805E-2</v>
      </c>
      <c r="AG295" s="134">
        <f t="shared" si="953"/>
        <v>8.2108918836463651E-2</v>
      </c>
      <c r="AH295" s="134">
        <f t="shared" si="953"/>
        <v>2.0811054824188879E-2</v>
      </c>
      <c r="AI295" s="134">
        <f t="shared" si="953"/>
        <v>-3.9241290273267504E-3</v>
      </c>
      <c r="AJ295" s="134">
        <f t="shared" si="953"/>
        <v>-2.9675276079600632E-2</v>
      </c>
      <c r="AK295" s="134">
        <f t="shared" si="953"/>
        <v>-3.7361999123351253E-2</v>
      </c>
      <c r="AL295" s="134">
        <f t="shared" si="953"/>
        <v>1.1645969159717495E-2</v>
      </c>
      <c r="AM295" s="134">
        <f t="shared" si="953"/>
        <v>1.2476105244801694E-2</v>
      </c>
      <c r="AN295" s="134">
        <f t="shared" si="953"/>
        <v>-4.1566298645101973E-2</v>
      </c>
      <c r="AO295" s="134">
        <f t="shared" si="953"/>
        <v>4.7512565713227817E-2</v>
      </c>
      <c r="AP295" s="134">
        <f t="shared" si="953"/>
        <v>-4.5519384037505772E-2</v>
      </c>
      <c r="AQ295" s="134">
        <f t="shared" si="953"/>
        <v>-6.7262728279244399E-2</v>
      </c>
      <c r="AR295" s="134">
        <f t="shared" si="953"/>
        <v>5.3786138278659745E-3</v>
      </c>
      <c r="AS295" s="134">
        <f t="shared" si="953"/>
        <v>4.2515051546740956E-3</v>
      </c>
      <c r="AT295" s="134">
        <f t="shared" si="953"/>
        <v>2.1084477084916564E-2</v>
      </c>
      <c r="AU295" s="134">
        <f t="shared" si="953"/>
        <v>4.8077861486381268E-2</v>
      </c>
      <c r="AV295" s="134">
        <f t="shared" si="953"/>
        <v>1.5203884316125515E-2</v>
      </c>
      <c r="AW295" s="134">
        <f>AW294/AV294-1</f>
        <v>-5.6950399691314435E-2</v>
      </c>
      <c r="AX295" s="134">
        <f t="shared" ref="AX295:BE295" si="954">AX294/AW294-1</f>
        <v>-9.0395742725678518E-3</v>
      </c>
      <c r="AY295" s="134">
        <f t="shared" si="954"/>
        <v>2.4901354787927765E-2</v>
      </c>
      <c r="AZ295" s="134">
        <f t="shared" si="954"/>
        <v>-4.6694698365899567E-2</v>
      </c>
      <c r="BA295" s="134">
        <f t="shared" si="954"/>
        <v>-5.1430259780112175E-2</v>
      </c>
      <c r="BB295" s="134">
        <f t="shared" si="954"/>
        <v>6.6523391097938145E-2</v>
      </c>
      <c r="BC295" s="134">
        <f t="shared" si="954"/>
        <v>4.5645165321270387E-2</v>
      </c>
      <c r="BD295" s="134">
        <f t="shared" si="954"/>
        <v>3.0965457263049112E-2</v>
      </c>
      <c r="BE295" s="134">
        <f t="shared" si="954"/>
        <v>1.6101876265639747E-2</v>
      </c>
      <c r="BF295" s="52"/>
      <c r="BG295" s="52"/>
      <c r="BH295" s="52"/>
      <c r="BI295" s="52"/>
      <c r="BJ295" s="52"/>
      <c r="BK295" s="52"/>
    </row>
    <row r="296" spans="1:63" s="159" customFormat="1" ht="11.25" customHeight="1">
      <c r="A296" s="52"/>
      <c r="B296" s="36" t="s">
        <v>290</v>
      </c>
      <c r="C296" s="52"/>
      <c r="D296" s="134"/>
      <c r="E296" s="134">
        <f>+IFERROR(E294/D294-1,"n/a")</f>
        <v>-7.5108759788913293E-3</v>
      </c>
      <c r="F296" s="134">
        <f t="shared" ref="F296:W296" si="955">+IFERROR(F294/E294-1,"n/a")</f>
        <v>-1.8259606202666645E-2</v>
      </c>
      <c r="G296" s="134">
        <f t="shared" si="955"/>
        <v>-2.9669860904047551E-2</v>
      </c>
      <c r="H296" s="134">
        <f t="shared" si="955"/>
        <v>-1.374837450356603E-2</v>
      </c>
      <c r="I296" s="134">
        <f t="shared" si="955"/>
        <v>-3.7097589765431316E-3</v>
      </c>
      <c r="J296" s="134">
        <f t="shared" si="955"/>
        <v>-4.1587270907471607E-3</v>
      </c>
      <c r="K296" s="134">
        <f t="shared" si="955"/>
        <v>-9.5929302697761454E-4</v>
      </c>
      <c r="L296" s="134">
        <f t="shared" si="955"/>
        <v>5.7919166839066616E-3</v>
      </c>
      <c r="M296" s="134">
        <f t="shared" si="955"/>
        <v>5.1330646025092852E-2</v>
      </c>
      <c r="N296" s="134">
        <f t="shared" si="955"/>
        <v>3.2313553961150099E-2</v>
      </c>
      <c r="O296" s="134">
        <f t="shared" si="955"/>
        <v>3.1146861999290953E-2</v>
      </c>
      <c r="P296" s="134">
        <f t="shared" si="955"/>
        <v>-2.946807033896548E-2</v>
      </c>
      <c r="Q296" s="134">
        <f t="shared" si="955"/>
        <v>9.998122648235519E-3</v>
      </c>
      <c r="R296" s="134">
        <f t="shared" si="955"/>
        <v>3.1618967683254118E-2</v>
      </c>
      <c r="S296" s="134">
        <f t="shared" si="955"/>
        <v>3.8747934646050641E-3</v>
      </c>
      <c r="T296" s="134">
        <f t="shared" si="955"/>
        <v>-1.1240469007202325E-2</v>
      </c>
      <c r="U296" s="134">
        <f t="shared" si="955"/>
        <v>2.8968068290382343E-2</v>
      </c>
      <c r="V296" s="134">
        <f t="shared" si="955"/>
        <v>-2.2018264171598245E-3</v>
      </c>
      <c r="W296" s="134">
        <f t="shared" si="955"/>
        <v>3.2654920273436083E-3</v>
      </c>
      <c r="X296" s="134">
        <f t="shared" ref="X296" si="956">+IFERROR(X294/W294-1,"n/a")</f>
        <v>7.5949654538605138E-3</v>
      </c>
      <c r="Y296" s="134">
        <f t="shared" ref="Y296" si="957">+IFERROR(Y294/X294-1,"n/a")</f>
        <v>0</v>
      </c>
      <c r="Z296" s="134">
        <f t="shared" ref="Z296" si="958">+IFERROR(Z294/Y294-1,"n/a")</f>
        <v>0</v>
      </c>
      <c r="AA296" s="134">
        <f t="shared" ref="AA296" si="959">+IFERROR(AA294/Z294-1,"n/a")</f>
        <v>0</v>
      </c>
      <c r="AB296" s="52"/>
      <c r="AC296" s="52"/>
      <c r="AD296" s="52"/>
      <c r="AE296" s="52"/>
      <c r="AF296" s="52"/>
      <c r="AG296" s="52"/>
      <c r="AH296" s="52"/>
      <c r="AI296" s="52"/>
      <c r="AJ296" s="52"/>
      <c r="AK296" s="52"/>
      <c r="AL296" s="52"/>
      <c r="AM296" s="52"/>
      <c r="AN296" s="52"/>
      <c r="AO296" s="52"/>
      <c r="AP296" s="52"/>
      <c r="AQ296" s="52"/>
      <c r="AR296" s="52"/>
      <c r="AS296" s="52"/>
      <c r="AT296" s="52"/>
      <c r="AU296" s="52"/>
      <c r="AV296" s="34"/>
      <c r="AW296" s="134"/>
      <c r="AX296" s="134"/>
      <c r="AY296" s="134"/>
      <c r="AZ296" s="134"/>
      <c r="BA296" s="134"/>
      <c r="BB296" s="134"/>
      <c r="BC296" s="134"/>
      <c r="BD296" s="134"/>
      <c r="BE296" s="134"/>
      <c r="BF296" s="52"/>
      <c r="BG296" s="52"/>
      <c r="BH296" s="52"/>
      <c r="BI296" s="52"/>
      <c r="BJ296" s="52"/>
      <c r="BK296" s="52"/>
    </row>
    <row r="297" spans="1:63" s="159" customFormat="1" ht="11.25" customHeight="1">
      <c r="A297" s="6"/>
      <c r="B297" s="269"/>
      <c r="C297" s="6"/>
      <c r="D297" s="194"/>
      <c r="E297" s="6"/>
      <c r="F297" s="42"/>
      <c r="G297" s="42"/>
      <c r="H297" s="40"/>
      <c r="I297" s="40"/>
      <c r="J297" s="40"/>
      <c r="K297" s="120"/>
      <c r="L297" s="120"/>
      <c r="M297" s="120"/>
      <c r="N297" s="120"/>
      <c r="O297" s="120"/>
      <c r="P297" s="120"/>
      <c r="Q297" s="120"/>
      <c r="R297" s="120"/>
      <c r="S297" s="120"/>
      <c r="T297" s="120"/>
      <c r="U297" s="120"/>
      <c r="V297" s="120"/>
      <c r="W297" s="120"/>
      <c r="X297" s="120"/>
      <c r="Y297" s="120"/>
      <c r="Z297" s="120"/>
      <c r="AA297" s="120"/>
      <c r="AB297" s="6"/>
      <c r="AC297" s="6"/>
      <c r="AD297" s="6"/>
      <c r="AE297" s="6"/>
      <c r="AF297" s="6"/>
      <c r="AG297" s="6"/>
      <c r="AH297" s="6"/>
      <c r="AI297" s="6"/>
      <c r="AJ297" s="6"/>
      <c r="AK297" s="6"/>
      <c r="AL297" s="6"/>
      <c r="AM297" s="6"/>
      <c r="AN297" s="6"/>
      <c r="AO297" s="6"/>
      <c r="AP297" s="6"/>
      <c r="AQ297" s="6"/>
      <c r="AR297" s="6"/>
      <c r="AS297" s="6"/>
      <c r="AT297" s="6"/>
      <c r="AU297" s="6"/>
      <c r="AV297" s="40"/>
      <c r="AW297" s="40"/>
      <c r="AX297" s="40"/>
      <c r="AY297" s="40"/>
      <c r="AZ297" s="40"/>
      <c r="BA297" s="40"/>
      <c r="BB297" s="120"/>
      <c r="BC297" s="120"/>
      <c r="BD297" s="120"/>
      <c r="BE297" s="120"/>
      <c r="BF297" s="6"/>
      <c r="BG297" s="6"/>
      <c r="BH297" s="6"/>
      <c r="BI297" s="6"/>
      <c r="BJ297" s="6"/>
      <c r="BK297" s="6"/>
    </row>
    <row r="298" spans="1:63" ht="11.25" customHeight="1">
      <c r="A298" s="2"/>
      <c r="B298" s="11" t="s">
        <v>8</v>
      </c>
      <c r="C298" s="10"/>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row>
    <row r="299" spans="1:63" ht="11.25" customHeight="1">
      <c r="A299" s="2"/>
      <c r="B299" s="55"/>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435"/>
      <c r="AD299" s="435"/>
      <c r="AE299" s="435"/>
      <c r="AF299" s="435"/>
      <c r="AG299" s="435"/>
      <c r="AH299" s="435"/>
      <c r="AI299" s="435"/>
      <c r="AJ299" s="435"/>
      <c r="AK299" s="435"/>
      <c r="AL299" s="435"/>
      <c r="AM299" s="435"/>
      <c r="AN299" s="435"/>
      <c r="AO299" s="435"/>
      <c r="AP299" s="435"/>
      <c r="AQ299" s="435"/>
      <c r="AR299" s="435"/>
      <c r="AS299" s="435"/>
      <c r="AT299" s="435"/>
      <c r="AU299" s="435"/>
      <c r="AV299" s="435"/>
      <c r="AW299" s="435"/>
      <c r="AX299" s="435"/>
      <c r="AY299" s="435"/>
      <c r="AZ299" s="435"/>
      <c r="BA299" s="435"/>
      <c r="BB299" s="435"/>
      <c r="BC299" s="435"/>
      <c r="BD299" s="2"/>
      <c r="BE299" s="2"/>
      <c r="BF299" s="2"/>
      <c r="BG299" s="2"/>
      <c r="BH299" s="2"/>
      <c r="BI299" s="2"/>
      <c r="BJ299" s="2"/>
      <c r="BK299" s="2"/>
    </row>
    <row r="300" spans="1:63" ht="11.25" customHeight="1">
      <c r="A300" s="2"/>
      <c r="B300" s="18"/>
      <c r="C300" s="2"/>
      <c r="D300" s="435" t="s">
        <v>845</v>
      </c>
      <c r="E300" s="435" t="s">
        <v>845</v>
      </c>
      <c r="F300" s="435" t="s">
        <v>845</v>
      </c>
      <c r="G300" s="435" t="s">
        <v>845</v>
      </c>
      <c r="H300" s="435" t="s">
        <v>845</v>
      </c>
      <c r="I300" s="435" t="s">
        <v>845</v>
      </c>
      <c r="J300" s="435" t="s">
        <v>845</v>
      </c>
      <c r="K300" s="435" t="s">
        <v>845</v>
      </c>
      <c r="L300" s="435" t="s">
        <v>845</v>
      </c>
      <c r="M300" s="435" t="s">
        <v>845</v>
      </c>
      <c r="N300" s="435" t="s">
        <v>845</v>
      </c>
      <c r="O300" s="435" t="s">
        <v>845</v>
      </c>
      <c r="P300" s="435" t="s">
        <v>845</v>
      </c>
      <c r="Q300" s="435" t="s">
        <v>845</v>
      </c>
      <c r="R300" s="435" t="s">
        <v>845</v>
      </c>
      <c r="S300" s="435" t="s">
        <v>845</v>
      </c>
      <c r="T300" s="435" t="s">
        <v>845</v>
      </c>
      <c r="U300" s="435" t="s">
        <v>845</v>
      </c>
      <c r="V300" s="435" t="s">
        <v>845</v>
      </c>
      <c r="W300" s="2"/>
      <c r="X300" s="2"/>
      <c r="Y300" s="2"/>
      <c r="Z300" s="2"/>
      <c r="AA300" s="2"/>
      <c r="AB300" s="2"/>
      <c r="AC300" s="435" t="s">
        <v>844</v>
      </c>
      <c r="AD300" s="435" t="s">
        <v>844</v>
      </c>
      <c r="AE300" s="435" t="s">
        <v>844</v>
      </c>
      <c r="AF300" s="435" t="s">
        <v>844</v>
      </c>
      <c r="AG300" s="435" t="s">
        <v>844</v>
      </c>
      <c r="AH300" s="435" t="s">
        <v>844</v>
      </c>
      <c r="AI300" s="435" t="s">
        <v>844</v>
      </c>
      <c r="AJ300" s="435" t="s">
        <v>844</v>
      </c>
      <c r="AK300" s="435" t="s">
        <v>844</v>
      </c>
      <c r="AL300" s="435" t="s">
        <v>844</v>
      </c>
      <c r="AM300" s="435" t="s">
        <v>844</v>
      </c>
      <c r="AN300" s="435" t="s">
        <v>844</v>
      </c>
      <c r="AO300" s="435" t="s">
        <v>844</v>
      </c>
      <c r="AP300" s="435" t="s">
        <v>844</v>
      </c>
      <c r="AQ300" s="435" t="s">
        <v>844</v>
      </c>
      <c r="AR300" s="435" t="s">
        <v>845</v>
      </c>
      <c r="AS300" s="435" t="s">
        <v>845</v>
      </c>
      <c r="AT300" s="435" t="s">
        <v>853</v>
      </c>
      <c r="AU300" s="435" t="s">
        <v>845</v>
      </c>
      <c r="AV300" s="435" t="s">
        <v>845</v>
      </c>
      <c r="AW300" s="435" t="s">
        <v>845</v>
      </c>
      <c r="AX300" s="435" t="s">
        <v>845</v>
      </c>
      <c r="AY300" s="435" t="s">
        <v>845</v>
      </c>
      <c r="AZ300" s="435" t="s">
        <v>845</v>
      </c>
      <c r="BA300" s="435" t="s">
        <v>845</v>
      </c>
      <c r="BB300" s="435" t="s">
        <v>845</v>
      </c>
      <c r="BC300" s="435" t="s">
        <v>845</v>
      </c>
      <c r="BD300" s="2"/>
      <c r="BE300" s="2"/>
      <c r="BF300" s="2"/>
      <c r="BG300" s="2"/>
      <c r="BH300" s="2"/>
      <c r="BI300" s="2"/>
      <c r="BJ300" s="2"/>
      <c r="BK300" s="2"/>
    </row>
    <row r="301" spans="1:63" ht="11.25" customHeight="1">
      <c r="A301" s="2"/>
      <c r="B301" s="30" t="s">
        <v>132</v>
      </c>
      <c r="C301" s="2"/>
      <c r="D301" s="16">
        <v>310.59699999999998</v>
      </c>
      <c r="E301" s="16">
        <v>310.69900000000001</v>
      </c>
      <c r="F301" s="16">
        <v>356.42599999999999</v>
      </c>
      <c r="G301" s="16">
        <v>361.53300000000002</v>
      </c>
      <c r="H301" s="16">
        <v>362.41</v>
      </c>
      <c r="I301" s="16">
        <v>372.14499999999998</v>
      </c>
      <c r="J301" s="16">
        <v>414.67099999999999</v>
      </c>
      <c r="K301" s="16">
        <v>438.18900000000002</v>
      </c>
      <c r="L301" s="16">
        <v>491.07600000000002</v>
      </c>
      <c r="M301" s="16">
        <v>534.14099999999996</v>
      </c>
      <c r="N301" s="16">
        <v>613.14200000000005</v>
      </c>
      <c r="O301" s="16">
        <v>625.53200000000004</v>
      </c>
      <c r="P301" s="16">
        <v>508.63299999999998</v>
      </c>
      <c r="Q301" s="16">
        <v>480.84100000000001</v>
      </c>
      <c r="R301" s="16">
        <v>546.73299999999995</v>
      </c>
      <c r="S301" s="16">
        <v>625.529</v>
      </c>
      <c r="T301" s="16">
        <v>592.64400000000001</v>
      </c>
      <c r="U301" s="14">
        <v>673.51</v>
      </c>
      <c r="V301" s="14">
        <v>759.69200000000001</v>
      </c>
      <c r="W301" s="14"/>
      <c r="X301" s="14"/>
      <c r="Y301" s="14"/>
      <c r="Z301" s="14"/>
      <c r="AA301" s="14"/>
      <c r="AB301" s="14"/>
      <c r="AC301" s="16">
        <v>43.927</v>
      </c>
      <c r="AD301" s="16">
        <v>50.421999999999997</v>
      </c>
      <c r="AE301" s="16">
        <v>73.066999999999993</v>
      </c>
      <c r="AF301" s="16">
        <v>166.19800000000001</v>
      </c>
      <c r="AG301" s="16">
        <v>125.88500000000001</v>
      </c>
      <c r="AH301" s="16">
        <v>162.30099999999999</v>
      </c>
      <c r="AI301" s="16">
        <v>202.99700000000001</v>
      </c>
      <c r="AJ301" s="16">
        <v>257.21300000000002</v>
      </c>
      <c r="AK301" s="16">
        <v>266.565</v>
      </c>
      <c r="AL301" s="16">
        <v>317.40699999999998</v>
      </c>
      <c r="AM301" s="16">
        <v>322.63</v>
      </c>
      <c r="AN301" s="16">
        <v>333.15800000000002</v>
      </c>
      <c r="AO301" s="16">
        <v>295.74200000000002</v>
      </c>
      <c r="AP301" s="16">
        <v>419.53800000000001</v>
      </c>
      <c r="AQ301" s="326">
        <v>427.08100000000002</v>
      </c>
      <c r="AR301" s="16">
        <v>506.745</v>
      </c>
      <c r="AS301" s="16">
        <v>597.024</v>
      </c>
      <c r="AT301" s="16">
        <v>762.80600000000004</v>
      </c>
      <c r="AU301" s="16">
        <v>843.49699999999996</v>
      </c>
      <c r="AV301" s="16">
        <v>947.93799999999999</v>
      </c>
      <c r="AW301" s="16">
        <v>977.447</v>
      </c>
      <c r="AX301" s="16">
        <v>1031.4739999999999</v>
      </c>
      <c r="AY301" s="16">
        <v>1069.9849999999999</v>
      </c>
      <c r="AZ301" s="16">
        <v>1339.2550000000001</v>
      </c>
      <c r="BA301" s="16">
        <v>1587.415</v>
      </c>
      <c r="BB301" s="16">
        <v>2263.8910000000001</v>
      </c>
      <c r="BC301" s="16">
        <v>2161.7359999999999</v>
      </c>
      <c r="BD301" s="14"/>
      <c r="BE301" s="14"/>
      <c r="BF301" s="2"/>
      <c r="BG301" s="84">
        <f>ROUND(AZ301-SUM(D301:G301),1)</f>
        <v>0</v>
      </c>
      <c r="BH301" s="84">
        <f>ROUND(BA301-SUM(H301:K301),1)</f>
        <v>0</v>
      </c>
      <c r="BI301" s="84">
        <f>ROUND(BB301-SUM(L301:O301),1)</f>
        <v>0</v>
      </c>
      <c r="BJ301" s="84">
        <f>ROUND(BC301-SUM(P301:S301),1)</f>
        <v>0</v>
      </c>
      <c r="BK301" s="84"/>
    </row>
    <row r="302" spans="1:63" ht="13.5" customHeight="1">
      <c r="A302" s="2"/>
      <c r="B302" s="30" t="s">
        <v>122</v>
      </c>
      <c r="C302" s="2"/>
      <c r="D302" s="17">
        <v>-149.82</v>
      </c>
      <c r="E302" s="17">
        <v>-146.07599999999999</v>
      </c>
      <c r="F302" s="17">
        <v>-165.93199999999999</v>
      </c>
      <c r="G302" s="17">
        <v>-166.297</v>
      </c>
      <c r="H302" s="17">
        <v>-172.571</v>
      </c>
      <c r="I302" s="17">
        <v>-185.94800000000001</v>
      </c>
      <c r="J302" s="17">
        <v>-201.92500000000001</v>
      </c>
      <c r="K302" s="17">
        <v>-207.434</v>
      </c>
      <c r="L302" s="17">
        <v>-217.87299999999999</v>
      </c>
      <c r="M302" s="17">
        <v>-218.673</v>
      </c>
      <c r="N302" s="17">
        <v>-242.643</v>
      </c>
      <c r="O302" s="17">
        <v>-236.34700000000001</v>
      </c>
      <c r="P302" s="17">
        <v>-222.13300000000001</v>
      </c>
      <c r="Q302" s="17">
        <v>-220.64099999999999</v>
      </c>
      <c r="R302" s="17">
        <v>-250.09</v>
      </c>
      <c r="S302" s="17">
        <v>-293.76100000000002</v>
      </c>
      <c r="T302" s="17">
        <v>-278.13900000000001</v>
      </c>
      <c r="U302" s="17">
        <v>-315.38499999999999</v>
      </c>
      <c r="V302" s="17">
        <v>-320.34699999999998</v>
      </c>
      <c r="W302" s="53"/>
      <c r="X302" s="53"/>
      <c r="Y302" s="53"/>
      <c r="Z302" s="53"/>
      <c r="AA302" s="53"/>
      <c r="AB302" s="53"/>
      <c r="AC302" s="17">
        <v>-22.841999999999999</v>
      </c>
      <c r="AD302" s="17">
        <v>-31.077000000000002</v>
      </c>
      <c r="AE302" s="17">
        <v>-41.56</v>
      </c>
      <c r="AF302" s="17">
        <v>-89.682000000000002</v>
      </c>
      <c r="AG302" s="17">
        <v>-92.227999999999994</v>
      </c>
      <c r="AH302" s="17">
        <v>-109.988</v>
      </c>
      <c r="AI302" s="17">
        <v>-128.113</v>
      </c>
      <c r="AJ302" s="17">
        <v>-141.39400000000001</v>
      </c>
      <c r="AK302" s="17">
        <v>-148.36199999999999</v>
      </c>
      <c r="AL302" s="17">
        <v>-161.59700000000001</v>
      </c>
      <c r="AM302" s="17">
        <v>-180.28</v>
      </c>
      <c r="AN302" s="17">
        <v>-191.40799999999999</v>
      </c>
      <c r="AO302" s="17">
        <v>-166.41300000000001</v>
      </c>
      <c r="AP302" s="17">
        <v>-212.48400000000001</v>
      </c>
      <c r="AQ302" s="17">
        <v>-233.012</v>
      </c>
      <c r="AR302" s="17">
        <v>-262.608</v>
      </c>
      <c r="AS302" s="17">
        <v>-316.07900000000001</v>
      </c>
      <c r="AT302" s="17">
        <v>-385.084</v>
      </c>
      <c r="AU302" s="17">
        <v>-433.10199999999998</v>
      </c>
      <c r="AV302" s="17">
        <v>-473.10599999999999</v>
      </c>
      <c r="AW302" s="17">
        <v>-482.62099999999998</v>
      </c>
      <c r="AX302" s="17">
        <v>-533.6</v>
      </c>
      <c r="AY302" s="17">
        <v>-577.28300000000002</v>
      </c>
      <c r="AZ302" s="17">
        <v>-628.125</v>
      </c>
      <c r="BA302" s="17">
        <v>-767.87800000000004</v>
      </c>
      <c r="BB302" s="17">
        <v>-915.53599999999994</v>
      </c>
      <c r="BC302" s="17">
        <v>-986.625</v>
      </c>
      <c r="BD302" s="53"/>
      <c r="BE302" s="53"/>
      <c r="BF302" s="2"/>
      <c r="BG302" s="84">
        <f>ROUND(AZ302-SUM(D302:G302),1)</f>
        <v>0</v>
      </c>
      <c r="BH302" s="84">
        <f>ROUND(BA302-SUM(H302:K302),1)</f>
        <v>0</v>
      </c>
      <c r="BI302" s="84">
        <f>ROUND(BB302-SUM(L302:O302),1)</f>
        <v>0</v>
      </c>
      <c r="BJ302" s="84">
        <f>ROUND(BC302-SUM(P302:S302),1)</f>
        <v>0</v>
      </c>
      <c r="BK302" s="84"/>
    </row>
    <row r="303" spans="1:63" ht="11.25" customHeight="1">
      <c r="A303" s="2"/>
      <c r="B303" s="31" t="s">
        <v>137</v>
      </c>
      <c r="C303" s="2"/>
      <c r="D303" s="20">
        <f t="shared" ref="D303:U303" si="960">D301+D302</f>
        <v>160.77699999999999</v>
      </c>
      <c r="E303" s="20">
        <f t="shared" si="960"/>
        <v>164.62300000000002</v>
      </c>
      <c r="F303" s="20">
        <f t="shared" si="960"/>
        <v>190.494</v>
      </c>
      <c r="G303" s="20">
        <f t="shared" si="960"/>
        <v>195.23600000000002</v>
      </c>
      <c r="H303" s="20">
        <f t="shared" si="960"/>
        <v>189.83900000000003</v>
      </c>
      <c r="I303" s="20">
        <f t="shared" si="960"/>
        <v>186.19699999999997</v>
      </c>
      <c r="J303" s="20">
        <f t="shared" si="960"/>
        <v>212.74599999999998</v>
      </c>
      <c r="K303" s="20">
        <f t="shared" si="960"/>
        <v>230.75500000000002</v>
      </c>
      <c r="L303" s="20">
        <f t="shared" si="960"/>
        <v>273.20300000000003</v>
      </c>
      <c r="M303" s="20">
        <f t="shared" si="960"/>
        <v>315.46799999999996</v>
      </c>
      <c r="N303" s="20">
        <f t="shared" si="960"/>
        <v>370.49900000000002</v>
      </c>
      <c r="O303" s="20">
        <f t="shared" si="960"/>
        <v>389.18500000000006</v>
      </c>
      <c r="P303" s="20">
        <f t="shared" si="960"/>
        <v>286.5</v>
      </c>
      <c r="Q303" s="20">
        <f t="shared" si="960"/>
        <v>260.20000000000005</v>
      </c>
      <c r="R303" s="20">
        <f t="shared" si="960"/>
        <v>296.64299999999992</v>
      </c>
      <c r="S303" s="20">
        <f t="shared" si="960"/>
        <v>331.76799999999997</v>
      </c>
      <c r="T303" s="20">
        <f t="shared" si="960"/>
        <v>314.505</v>
      </c>
      <c r="U303" s="20">
        <f t="shared" si="960"/>
        <v>358.125</v>
      </c>
      <c r="V303" s="20">
        <f t="shared" ref="V303" si="961">V301+V302</f>
        <v>439.34500000000003</v>
      </c>
      <c r="W303" s="14"/>
      <c r="X303" s="14"/>
      <c r="Y303" s="14"/>
      <c r="Z303" s="14"/>
      <c r="AA303" s="14"/>
      <c r="AB303" s="14"/>
      <c r="AC303" s="20">
        <f t="shared" ref="AC303:BC303" si="962">AC301+AC302</f>
        <v>21.085000000000001</v>
      </c>
      <c r="AD303" s="20">
        <f t="shared" si="962"/>
        <v>19.344999999999995</v>
      </c>
      <c r="AE303" s="20">
        <f t="shared" si="962"/>
        <v>31.506999999999991</v>
      </c>
      <c r="AF303" s="20">
        <f t="shared" si="962"/>
        <v>76.516000000000005</v>
      </c>
      <c r="AG303" s="20">
        <f t="shared" si="962"/>
        <v>33.657000000000011</v>
      </c>
      <c r="AH303" s="20">
        <f t="shared" si="962"/>
        <v>52.312999999999988</v>
      </c>
      <c r="AI303" s="20">
        <f t="shared" si="962"/>
        <v>74.884000000000015</v>
      </c>
      <c r="AJ303" s="20">
        <f t="shared" si="962"/>
        <v>115.81900000000002</v>
      </c>
      <c r="AK303" s="20">
        <f t="shared" si="962"/>
        <v>118.203</v>
      </c>
      <c r="AL303" s="20">
        <f t="shared" si="962"/>
        <v>155.80999999999997</v>
      </c>
      <c r="AM303" s="20">
        <f t="shared" si="962"/>
        <v>142.35</v>
      </c>
      <c r="AN303" s="20">
        <f t="shared" si="962"/>
        <v>141.75000000000003</v>
      </c>
      <c r="AO303" s="20">
        <f t="shared" si="962"/>
        <v>129.32900000000001</v>
      </c>
      <c r="AP303" s="20">
        <f t="shared" si="962"/>
        <v>207.054</v>
      </c>
      <c r="AQ303" s="20">
        <f t="shared" si="962"/>
        <v>194.06900000000002</v>
      </c>
      <c r="AR303" s="20">
        <f t="shared" si="962"/>
        <v>244.137</v>
      </c>
      <c r="AS303" s="20">
        <f t="shared" si="962"/>
        <v>280.94499999999999</v>
      </c>
      <c r="AT303" s="20">
        <f t="shared" si="962"/>
        <v>377.72200000000004</v>
      </c>
      <c r="AU303" s="20">
        <f t="shared" si="962"/>
        <v>410.39499999999998</v>
      </c>
      <c r="AV303" s="20">
        <f t="shared" si="962"/>
        <v>474.83199999999999</v>
      </c>
      <c r="AW303" s="20">
        <f t="shared" si="962"/>
        <v>494.82600000000002</v>
      </c>
      <c r="AX303" s="20">
        <f t="shared" si="962"/>
        <v>497.87399999999991</v>
      </c>
      <c r="AY303" s="20">
        <f t="shared" si="962"/>
        <v>492.70199999999988</v>
      </c>
      <c r="AZ303" s="20">
        <f t="shared" si="962"/>
        <v>711.13000000000011</v>
      </c>
      <c r="BA303" s="20">
        <f t="shared" si="962"/>
        <v>819.53699999999992</v>
      </c>
      <c r="BB303" s="20">
        <f t="shared" si="962"/>
        <v>1348.355</v>
      </c>
      <c r="BC303" s="20">
        <f t="shared" si="962"/>
        <v>1175.1109999999999</v>
      </c>
      <c r="BD303" s="14"/>
      <c r="BE303" s="14"/>
      <c r="BF303" s="2"/>
      <c r="BG303" s="84">
        <f>ROUND(AZ303-SUM(D303:G303),1)</f>
        <v>0</v>
      </c>
      <c r="BH303" s="84">
        <f>ROUND(BA303-SUM(H303:K303),1)</f>
        <v>0</v>
      </c>
      <c r="BI303" s="84">
        <f>ROUND(BB303-SUM(L303:O303),1)</f>
        <v>0</v>
      </c>
      <c r="BJ303" s="84">
        <f>ROUND(BC303-SUM(P303:S303),1)</f>
        <v>0</v>
      </c>
      <c r="BK303" s="84"/>
    </row>
    <row r="304" spans="1:63" ht="11.25" customHeight="1">
      <c r="A304" s="2"/>
      <c r="B304" s="30"/>
      <c r="C304" s="2"/>
      <c r="D304" s="53"/>
      <c r="E304" s="53"/>
      <c r="F304" s="53"/>
      <c r="G304" s="53"/>
      <c r="H304" s="53"/>
      <c r="I304" s="53"/>
      <c r="J304" s="53"/>
      <c r="K304" s="53"/>
      <c r="L304" s="53"/>
      <c r="M304" s="53"/>
      <c r="N304" s="53"/>
      <c r="O304" s="53"/>
      <c r="P304" s="53"/>
      <c r="Q304" s="53"/>
      <c r="R304" s="53"/>
      <c r="S304" s="53"/>
      <c r="T304" s="53"/>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53"/>
      <c r="AW304" s="53"/>
      <c r="AX304" s="53"/>
      <c r="AY304" s="53"/>
      <c r="AZ304" s="53"/>
      <c r="BA304" s="53"/>
      <c r="BB304" s="53"/>
      <c r="BC304" s="53"/>
      <c r="BD304" s="14"/>
      <c r="BE304" s="14"/>
      <c r="BF304" s="2"/>
      <c r="BG304" s="84"/>
      <c r="BH304" s="84"/>
      <c r="BI304" s="84"/>
      <c r="BJ304" s="84"/>
      <c r="BK304" s="84"/>
    </row>
    <row r="305" spans="1:63" ht="11.25" customHeight="1">
      <c r="A305" s="2"/>
      <c r="B305" s="30" t="s">
        <v>138</v>
      </c>
      <c r="C305" s="2"/>
      <c r="D305" s="16">
        <v>-24.969000000000001</v>
      </c>
      <c r="E305" s="16">
        <v>-24.893000000000001</v>
      </c>
      <c r="F305" s="16">
        <v>-29.684000000000001</v>
      </c>
      <c r="G305" s="16">
        <v>-29.94</v>
      </c>
      <c r="H305" s="16">
        <v>-30.756</v>
      </c>
      <c r="I305" s="16">
        <v>-30.873999999999999</v>
      </c>
      <c r="J305" s="16">
        <v>-30.866</v>
      </c>
      <c r="K305" s="16">
        <v>-32.238999999999997</v>
      </c>
      <c r="L305" s="16">
        <v>-36.048000000000002</v>
      </c>
      <c r="M305" s="16">
        <v>-39.65</v>
      </c>
      <c r="N305" s="16">
        <v>-42.976999999999997</v>
      </c>
      <c r="O305" s="16">
        <v>-44.587000000000003</v>
      </c>
      <c r="P305" s="16">
        <v>-39.156999999999996</v>
      </c>
      <c r="Q305" s="16">
        <v>-41.664999999999999</v>
      </c>
      <c r="R305" s="16">
        <v>-51.137999999999998</v>
      </c>
      <c r="S305" s="16">
        <v>-50.41</v>
      </c>
      <c r="T305" s="16">
        <v>-46.109000000000002</v>
      </c>
      <c r="U305" s="14">
        <v>-48.058</v>
      </c>
      <c r="V305" s="14">
        <v>-52.783000000000001</v>
      </c>
      <c r="W305" s="14"/>
      <c r="X305" s="14"/>
      <c r="Y305" s="14"/>
      <c r="Z305" s="14"/>
      <c r="AA305" s="14"/>
      <c r="AB305" s="14"/>
      <c r="AC305" s="16">
        <v>-2.5059999999999998</v>
      </c>
      <c r="AD305" s="16">
        <v>-3.246</v>
      </c>
      <c r="AE305" s="16">
        <v>-2.391</v>
      </c>
      <c r="AF305" s="16">
        <v>-5.1310000000000002</v>
      </c>
      <c r="AG305" s="16">
        <v>-10.648999999999999</v>
      </c>
      <c r="AH305" s="16">
        <v>-11.725</v>
      </c>
      <c r="AI305" s="16">
        <v>-12.712999999999999</v>
      </c>
      <c r="AJ305" s="16">
        <v>-12.516</v>
      </c>
      <c r="AK305" s="16">
        <v>-14.016999999999999</v>
      </c>
      <c r="AL305" s="16">
        <v>-16.076000000000001</v>
      </c>
      <c r="AM305" s="16">
        <v>-17.946000000000002</v>
      </c>
      <c r="AN305" s="16">
        <v>-21.481000000000002</v>
      </c>
      <c r="AO305" s="16">
        <v>-21.593</v>
      </c>
      <c r="AP305" s="16">
        <v>-29.707000000000001</v>
      </c>
      <c r="AQ305" s="16">
        <v>-33.83</v>
      </c>
      <c r="AR305" s="16">
        <v>-40.383000000000003</v>
      </c>
      <c r="AS305" s="16">
        <v>-48.118000000000002</v>
      </c>
      <c r="AT305" s="16">
        <v>-56.829000000000001</v>
      </c>
      <c r="AU305" s="16">
        <v>-65.545000000000002</v>
      </c>
      <c r="AV305" s="16">
        <v>-71.207999999999998</v>
      </c>
      <c r="AW305" s="16">
        <v>-80.733000000000004</v>
      </c>
      <c r="AX305" s="16">
        <v>-85.894999999999996</v>
      </c>
      <c r="AY305" s="16">
        <v>-91.418999999999997</v>
      </c>
      <c r="AZ305" s="16">
        <v>-109.486</v>
      </c>
      <c r="BA305" s="16">
        <v>-124.735</v>
      </c>
      <c r="BB305" s="16">
        <v>-163.262</v>
      </c>
      <c r="BC305" s="16">
        <v>-182.37</v>
      </c>
      <c r="BD305" s="14"/>
      <c r="BE305" s="14"/>
      <c r="BF305" s="2"/>
      <c r="BG305" s="84"/>
      <c r="BH305" s="84"/>
      <c r="BI305" s="84"/>
      <c r="BJ305" s="84"/>
      <c r="BK305" s="84"/>
    </row>
    <row r="306" spans="1:63" ht="13.5" customHeight="1">
      <c r="A306" s="2"/>
      <c r="B306" s="30" t="s">
        <v>139</v>
      </c>
      <c r="C306" s="2"/>
      <c r="D306" s="17">
        <v>-7.3540000000000001</v>
      </c>
      <c r="E306" s="17">
        <v>-8.6280000000000001</v>
      </c>
      <c r="F306" s="17">
        <v>-11.207000000000001</v>
      </c>
      <c r="G306" s="17">
        <v>-8.3810000000000002</v>
      </c>
      <c r="H306" s="17">
        <v>-8.3559999999999999</v>
      </c>
      <c r="I306" s="17">
        <v>-9.7089999999999996</v>
      </c>
      <c r="J306" s="17">
        <v>-10.784000000000001</v>
      </c>
      <c r="K306" s="17">
        <v>-15.638999999999999</v>
      </c>
      <c r="L306" s="17">
        <v>-12.563000000000001</v>
      </c>
      <c r="M306" s="17">
        <v>-13.725</v>
      </c>
      <c r="N306" s="17">
        <v>-17.209</v>
      </c>
      <c r="O306" s="17">
        <v>-19.949000000000002</v>
      </c>
      <c r="P306" s="17">
        <v>-16.152000000000001</v>
      </c>
      <c r="Q306" s="17">
        <v>-16.53</v>
      </c>
      <c r="R306" s="17">
        <v>-17.571000000000002</v>
      </c>
      <c r="S306" s="17">
        <v>-21.210999999999999</v>
      </c>
      <c r="T306" s="17">
        <v>-19.248000000000001</v>
      </c>
      <c r="U306" s="15">
        <v>-22.238</v>
      </c>
      <c r="V306" s="15">
        <v>-26.295000000000002</v>
      </c>
      <c r="W306" s="15"/>
      <c r="X306" s="15"/>
      <c r="Y306" s="15"/>
      <c r="Z306" s="15"/>
      <c r="AA306" s="15"/>
      <c r="AB306" s="15"/>
      <c r="AC306" s="17">
        <v>-3.6509999999999998</v>
      </c>
      <c r="AD306" s="17">
        <v>-2.2909999999999999</v>
      </c>
      <c r="AE306" s="17">
        <v>-4.2859999999999996</v>
      </c>
      <c r="AF306" s="17">
        <v>-10.09</v>
      </c>
      <c r="AG306" s="17">
        <v>-10.23</v>
      </c>
      <c r="AH306" s="17">
        <v>-8.9990000000000006</v>
      </c>
      <c r="AI306" s="17">
        <v>-10.87</v>
      </c>
      <c r="AJ306" s="17">
        <v>-14.821</v>
      </c>
      <c r="AK306" s="17">
        <v>-13.218</v>
      </c>
      <c r="AL306" s="17">
        <v>-12.468999999999999</v>
      </c>
      <c r="AM306" s="17">
        <v>-12.682</v>
      </c>
      <c r="AN306" s="17">
        <v>-15.834</v>
      </c>
      <c r="AO306" s="17">
        <v>-15.773999999999999</v>
      </c>
      <c r="AP306" s="17">
        <v>-18.172000000000001</v>
      </c>
      <c r="AQ306" s="17">
        <v>-18.681999999999999</v>
      </c>
      <c r="AR306" s="17">
        <v>-22.128</v>
      </c>
      <c r="AS306" s="17">
        <v>-23.445</v>
      </c>
      <c r="AT306" s="17">
        <v>-24.021000000000001</v>
      </c>
      <c r="AU306" s="17">
        <v>-22.922000000000001</v>
      </c>
      <c r="AV306" s="17">
        <v>-25.696000000000002</v>
      </c>
      <c r="AW306" s="17">
        <v>-27.169</v>
      </c>
      <c r="AX306" s="17">
        <v>-26.254000000000001</v>
      </c>
      <c r="AY306" s="17">
        <v>-28.085999999999999</v>
      </c>
      <c r="AZ306" s="17">
        <v>-35.57</v>
      </c>
      <c r="BA306" s="17">
        <v>-44.488</v>
      </c>
      <c r="BB306" s="17">
        <v>-63.445999999999998</v>
      </c>
      <c r="BC306" s="17">
        <v>-71.463999999999999</v>
      </c>
      <c r="BD306" s="15"/>
      <c r="BE306" s="15"/>
      <c r="BF306" s="2"/>
      <c r="BG306" s="84">
        <f t="shared" ref="BG306:BG311" si="963">ROUND(AZ306-SUM(D306:G306),1)</f>
        <v>0</v>
      </c>
      <c r="BH306" s="84">
        <f t="shared" ref="BH306:BH311" si="964">ROUND(BA306-SUM(H306:K306),1)</f>
        <v>0</v>
      </c>
      <c r="BI306" s="84">
        <f t="shared" ref="BI306:BI311" si="965">ROUND(BB306-SUM(L306:O306),1)</f>
        <v>0</v>
      </c>
      <c r="BJ306" s="84">
        <f t="shared" ref="BJ306:BJ311" si="966">ROUND(BC306-SUM(P306:S306),1)</f>
        <v>0</v>
      </c>
      <c r="BK306" s="84"/>
    </row>
    <row r="307" spans="1:63" s="54" customFormat="1" ht="11.25" customHeight="1">
      <c r="A307" s="18"/>
      <c r="B307" s="31" t="s">
        <v>124</v>
      </c>
      <c r="C307" s="18"/>
      <c r="D307" s="20">
        <f>SUM(D305:D306)</f>
        <v>-32.323</v>
      </c>
      <c r="E307" s="20">
        <f t="shared" ref="E307:U307" si="967">SUM(E305:E306)</f>
        <v>-33.521000000000001</v>
      </c>
      <c r="F307" s="20">
        <f t="shared" si="967"/>
        <v>-40.891000000000005</v>
      </c>
      <c r="G307" s="20">
        <f t="shared" si="967"/>
        <v>-38.320999999999998</v>
      </c>
      <c r="H307" s="20">
        <f t="shared" si="967"/>
        <v>-39.112000000000002</v>
      </c>
      <c r="I307" s="20">
        <f t="shared" si="967"/>
        <v>-40.582999999999998</v>
      </c>
      <c r="J307" s="20">
        <f t="shared" si="967"/>
        <v>-41.65</v>
      </c>
      <c r="K307" s="20">
        <f t="shared" si="967"/>
        <v>-47.878</v>
      </c>
      <c r="L307" s="20">
        <f t="shared" si="967"/>
        <v>-48.611000000000004</v>
      </c>
      <c r="M307" s="20">
        <f t="shared" si="967"/>
        <v>-53.375</v>
      </c>
      <c r="N307" s="20">
        <f t="shared" si="967"/>
        <v>-60.185999999999993</v>
      </c>
      <c r="O307" s="20">
        <f t="shared" si="967"/>
        <v>-64.536000000000001</v>
      </c>
      <c r="P307" s="20">
        <f t="shared" si="967"/>
        <v>-55.308999999999997</v>
      </c>
      <c r="Q307" s="20">
        <f t="shared" si="967"/>
        <v>-58.195</v>
      </c>
      <c r="R307" s="20">
        <f t="shared" si="967"/>
        <v>-68.709000000000003</v>
      </c>
      <c r="S307" s="20">
        <f t="shared" si="967"/>
        <v>-71.620999999999995</v>
      </c>
      <c r="T307" s="20">
        <f t="shared" si="967"/>
        <v>-65.356999999999999</v>
      </c>
      <c r="U307" s="20">
        <f t="shared" si="967"/>
        <v>-70.295999999999992</v>
      </c>
      <c r="V307" s="20">
        <f t="shared" ref="V307" si="968">SUM(V305:V306)</f>
        <v>-79.078000000000003</v>
      </c>
      <c r="W307" s="20"/>
      <c r="X307" s="20"/>
      <c r="Y307" s="20"/>
      <c r="Z307" s="20"/>
      <c r="AA307" s="20"/>
      <c r="AB307" s="20"/>
      <c r="AC307" s="20">
        <f t="shared" ref="AC307" si="969">SUM(AC305:AC306)</f>
        <v>-6.157</v>
      </c>
      <c r="AD307" s="20">
        <f t="shared" ref="AD307" si="970">SUM(AD305:AD306)</f>
        <v>-5.5369999999999999</v>
      </c>
      <c r="AE307" s="20">
        <f t="shared" ref="AE307" si="971">SUM(AE305:AE306)</f>
        <v>-6.6769999999999996</v>
      </c>
      <c r="AF307" s="20">
        <f t="shared" ref="AF307" si="972">SUM(AF305:AF306)</f>
        <v>-15.221</v>
      </c>
      <c r="AG307" s="20">
        <f t="shared" ref="AG307" si="973">SUM(AG305:AG306)</f>
        <v>-20.878999999999998</v>
      </c>
      <c r="AH307" s="20">
        <f t="shared" ref="AH307" si="974">SUM(AH305:AH306)</f>
        <v>-20.724</v>
      </c>
      <c r="AI307" s="20">
        <f t="shared" ref="AI307" si="975">SUM(AI305:AI306)</f>
        <v>-23.582999999999998</v>
      </c>
      <c r="AJ307" s="20">
        <f t="shared" ref="AJ307" si="976">SUM(AJ305:AJ306)</f>
        <v>-27.337</v>
      </c>
      <c r="AK307" s="20">
        <f t="shared" ref="AK307" si="977">SUM(AK305:AK306)</f>
        <v>-27.234999999999999</v>
      </c>
      <c r="AL307" s="20">
        <f t="shared" ref="AL307" si="978">SUM(AL305:AL306)</f>
        <v>-28.545000000000002</v>
      </c>
      <c r="AM307" s="20">
        <f t="shared" ref="AM307" si="979">SUM(AM305:AM306)</f>
        <v>-30.628</v>
      </c>
      <c r="AN307" s="20">
        <f t="shared" ref="AN307" si="980">SUM(AN305:AN306)</f>
        <v>-37.314999999999998</v>
      </c>
      <c r="AO307" s="20">
        <f t="shared" ref="AO307" si="981">SUM(AO305:AO306)</f>
        <v>-37.366999999999997</v>
      </c>
      <c r="AP307" s="20">
        <f t="shared" ref="AP307" si="982">SUM(AP305:AP306)</f>
        <v>-47.879000000000005</v>
      </c>
      <c r="AQ307" s="20">
        <f t="shared" ref="AQ307" si="983">SUM(AQ305:AQ306)</f>
        <v>-52.512</v>
      </c>
      <c r="AR307" s="20">
        <f t="shared" ref="AR307" si="984">SUM(AR305:AR306)</f>
        <v>-62.511000000000003</v>
      </c>
      <c r="AS307" s="20">
        <f t="shared" ref="AS307" si="985">SUM(AS305:AS306)</f>
        <v>-71.563000000000002</v>
      </c>
      <c r="AT307" s="20">
        <f t="shared" ref="AT307" si="986">SUM(AT305:AT306)</f>
        <v>-80.849999999999994</v>
      </c>
      <c r="AU307" s="20">
        <f t="shared" ref="AU307" si="987">SUM(AU305:AU306)</f>
        <v>-88.466999999999999</v>
      </c>
      <c r="AV307" s="20">
        <f t="shared" ref="AV307" si="988">SUM(AV305:AV306)</f>
        <v>-96.903999999999996</v>
      </c>
      <c r="AW307" s="20">
        <f t="shared" ref="AW307" si="989">SUM(AW305:AW306)</f>
        <v>-107.902</v>
      </c>
      <c r="AX307" s="20">
        <f t="shared" ref="AX307" si="990">SUM(AX305:AX306)</f>
        <v>-112.149</v>
      </c>
      <c r="AY307" s="20">
        <f t="shared" ref="AY307" si="991">SUM(AY305:AY306)</f>
        <v>-119.505</v>
      </c>
      <c r="AZ307" s="20">
        <f t="shared" ref="AZ307" si="992">SUM(AZ305:AZ306)</f>
        <v>-145.05600000000001</v>
      </c>
      <c r="BA307" s="20">
        <f t="shared" ref="BA307" si="993">SUM(BA305:BA306)</f>
        <v>-169.22300000000001</v>
      </c>
      <c r="BB307" s="20">
        <f t="shared" ref="BB307" si="994">SUM(BB305:BB306)</f>
        <v>-226.708</v>
      </c>
      <c r="BC307" s="20">
        <f t="shared" ref="BC307" si="995">SUM(BC305:BC306)</f>
        <v>-253.834</v>
      </c>
      <c r="BD307" s="20"/>
      <c r="BE307" s="20"/>
      <c r="BF307" s="18"/>
      <c r="BG307" s="162">
        <f t="shared" si="963"/>
        <v>0</v>
      </c>
      <c r="BH307" s="162">
        <f t="shared" si="964"/>
        <v>0</v>
      </c>
      <c r="BI307" s="162">
        <f t="shared" si="965"/>
        <v>0</v>
      </c>
      <c r="BJ307" s="162">
        <f t="shared" si="966"/>
        <v>0</v>
      </c>
      <c r="BK307" s="162"/>
    </row>
    <row r="308" spans="1:63" ht="13.5" customHeight="1">
      <c r="A308" s="2"/>
      <c r="B308" s="30" t="s">
        <v>133</v>
      </c>
      <c r="C308" s="2"/>
      <c r="D308" s="17">
        <v>6.8000000000000005E-2</v>
      </c>
      <c r="E308" s="17">
        <v>-8.0000000000000002E-3</v>
      </c>
      <c r="F308" s="17">
        <v>0.44500000000000001</v>
      </c>
      <c r="G308" s="17">
        <v>0.20499999999999999</v>
      </c>
      <c r="H308" s="17">
        <v>-0.189</v>
      </c>
      <c r="I308" s="17">
        <v>5.2999999999999999E-2</v>
      </c>
      <c r="J308" s="17">
        <v>-9.1999999999999998E-2</v>
      </c>
      <c r="K308" s="17">
        <v>-0.105</v>
      </c>
      <c r="L308" s="17">
        <v>-0.80200000000000005</v>
      </c>
      <c r="M308" s="17">
        <v>3.1E-2</v>
      </c>
      <c r="N308" s="17">
        <v>1.0999999999999999E-2</v>
      </c>
      <c r="O308" s="17">
        <v>0.39200000000000002</v>
      </c>
      <c r="P308" s="17">
        <v>4.7E-2</v>
      </c>
      <c r="Q308" s="17">
        <v>-4.7E-2</v>
      </c>
      <c r="R308" s="17">
        <v>0.13100000000000001</v>
      </c>
      <c r="S308" s="17">
        <v>5.8000000000000003E-2</v>
      </c>
      <c r="T308" s="17">
        <v>-0.13</v>
      </c>
      <c r="U308" s="15">
        <v>-1.2729999999999999</v>
      </c>
      <c r="V308" s="15">
        <v>0.499</v>
      </c>
      <c r="W308" s="91"/>
      <c r="X308" s="91"/>
      <c r="Y308" s="91"/>
      <c r="Z308" s="91"/>
      <c r="AA308" s="91"/>
      <c r="AB308" s="91"/>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-0.44900000000000001</v>
      </c>
      <c r="AS308" s="17">
        <v>4.7E-2</v>
      </c>
      <c r="AT308" s="17">
        <v>-1.002</v>
      </c>
      <c r="AU308" s="17">
        <v>-1.88</v>
      </c>
      <c r="AV308" s="17">
        <v>0.03</v>
      </c>
      <c r="AW308" s="17">
        <v>-1.365</v>
      </c>
      <c r="AX308" s="17">
        <v>-2.101</v>
      </c>
      <c r="AY308" s="17">
        <v>-0.496</v>
      </c>
      <c r="AZ308" s="17">
        <v>0.71</v>
      </c>
      <c r="BA308" s="17">
        <v>-0.33300000000000002</v>
      </c>
      <c r="BB308" s="17">
        <v>-0.36799999999999999</v>
      </c>
      <c r="BC308" s="17">
        <v>0.189</v>
      </c>
      <c r="BD308" s="53"/>
      <c r="BE308" s="53"/>
      <c r="BF308" s="2"/>
      <c r="BG308" s="84">
        <f t="shared" si="963"/>
        <v>0</v>
      </c>
      <c r="BH308" s="84">
        <f t="shared" si="964"/>
        <v>0</v>
      </c>
      <c r="BI308" s="84">
        <f t="shared" si="965"/>
        <v>0</v>
      </c>
      <c r="BJ308" s="84">
        <f t="shared" si="966"/>
        <v>0</v>
      </c>
      <c r="BK308" s="84"/>
    </row>
    <row r="309" spans="1:63" ht="11.25" customHeight="1">
      <c r="A309" s="2"/>
      <c r="B309" s="31" t="s">
        <v>140</v>
      </c>
      <c r="C309" s="2"/>
      <c r="D309" s="20">
        <f t="shared" ref="D309:U309" si="996">D303+D307+D308</f>
        <v>128.52199999999999</v>
      </c>
      <c r="E309" s="20">
        <f t="shared" si="996"/>
        <v>131.09400000000002</v>
      </c>
      <c r="F309" s="20">
        <f t="shared" si="996"/>
        <v>150.048</v>
      </c>
      <c r="G309" s="20">
        <f t="shared" si="996"/>
        <v>157.12000000000003</v>
      </c>
      <c r="H309" s="20">
        <f t="shared" si="996"/>
        <v>150.53800000000004</v>
      </c>
      <c r="I309" s="20">
        <f t="shared" si="996"/>
        <v>145.66699999999997</v>
      </c>
      <c r="J309" s="20">
        <f t="shared" si="996"/>
        <v>171.00399999999996</v>
      </c>
      <c r="K309" s="20">
        <f t="shared" si="996"/>
        <v>182.77200000000002</v>
      </c>
      <c r="L309" s="20">
        <f t="shared" si="996"/>
        <v>223.79000000000005</v>
      </c>
      <c r="M309" s="20">
        <f t="shared" si="996"/>
        <v>262.12399999999997</v>
      </c>
      <c r="N309" s="20">
        <f t="shared" si="996"/>
        <v>310.32400000000007</v>
      </c>
      <c r="O309" s="20">
        <f t="shared" si="996"/>
        <v>325.04100000000005</v>
      </c>
      <c r="P309" s="20">
        <f t="shared" si="996"/>
        <v>231.238</v>
      </c>
      <c r="Q309" s="20">
        <f t="shared" si="996"/>
        <v>201.95800000000006</v>
      </c>
      <c r="R309" s="20">
        <f t="shared" si="996"/>
        <v>228.06499999999991</v>
      </c>
      <c r="S309" s="20">
        <f t="shared" si="996"/>
        <v>260.20499999999998</v>
      </c>
      <c r="T309" s="20">
        <f t="shared" si="996"/>
        <v>249.018</v>
      </c>
      <c r="U309" s="20">
        <f t="shared" si="996"/>
        <v>286.55599999999998</v>
      </c>
      <c r="V309" s="20">
        <f t="shared" ref="V309" si="997">V303+V307+V308</f>
        <v>360.76600000000008</v>
      </c>
      <c r="W309" s="217"/>
      <c r="X309" s="217"/>
      <c r="Y309" s="217"/>
      <c r="Z309" s="217"/>
      <c r="AA309" s="217"/>
      <c r="AB309" s="16"/>
      <c r="AC309" s="20">
        <f t="shared" ref="AC309:BC309" si="998">AC303+AC307+AC308</f>
        <v>14.928000000000001</v>
      </c>
      <c r="AD309" s="20">
        <f t="shared" si="998"/>
        <v>13.807999999999996</v>
      </c>
      <c r="AE309" s="20">
        <f t="shared" si="998"/>
        <v>24.829999999999991</v>
      </c>
      <c r="AF309" s="20">
        <f t="shared" si="998"/>
        <v>61.295000000000002</v>
      </c>
      <c r="AG309" s="20">
        <f t="shared" si="998"/>
        <v>12.778000000000013</v>
      </c>
      <c r="AH309" s="20">
        <f t="shared" si="998"/>
        <v>31.588999999999988</v>
      </c>
      <c r="AI309" s="20">
        <f t="shared" si="998"/>
        <v>51.301000000000016</v>
      </c>
      <c r="AJ309" s="20">
        <f t="shared" si="998"/>
        <v>88.482000000000014</v>
      </c>
      <c r="AK309" s="20">
        <f t="shared" si="998"/>
        <v>90.968000000000004</v>
      </c>
      <c r="AL309" s="20">
        <f t="shared" si="998"/>
        <v>127.26499999999997</v>
      </c>
      <c r="AM309" s="20">
        <f t="shared" si="998"/>
        <v>111.72199999999999</v>
      </c>
      <c r="AN309" s="20">
        <f t="shared" si="998"/>
        <v>104.43500000000003</v>
      </c>
      <c r="AO309" s="20">
        <f t="shared" si="998"/>
        <v>91.962000000000018</v>
      </c>
      <c r="AP309" s="20">
        <f t="shared" si="998"/>
        <v>159.17500000000001</v>
      </c>
      <c r="AQ309" s="20">
        <f t="shared" si="998"/>
        <v>141.55700000000002</v>
      </c>
      <c r="AR309" s="20">
        <f t="shared" si="998"/>
        <v>181.17699999999999</v>
      </c>
      <c r="AS309" s="20">
        <f t="shared" si="998"/>
        <v>209.429</v>
      </c>
      <c r="AT309" s="20">
        <f t="shared" si="998"/>
        <v>295.87000000000006</v>
      </c>
      <c r="AU309" s="20">
        <f t="shared" si="998"/>
        <v>320.048</v>
      </c>
      <c r="AV309" s="20">
        <f t="shared" si="998"/>
        <v>377.95799999999997</v>
      </c>
      <c r="AW309" s="20">
        <f t="shared" si="998"/>
        <v>385.55900000000003</v>
      </c>
      <c r="AX309" s="20">
        <f t="shared" si="998"/>
        <v>383.62399999999991</v>
      </c>
      <c r="AY309" s="20">
        <f t="shared" si="998"/>
        <v>372.70099999999991</v>
      </c>
      <c r="AZ309" s="20">
        <f t="shared" si="998"/>
        <v>566.78400000000011</v>
      </c>
      <c r="BA309" s="20">
        <f t="shared" si="998"/>
        <v>649.98099999999988</v>
      </c>
      <c r="BB309" s="20">
        <f t="shared" si="998"/>
        <v>1121.279</v>
      </c>
      <c r="BC309" s="20">
        <f t="shared" si="998"/>
        <v>921.46599999999978</v>
      </c>
      <c r="BD309" s="56"/>
      <c r="BE309" s="56"/>
      <c r="BF309" s="2"/>
      <c r="BG309" s="84">
        <f t="shared" si="963"/>
        <v>0</v>
      </c>
      <c r="BH309" s="84">
        <f t="shared" si="964"/>
        <v>0</v>
      </c>
      <c r="BI309" s="84">
        <f t="shared" si="965"/>
        <v>0</v>
      </c>
      <c r="BJ309" s="84">
        <f t="shared" si="966"/>
        <v>0</v>
      </c>
      <c r="BK309" s="84"/>
    </row>
    <row r="310" spans="1:63" ht="11.25" customHeight="1">
      <c r="A310" s="2"/>
      <c r="B310" s="30"/>
      <c r="C310" s="2"/>
      <c r="D310" s="57"/>
      <c r="E310" s="57"/>
      <c r="F310" s="57"/>
      <c r="G310" s="57"/>
      <c r="H310" s="57"/>
      <c r="I310" s="57"/>
      <c r="J310" s="57"/>
      <c r="K310" s="57"/>
      <c r="L310" s="57"/>
      <c r="M310" s="57"/>
      <c r="N310" s="57"/>
      <c r="O310" s="57"/>
      <c r="P310" s="57"/>
      <c r="Q310" s="57"/>
      <c r="R310" s="57"/>
      <c r="S310" s="57"/>
      <c r="T310" s="57"/>
      <c r="U310" s="217"/>
      <c r="V310" s="217"/>
      <c r="W310" s="217"/>
      <c r="X310" s="217"/>
      <c r="Y310" s="217"/>
      <c r="Z310" s="217"/>
      <c r="AA310" s="217"/>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9"/>
      <c r="BE310" s="19"/>
      <c r="BF310" s="2"/>
      <c r="BG310" s="84">
        <f t="shared" si="963"/>
        <v>0</v>
      </c>
      <c r="BH310" s="84">
        <f t="shared" si="964"/>
        <v>0</v>
      </c>
      <c r="BI310" s="84">
        <f t="shared" si="965"/>
        <v>0</v>
      </c>
      <c r="BJ310" s="84">
        <f t="shared" si="966"/>
        <v>0</v>
      </c>
      <c r="BK310" s="84"/>
    </row>
    <row r="311" spans="1:63" ht="11.25" customHeight="1">
      <c r="A311" s="2"/>
      <c r="B311" s="30" t="s">
        <v>141</v>
      </c>
      <c r="C311" s="2"/>
      <c r="D311" s="16">
        <v>0.72599999999999998</v>
      </c>
      <c r="E311" s="16">
        <v>0.67900000000000005</v>
      </c>
      <c r="F311" s="16">
        <v>0.83299999999999996</v>
      </c>
      <c r="G311" s="16">
        <v>1.355</v>
      </c>
      <c r="H311" s="16">
        <v>1.2669999999999999</v>
      </c>
      <c r="I311" s="16">
        <v>1.1719999999999999</v>
      </c>
      <c r="J311" s="16">
        <v>1.5129999999999999</v>
      </c>
      <c r="K311" s="16">
        <v>1.651</v>
      </c>
      <c r="L311" s="16">
        <v>1.726</v>
      </c>
      <c r="M311" s="16">
        <v>2.2570000000000001</v>
      </c>
      <c r="N311" s="16">
        <v>2.0779999999999998</v>
      </c>
      <c r="O311" s="16">
        <v>1.738</v>
      </c>
      <c r="P311" s="16">
        <v>1.0389999999999999</v>
      </c>
      <c r="Q311" s="16">
        <v>1.1339999999999999</v>
      </c>
      <c r="R311" s="16">
        <v>1.167</v>
      </c>
      <c r="S311" s="16">
        <v>1.3149999999999999</v>
      </c>
      <c r="T311" s="16">
        <v>0.878</v>
      </c>
      <c r="U311" s="14">
        <v>1.1519999999999999</v>
      </c>
      <c r="V311" s="14">
        <v>1.5609999999999999</v>
      </c>
      <c r="W311" s="14"/>
      <c r="X311" s="14"/>
      <c r="Y311" s="14"/>
      <c r="Z311" s="14"/>
      <c r="AA311" s="14"/>
      <c r="AB311" s="14"/>
      <c r="AC311" s="16">
        <v>-6.4000000000000001E-2</v>
      </c>
      <c r="AD311" s="16">
        <v>-1.4</v>
      </c>
      <c r="AE311" s="16">
        <v>-0.28899999999999998</v>
      </c>
      <c r="AF311" s="16">
        <v>-0.187</v>
      </c>
      <c r="AG311" s="16">
        <v>-3.9590000000000001</v>
      </c>
      <c r="AH311" s="16">
        <v>-1.9770000000000001</v>
      </c>
      <c r="AI311" s="16">
        <v>-0.29399999999999998</v>
      </c>
      <c r="AJ311" s="16">
        <v>2.0939999999999999</v>
      </c>
      <c r="AK311" s="16">
        <v>1.4339999999999999</v>
      </c>
      <c r="AL311" s="16">
        <v>2.347</v>
      </c>
      <c r="AM311" s="16">
        <v>2.508</v>
      </c>
      <c r="AN311" s="16">
        <v>0.70199999999999996</v>
      </c>
      <c r="AO311" s="16">
        <v>4.5999999999999999E-2</v>
      </c>
      <c r="AP311" s="16">
        <v>2.298</v>
      </c>
      <c r="AQ311" s="16">
        <v>0.89800000000000002</v>
      </c>
      <c r="AR311" s="16">
        <v>2.073</v>
      </c>
      <c r="AS311" s="16">
        <v>3.972</v>
      </c>
      <c r="AT311" s="16">
        <v>3.9510000000000001</v>
      </c>
      <c r="AU311" s="16">
        <v>4.1319999999999997</v>
      </c>
      <c r="AV311" s="16">
        <v>3.4950000000000001</v>
      </c>
      <c r="AW311" s="16">
        <v>2.9860000000000002</v>
      </c>
      <c r="AX311" s="16">
        <v>3.0579999999999998</v>
      </c>
      <c r="AY311" s="16">
        <v>2.8439999999999999</v>
      </c>
      <c r="AZ311" s="16">
        <v>3.593</v>
      </c>
      <c r="BA311" s="16">
        <v>5.6029999999999998</v>
      </c>
      <c r="BB311" s="16">
        <v>7.7990000000000004</v>
      </c>
      <c r="BC311" s="16">
        <v>4.6550000000000002</v>
      </c>
      <c r="BD311" s="53"/>
      <c r="BE311" s="53"/>
      <c r="BF311" s="2"/>
      <c r="BG311" s="84">
        <f t="shared" si="963"/>
        <v>0</v>
      </c>
      <c r="BH311" s="84">
        <f t="shared" si="964"/>
        <v>0</v>
      </c>
      <c r="BI311" s="84">
        <f t="shared" si="965"/>
        <v>0</v>
      </c>
      <c r="BJ311" s="84">
        <f t="shared" si="966"/>
        <v>0</v>
      </c>
      <c r="BK311" s="84"/>
    </row>
    <row r="312" spans="1:63" ht="11.25" customHeight="1">
      <c r="A312" s="2"/>
      <c r="B312" s="30" t="s">
        <v>142</v>
      </c>
      <c r="C312" s="2"/>
      <c r="D312" s="16">
        <v>2.4580000000000002</v>
      </c>
      <c r="E312" s="16">
        <v>2.0699999999999998</v>
      </c>
      <c r="F312" s="16">
        <v>1.524</v>
      </c>
      <c r="G312" s="16">
        <v>0.88500000000000001</v>
      </c>
      <c r="H312" s="16">
        <v>0.68899999999999995</v>
      </c>
      <c r="I312" s="16">
        <v>0.29399999999999998</v>
      </c>
      <c r="J312" s="16">
        <v>2.3E-2</v>
      </c>
      <c r="K312" s="16">
        <v>-0.71199999999999997</v>
      </c>
      <c r="L312" s="16">
        <v>-0.46700000000000003</v>
      </c>
      <c r="M312" s="16">
        <v>0.64200000000000002</v>
      </c>
      <c r="N312" s="16">
        <v>3.2450000000000001</v>
      </c>
      <c r="O312" s="16">
        <v>7.2519999999999998</v>
      </c>
      <c r="P312" s="16">
        <v>10.654</v>
      </c>
      <c r="Q312" s="16">
        <v>10.667</v>
      </c>
      <c r="R312" s="16">
        <v>12.483000000000001</v>
      </c>
      <c r="S312" s="16">
        <v>14.49</v>
      </c>
      <c r="T312" s="16">
        <v>16.661000000000001</v>
      </c>
      <c r="U312" s="14">
        <v>18.341000000000001</v>
      </c>
      <c r="V312" s="14">
        <v>19.966000000000001</v>
      </c>
      <c r="W312" s="14"/>
      <c r="X312" s="14"/>
      <c r="Y312" s="14"/>
      <c r="Z312" s="14"/>
      <c r="AA312" s="14"/>
      <c r="AB312" s="14"/>
      <c r="AC312" s="239">
        <v>-4.505600000000004E-2</v>
      </c>
      <c r="AD312" s="16">
        <v>-0.41536799999999996</v>
      </c>
      <c r="AE312" s="16">
        <v>-0.60691100000000009</v>
      </c>
      <c r="AF312" s="239">
        <v>-0.28273700000000007</v>
      </c>
      <c r="AG312" s="239">
        <v>-0.58591099999999985</v>
      </c>
      <c r="AH312" s="239">
        <v>-1.111788</v>
      </c>
      <c r="AI312" s="239">
        <v>-0.75696600000000014</v>
      </c>
      <c r="AJ312" s="239">
        <v>0.40960900000000017</v>
      </c>
      <c r="AK312" s="239">
        <v>0.34040999999999938</v>
      </c>
      <c r="AL312" s="239">
        <v>3.6509999999999998</v>
      </c>
      <c r="AM312" s="239">
        <v>4.8094580000000002</v>
      </c>
      <c r="AN312" s="239">
        <v>4.7588350000000004</v>
      </c>
      <c r="AO312" s="239">
        <v>2.2094459999999998</v>
      </c>
      <c r="AP312" s="239">
        <v>1.2398370000000001</v>
      </c>
      <c r="AQ312" s="239">
        <v>0.85278899999999991</v>
      </c>
      <c r="AR312" s="16">
        <v>0.624614</v>
      </c>
      <c r="AS312" s="16">
        <v>-0.81100000000000005</v>
      </c>
      <c r="AT312" s="16">
        <v>-0.50600000000000001</v>
      </c>
      <c r="AU312" s="16">
        <v>0.93899999999999995</v>
      </c>
      <c r="AV312" s="16">
        <v>3.0110000000000001</v>
      </c>
      <c r="AW312" s="16">
        <v>6.1340000000000003</v>
      </c>
      <c r="AX312" s="16">
        <v>11.643000000000001</v>
      </c>
      <c r="AY312" s="16">
        <v>12.939</v>
      </c>
      <c r="AZ312" s="16">
        <v>6.9370000000000003</v>
      </c>
      <c r="BA312" s="16">
        <v>0.29399999999999998</v>
      </c>
      <c r="BB312" s="16">
        <v>10.672000000000001</v>
      </c>
      <c r="BC312" s="16">
        <v>48.293999999999997</v>
      </c>
      <c r="BD312" s="19"/>
      <c r="BE312" s="19"/>
      <c r="BF312" s="2"/>
      <c r="BG312" s="2"/>
      <c r="BH312" s="2"/>
      <c r="BI312" s="2"/>
      <c r="BJ312" s="2"/>
      <c r="BK312" s="2"/>
    </row>
    <row r="313" spans="1:63" ht="13.5" customHeight="1">
      <c r="A313" s="2"/>
      <c r="B313" s="30" t="s">
        <v>143</v>
      </c>
      <c r="C313" s="2"/>
      <c r="D313" s="17">
        <v>0.441</v>
      </c>
      <c r="E313" s="17">
        <v>2.556</v>
      </c>
      <c r="F313" s="17">
        <v>2.7189999999999999</v>
      </c>
      <c r="G313" s="17">
        <v>1.7470000000000001</v>
      </c>
      <c r="H313" s="17">
        <v>2.57</v>
      </c>
      <c r="I313" s="17">
        <v>2.258</v>
      </c>
      <c r="J313" s="17">
        <v>1.3120000000000001</v>
      </c>
      <c r="K313" s="17">
        <v>1.1080000000000001</v>
      </c>
      <c r="L313" s="17">
        <v>1.7829999999999999</v>
      </c>
      <c r="M313" s="17">
        <v>0.97499999999999998</v>
      </c>
      <c r="N313" s="17">
        <v>1.044</v>
      </c>
      <c r="O313" s="17">
        <v>0.63900000000000001</v>
      </c>
      <c r="P313" s="17">
        <v>1.3440000000000001</v>
      </c>
      <c r="Q313" s="17">
        <v>0.91600000000000004</v>
      </c>
      <c r="R313" s="17">
        <v>0.22500000000000001</v>
      </c>
      <c r="S313" s="17">
        <v>2.2709999999999999</v>
      </c>
      <c r="T313" s="17">
        <v>-1.4E-2</v>
      </c>
      <c r="U313" s="15">
        <v>0.26200000000000001</v>
      </c>
      <c r="V313" s="15">
        <v>1.8939999999999999</v>
      </c>
      <c r="W313" s="14"/>
      <c r="X313" s="14"/>
      <c r="Y313" s="14"/>
      <c r="Z313" s="14"/>
      <c r="AA313" s="14"/>
      <c r="AB313" s="14"/>
      <c r="AC313" s="509">
        <f>AC314-AC312-AC311</f>
        <v>0.50905600000000006</v>
      </c>
      <c r="AD313" s="509">
        <f>AD314-AD312-AD311</f>
        <v>0.67136799999999996</v>
      </c>
      <c r="AE313" s="509">
        <f>AE314-AE312-AE311</f>
        <v>-0.27708899999999997</v>
      </c>
      <c r="AF313" s="509">
        <f t="shared" ref="AF313:AQ313" si="999">AF314-AF312-AF311</f>
        <v>3.0767370000000001</v>
      </c>
      <c r="AG313" s="509">
        <f t="shared" si="999"/>
        <v>2.5539109999999998</v>
      </c>
      <c r="AH313" s="509">
        <f t="shared" si="999"/>
        <v>-1.2782120000000001</v>
      </c>
      <c r="AI313" s="509">
        <f t="shared" si="999"/>
        <v>0.92896600000000018</v>
      </c>
      <c r="AJ313" s="509">
        <f t="shared" si="999"/>
        <v>0.98039100000000001</v>
      </c>
      <c r="AK313" s="509">
        <f t="shared" si="999"/>
        <v>1.5215900000000004</v>
      </c>
      <c r="AL313" s="509">
        <f t="shared" si="999"/>
        <v>9.9000000000000643E-2</v>
      </c>
      <c r="AM313" s="509">
        <f t="shared" si="999"/>
        <v>2.6025419999999997</v>
      </c>
      <c r="AN313" s="509">
        <f t="shared" si="999"/>
        <v>1.5761649999999996</v>
      </c>
      <c r="AO313" s="509">
        <f t="shared" si="999"/>
        <v>1.2455540000000001</v>
      </c>
      <c r="AP313" s="509">
        <f t="shared" si="999"/>
        <v>7.557163000000001</v>
      </c>
      <c r="AQ313" s="509">
        <f t="shared" si="999"/>
        <v>1.840211</v>
      </c>
      <c r="AR313" s="17">
        <v>-2.1989999999999998</v>
      </c>
      <c r="AS313" s="17">
        <v>2.8969999999999998</v>
      </c>
      <c r="AT313" s="17">
        <v>2.7639999999999998</v>
      </c>
      <c r="AU313" s="17">
        <v>25.31</v>
      </c>
      <c r="AV313" s="17">
        <v>1.4950000000000001</v>
      </c>
      <c r="AW313" s="17">
        <v>1.454</v>
      </c>
      <c r="AX313" s="17">
        <v>-0.81499999999999995</v>
      </c>
      <c r="AY313" s="17">
        <v>1.361</v>
      </c>
      <c r="AZ313" s="17">
        <v>7.4630000000000001</v>
      </c>
      <c r="BA313" s="17">
        <v>7.2480000000000002</v>
      </c>
      <c r="BB313" s="17">
        <v>4.4409999999999998</v>
      </c>
      <c r="BC313" s="17">
        <v>4.7560000000000002</v>
      </c>
      <c r="BD313" s="14"/>
      <c r="BE313" s="14"/>
      <c r="BF313" s="2"/>
      <c r="BG313" s="84">
        <f>ROUND(AZ313-SUM(D313:G313),1)</f>
        <v>0</v>
      </c>
      <c r="BH313" s="84">
        <f>ROUND(BA313-SUM(H313:K313),1)</f>
        <v>0</v>
      </c>
      <c r="BI313" s="84">
        <f>ROUND(BB313-SUM(L313:O313),1)</f>
        <v>0</v>
      </c>
      <c r="BJ313" s="84">
        <f>ROUND(BC313-SUM(P313:S313),1)</f>
        <v>0</v>
      </c>
      <c r="BK313" s="84"/>
    </row>
    <row r="314" spans="1:63" s="54" customFormat="1" ht="11.25" customHeight="1">
      <c r="A314" s="18"/>
      <c r="B314" s="31" t="s">
        <v>144</v>
      </c>
      <c r="C314" s="18"/>
      <c r="D314" s="20">
        <f>SUM(D311:D313)</f>
        <v>3.625</v>
      </c>
      <c r="E314" s="20">
        <f t="shared" ref="E314:U314" si="1000">SUM(E311:E313)</f>
        <v>5.3049999999999997</v>
      </c>
      <c r="F314" s="20">
        <f t="shared" si="1000"/>
        <v>5.0760000000000005</v>
      </c>
      <c r="G314" s="20">
        <f t="shared" si="1000"/>
        <v>3.9870000000000001</v>
      </c>
      <c r="H314" s="20">
        <f t="shared" si="1000"/>
        <v>4.5259999999999998</v>
      </c>
      <c r="I314" s="20">
        <f t="shared" si="1000"/>
        <v>3.7240000000000002</v>
      </c>
      <c r="J314" s="20">
        <f t="shared" si="1000"/>
        <v>2.8479999999999999</v>
      </c>
      <c r="K314" s="20">
        <f t="shared" si="1000"/>
        <v>2.0470000000000002</v>
      </c>
      <c r="L314" s="20">
        <f t="shared" si="1000"/>
        <v>3.0419999999999998</v>
      </c>
      <c r="M314" s="20">
        <f t="shared" si="1000"/>
        <v>3.8740000000000001</v>
      </c>
      <c r="N314" s="20">
        <f t="shared" si="1000"/>
        <v>6.3670000000000009</v>
      </c>
      <c r="O314" s="20">
        <f t="shared" si="1000"/>
        <v>9.6289999999999996</v>
      </c>
      <c r="P314" s="20">
        <f t="shared" si="1000"/>
        <v>13.036999999999999</v>
      </c>
      <c r="Q314" s="20">
        <f t="shared" si="1000"/>
        <v>12.717000000000001</v>
      </c>
      <c r="R314" s="20">
        <f t="shared" si="1000"/>
        <v>13.875</v>
      </c>
      <c r="S314" s="20">
        <f t="shared" si="1000"/>
        <v>18.076000000000001</v>
      </c>
      <c r="T314" s="20">
        <f t="shared" si="1000"/>
        <v>17.525000000000002</v>
      </c>
      <c r="U314" s="20">
        <f t="shared" si="1000"/>
        <v>19.755000000000003</v>
      </c>
      <c r="V314" s="20">
        <f t="shared" ref="V314" si="1001">SUM(V311:V313)</f>
        <v>23.420999999999999</v>
      </c>
      <c r="W314" s="20"/>
      <c r="X314" s="20"/>
      <c r="Y314" s="20"/>
      <c r="Z314" s="20"/>
      <c r="AA314" s="20"/>
      <c r="AB314" s="20"/>
      <c r="AC314" s="16">
        <v>0.4</v>
      </c>
      <c r="AD314" s="16">
        <v>-1.1439999999999999</v>
      </c>
      <c r="AE314" s="16">
        <v>-1.173</v>
      </c>
      <c r="AF314" s="16">
        <v>2.6070000000000002</v>
      </c>
      <c r="AG314" s="16">
        <v>-1.9910000000000001</v>
      </c>
      <c r="AH314" s="16">
        <v>-4.367</v>
      </c>
      <c r="AI314" s="16">
        <v>-0.122</v>
      </c>
      <c r="AJ314" s="16">
        <v>3.484</v>
      </c>
      <c r="AK314" s="16">
        <v>3.2959999999999998</v>
      </c>
      <c r="AL314" s="16">
        <v>6.0970000000000004</v>
      </c>
      <c r="AM314" s="16">
        <v>9.92</v>
      </c>
      <c r="AN314" s="16">
        <v>7.0369999999999999</v>
      </c>
      <c r="AO314" s="16">
        <v>3.5009999999999999</v>
      </c>
      <c r="AP314" s="16">
        <v>11.095000000000001</v>
      </c>
      <c r="AQ314" s="16">
        <v>3.5910000000000002</v>
      </c>
      <c r="AR314" s="20">
        <f t="shared" ref="AR314" si="1002">SUM(AR311:AR313)</f>
        <v>0.49861399999999989</v>
      </c>
      <c r="AS314" s="20">
        <f t="shared" ref="AS314" si="1003">SUM(AS311:AS313)</f>
        <v>6.0579999999999998</v>
      </c>
      <c r="AT314" s="20">
        <f t="shared" ref="AT314" si="1004">SUM(AT311:AT313)</f>
        <v>6.2089999999999996</v>
      </c>
      <c r="AU314" s="20">
        <f t="shared" ref="AU314" si="1005">SUM(AU311:AU313)</f>
        <v>30.381</v>
      </c>
      <c r="AV314" s="20">
        <f t="shared" ref="AV314" si="1006">SUM(AV311:AV313)</f>
        <v>8.0010000000000012</v>
      </c>
      <c r="AW314" s="20">
        <f t="shared" ref="AW314" si="1007">SUM(AW311:AW313)</f>
        <v>10.574000000000002</v>
      </c>
      <c r="AX314" s="20">
        <f t="shared" ref="AX314" si="1008">SUM(AX311:AX313)</f>
        <v>13.886000000000001</v>
      </c>
      <c r="AY314" s="20">
        <f t="shared" ref="AY314" si="1009">SUM(AY311:AY313)</f>
        <v>17.143999999999998</v>
      </c>
      <c r="AZ314" s="20">
        <f t="shared" ref="AZ314" si="1010">SUM(AZ311:AZ313)</f>
        <v>17.993000000000002</v>
      </c>
      <c r="BA314" s="20">
        <f t="shared" ref="BA314" si="1011">SUM(BA311:BA313)</f>
        <v>13.145</v>
      </c>
      <c r="BB314" s="20">
        <f t="shared" ref="BB314" si="1012">SUM(BB311:BB313)</f>
        <v>22.911999999999999</v>
      </c>
      <c r="BC314" s="20">
        <f t="shared" ref="BC314" si="1013">SUM(BC311:BC313)</f>
        <v>57.704999999999998</v>
      </c>
      <c r="BD314" s="20"/>
      <c r="BE314" s="20"/>
      <c r="BF314" s="18"/>
      <c r="BG314" s="162">
        <f>ROUND(AZ314-SUM(D314:G314),1)</f>
        <v>0</v>
      </c>
      <c r="BH314" s="162">
        <f>ROUND(BA314-SUM(H314:K314),1)</f>
        <v>0</v>
      </c>
      <c r="BI314" s="162">
        <f>ROUND(BB314-SUM(L314:O314),1)</f>
        <v>0</v>
      </c>
      <c r="BJ314" s="162">
        <f>ROUND(BC314-SUM(P314:S314),1)</f>
        <v>0</v>
      </c>
      <c r="BK314" s="162"/>
    </row>
    <row r="315" spans="1:63" ht="11.25" customHeight="1">
      <c r="A315" s="2"/>
      <c r="B315" s="30"/>
      <c r="C315" s="2"/>
      <c r="D315" s="59"/>
      <c r="E315" s="59"/>
      <c r="F315" s="59"/>
      <c r="G315" s="59"/>
      <c r="H315" s="59"/>
      <c r="I315" s="59"/>
      <c r="J315" s="59"/>
      <c r="K315" s="59"/>
      <c r="L315" s="59"/>
      <c r="M315" s="59"/>
      <c r="N315" s="59"/>
      <c r="O315" s="59"/>
      <c r="P315" s="59"/>
      <c r="Q315" s="59"/>
      <c r="R315" s="59"/>
      <c r="S315" s="59"/>
      <c r="T315" s="59"/>
      <c r="U315" s="53"/>
      <c r="V315" s="53"/>
      <c r="W315" s="53"/>
      <c r="X315" s="53"/>
      <c r="Y315" s="53"/>
      <c r="Z315" s="53"/>
      <c r="AA315" s="53"/>
      <c r="AB315" s="53"/>
      <c r="AC315" s="57"/>
      <c r="AD315" s="57"/>
      <c r="AE315" s="57"/>
      <c r="AF315" s="57"/>
      <c r="AG315" s="57"/>
      <c r="AH315" s="57"/>
      <c r="AI315" s="57"/>
      <c r="AJ315" s="57"/>
      <c r="AK315" s="57"/>
      <c r="AL315" s="57"/>
      <c r="AM315" s="57"/>
      <c r="AN315" s="57"/>
      <c r="AO315" s="57"/>
      <c r="AP315" s="57"/>
      <c r="AQ315" s="57"/>
      <c r="AR315" s="53"/>
      <c r="AS315" s="53"/>
      <c r="AT315" s="53"/>
      <c r="AU315" s="53"/>
      <c r="AV315" s="53"/>
      <c r="AW315" s="53"/>
      <c r="AX315" s="53"/>
      <c r="AY315" s="53"/>
      <c r="AZ315" s="53"/>
      <c r="BA315" s="53"/>
      <c r="BB315" s="53"/>
      <c r="BC315" s="53"/>
      <c r="BD315" s="53"/>
      <c r="BE315" s="53"/>
      <c r="BF315" s="2"/>
      <c r="BG315" s="84">
        <f>ROUND(AZ315-SUM(D315:G315),1)</f>
        <v>0</v>
      </c>
      <c r="BH315" s="84">
        <f>ROUND(BA315-SUM(H315:K315),1)</f>
        <v>0</v>
      </c>
      <c r="BI315" s="84">
        <f>ROUND(BB315-SUM(L315:O315),1)</f>
        <v>0</v>
      </c>
      <c r="BJ315" s="84">
        <f>ROUND(BC315-SUM(P315:S315),1)</f>
        <v>0</v>
      </c>
      <c r="BK315" s="84"/>
    </row>
    <row r="316" spans="1:63" ht="11.25" customHeight="1">
      <c r="A316" s="2"/>
      <c r="B316" s="31" t="s">
        <v>134</v>
      </c>
      <c r="C316" s="2"/>
      <c r="D316" s="20">
        <f t="shared" ref="D316:U316" si="1014">D309+D314</f>
        <v>132.14699999999999</v>
      </c>
      <c r="E316" s="20">
        <f t="shared" si="1014"/>
        <v>136.39900000000003</v>
      </c>
      <c r="F316" s="20">
        <f t="shared" si="1014"/>
        <v>155.124</v>
      </c>
      <c r="G316" s="20">
        <f t="shared" si="1014"/>
        <v>161.10700000000003</v>
      </c>
      <c r="H316" s="20">
        <f t="shared" si="1014"/>
        <v>155.06400000000005</v>
      </c>
      <c r="I316" s="20">
        <f t="shared" si="1014"/>
        <v>149.39099999999996</v>
      </c>
      <c r="J316" s="20">
        <f t="shared" si="1014"/>
        <v>173.85199999999998</v>
      </c>
      <c r="K316" s="20">
        <f t="shared" si="1014"/>
        <v>184.81900000000002</v>
      </c>
      <c r="L316" s="20">
        <f t="shared" si="1014"/>
        <v>226.83200000000005</v>
      </c>
      <c r="M316" s="20">
        <f t="shared" si="1014"/>
        <v>265.99799999999999</v>
      </c>
      <c r="N316" s="20">
        <f t="shared" si="1014"/>
        <v>316.69100000000009</v>
      </c>
      <c r="O316" s="20">
        <f t="shared" si="1014"/>
        <v>334.67000000000007</v>
      </c>
      <c r="P316" s="20">
        <f t="shared" si="1014"/>
        <v>244.27500000000001</v>
      </c>
      <c r="Q316" s="20">
        <f t="shared" si="1014"/>
        <v>214.67500000000007</v>
      </c>
      <c r="R316" s="20">
        <f t="shared" si="1014"/>
        <v>241.93999999999991</v>
      </c>
      <c r="S316" s="20">
        <f t="shared" si="1014"/>
        <v>278.28100000000001</v>
      </c>
      <c r="T316" s="20">
        <f t="shared" si="1014"/>
        <v>266.54300000000001</v>
      </c>
      <c r="U316" s="20">
        <f t="shared" si="1014"/>
        <v>306.31099999999998</v>
      </c>
      <c r="V316" s="20">
        <f t="shared" ref="V316" si="1015">V309+V314</f>
        <v>384.18700000000007</v>
      </c>
      <c r="W316" s="53"/>
      <c r="X316" s="53"/>
      <c r="Y316" s="53"/>
      <c r="Z316" s="53"/>
      <c r="AA316" s="53"/>
      <c r="AB316" s="53"/>
      <c r="AC316" s="20">
        <f t="shared" ref="AC316:BC316" si="1016">AC309+AC314</f>
        <v>15.328000000000001</v>
      </c>
      <c r="AD316" s="20">
        <f t="shared" si="1016"/>
        <v>12.663999999999996</v>
      </c>
      <c r="AE316" s="20">
        <f t="shared" si="1016"/>
        <v>23.656999999999989</v>
      </c>
      <c r="AF316" s="20">
        <f t="shared" si="1016"/>
        <v>63.902000000000001</v>
      </c>
      <c r="AG316" s="20">
        <f t="shared" si="1016"/>
        <v>10.787000000000013</v>
      </c>
      <c r="AH316" s="20">
        <f t="shared" si="1016"/>
        <v>27.221999999999987</v>
      </c>
      <c r="AI316" s="20">
        <f t="shared" si="1016"/>
        <v>51.179000000000016</v>
      </c>
      <c r="AJ316" s="20">
        <f t="shared" si="1016"/>
        <v>91.966000000000008</v>
      </c>
      <c r="AK316" s="20">
        <f t="shared" si="1016"/>
        <v>94.26400000000001</v>
      </c>
      <c r="AL316" s="20">
        <f t="shared" si="1016"/>
        <v>133.36199999999997</v>
      </c>
      <c r="AM316" s="20">
        <f t="shared" si="1016"/>
        <v>121.642</v>
      </c>
      <c r="AN316" s="20">
        <f t="shared" si="1016"/>
        <v>111.47200000000004</v>
      </c>
      <c r="AO316" s="20">
        <f t="shared" si="1016"/>
        <v>95.463000000000022</v>
      </c>
      <c r="AP316" s="20">
        <f t="shared" si="1016"/>
        <v>170.27</v>
      </c>
      <c r="AQ316" s="20">
        <f t="shared" si="1016"/>
        <v>145.14800000000002</v>
      </c>
      <c r="AR316" s="20">
        <f t="shared" si="1016"/>
        <v>181.675614</v>
      </c>
      <c r="AS316" s="20">
        <f t="shared" si="1016"/>
        <v>215.48699999999999</v>
      </c>
      <c r="AT316" s="20">
        <f t="shared" si="1016"/>
        <v>302.07900000000006</v>
      </c>
      <c r="AU316" s="20">
        <f t="shared" si="1016"/>
        <v>350.42899999999997</v>
      </c>
      <c r="AV316" s="20">
        <f t="shared" si="1016"/>
        <v>385.95899999999995</v>
      </c>
      <c r="AW316" s="20">
        <f t="shared" si="1016"/>
        <v>396.13300000000004</v>
      </c>
      <c r="AX316" s="20">
        <f t="shared" si="1016"/>
        <v>397.50999999999993</v>
      </c>
      <c r="AY316" s="20">
        <f t="shared" si="1016"/>
        <v>389.84499999999991</v>
      </c>
      <c r="AZ316" s="20">
        <f t="shared" si="1016"/>
        <v>584.77700000000016</v>
      </c>
      <c r="BA316" s="20">
        <f t="shared" si="1016"/>
        <v>663.12599999999986</v>
      </c>
      <c r="BB316" s="20">
        <f t="shared" si="1016"/>
        <v>1144.191</v>
      </c>
      <c r="BC316" s="20">
        <f t="shared" si="1016"/>
        <v>979.17099999999982</v>
      </c>
      <c r="BD316" s="53"/>
      <c r="BE316" s="53"/>
      <c r="BF316" s="2"/>
      <c r="BG316" s="84">
        <f>ROUND(AZ316-SUM(D316:G316),1)</f>
        <v>0</v>
      </c>
      <c r="BH316" s="84">
        <f>ROUND(BA316-SUM(H316:K316),1)</f>
        <v>0</v>
      </c>
      <c r="BI316" s="84">
        <f>ROUND(BB316-SUM(L316:O316),1)</f>
        <v>0</v>
      </c>
      <c r="BJ316" s="84">
        <f>ROUND(BC316-SUM(P316:S316),1)</f>
        <v>0</v>
      </c>
      <c r="BK316" s="84"/>
    </row>
    <row r="317" spans="1:63" ht="11.25" customHeight="1">
      <c r="A317" s="2"/>
      <c r="B317" s="31"/>
      <c r="C317" s="2"/>
      <c r="D317" s="20"/>
      <c r="E317" s="20"/>
      <c r="F317" s="20"/>
      <c r="G317" s="20"/>
      <c r="H317" s="20"/>
      <c r="I317" s="20"/>
      <c r="J317" s="20"/>
      <c r="K317" s="20"/>
      <c r="L317" s="20"/>
      <c r="M317" s="20"/>
      <c r="N317" s="20"/>
      <c r="O317" s="20"/>
      <c r="P317" s="20"/>
      <c r="Q317" s="20"/>
      <c r="R317" s="20"/>
      <c r="S317" s="20"/>
      <c r="T317" s="20"/>
      <c r="U317" s="53"/>
      <c r="V317" s="53"/>
      <c r="W317" s="53"/>
      <c r="X317" s="53"/>
      <c r="Y317" s="53"/>
      <c r="Z317" s="53"/>
      <c r="AA317" s="53"/>
      <c r="AB317" s="53"/>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53"/>
      <c r="BE317" s="53"/>
      <c r="BF317" s="2"/>
      <c r="BG317" s="84"/>
      <c r="BH317" s="84"/>
      <c r="BI317" s="84"/>
      <c r="BJ317" s="84"/>
      <c r="BK317" s="84"/>
    </row>
    <row r="318" spans="1:63" ht="11.25" customHeight="1">
      <c r="A318" s="2"/>
      <c r="B318" s="30" t="s">
        <v>125</v>
      </c>
      <c r="C318" s="2"/>
      <c r="D318" s="16">
        <v>-15.084</v>
      </c>
      <c r="E318" s="16">
        <v>-15.507</v>
      </c>
      <c r="F318" s="16">
        <v>-17.745000000000001</v>
      </c>
      <c r="G318" s="16">
        <v>-18.283000000000001</v>
      </c>
      <c r="H318" s="16">
        <v>-15.324999999999999</v>
      </c>
      <c r="I318" s="16">
        <v>-14.91</v>
      </c>
      <c r="J318" s="16">
        <v>-17.372</v>
      </c>
      <c r="K318" s="16">
        <v>-18.446000000000002</v>
      </c>
      <c r="L318" s="16">
        <v>-23.959</v>
      </c>
      <c r="M318" s="16">
        <v>-28.817</v>
      </c>
      <c r="N318" s="16">
        <v>-35.722999999999999</v>
      </c>
      <c r="O318" s="16">
        <v>-38.790999999999997</v>
      </c>
      <c r="P318" s="16">
        <v>-37.326000000000001</v>
      </c>
      <c r="Q318" s="16">
        <v>-32.957999999999998</v>
      </c>
      <c r="R318" s="16">
        <v>-31.145</v>
      </c>
      <c r="S318" s="16">
        <v>-39.973999999999997</v>
      </c>
      <c r="T318" s="16">
        <v>-41.322000000000003</v>
      </c>
      <c r="U318" s="14">
        <v>-58.649000000000001</v>
      </c>
      <c r="V318" s="14">
        <v>-59.106999999999999</v>
      </c>
      <c r="W318" s="14"/>
      <c r="X318" s="14"/>
      <c r="Y318" s="14"/>
      <c r="Z318" s="14"/>
      <c r="AA318" s="14"/>
      <c r="AB318" s="14"/>
      <c r="AC318" s="16">
        <v>2.5590000000000002</v>
      </c>
      <c r="AD318" s="16">
        <v>1.665</v>
      </c>
      <c r="AE318" s="16">
        <v>0.38700000000000001</v>
      </c>
      <c r="AF318" s="16">
        <v>1.167</v>
      </c>
      <c r="AG318" s="16">
        <v>3.74</v>
      </c>
      <c r="AH318" s="16">
        <v>-5.6369999999999996</v>
      </c>
      <c r="AI318" s="16">
        <v>-3.923</v>
      </c>
      <c r="AJ318" s="16">
        <v>0.36299999999999999</v>
      </c>
      <c r="AK318" s="16">
        <v>-0.63100000000000001</v>
      </c>
      <c r="AL318" s="16">
        <v>-7.774</v>
      </c>
      <c r="AM318" s="16">
        <v>-11.71</v>
      </c>
      <c r="AN318" s="16">
        <v>-10.949</v>
      </c>
      <c r="AO318" s="16">
        <v>-5.9969999999999999</v>
      </c>
      <c r="AP318" s="16">
        <v>-7.9880000000000004</v>
      </c>
      <c r="AQ318" s="16">
        <v>-10.695</v>
      </c>
      <c r="AR318" s="16">
        <v>-15.552</v>
      </c>
      <c r="AS318" s="16">
        <v>-27.468</v>
      </c>
      <c r="AT318" s="16">
        <v>-38.314999999999998</v>
      </c>
      <c r="AU318" s="16">
        <v>-43.872999999999998</v>
      </c>
      <c r="AV318" s="16">
        <v>-51.621000000000002</v>
      </c>
      <c r="AW318" s="16">
        <v>-52.985999999999997</v>
      </c>
      <c r="AX318" s="16">
        <v>-46.326000000000001</v>
      </c>
      <c r="AY318" s="16">
        <v>-44.500999999999998</v>
      </c>
      <c r="AZ318" s="16">
        <v>-66.619</v>
      </c>
      <c r="BA318" s="16">
        <v>-66.052999999999997</v>
      </c>
      <c r="BB318" s="16">
        <v>-127.29</v>
      </c>
      <c r="BC318" s="16">
        <v>-141.40299999999999</v>
      </c>
      <c r="BD318" s="19"/>
      <c r="BE318" s="19"/>
      <c r="BF318" s="2"/>
      <c r="BG318" s="2"/>
      <c r="BH318" s="2"/>
      <c r="BI318" s="2"/>
      <c r="BJ318" s="2"/>
      <c r="BK318" s="2"/>
    </row>
    <row r="319" spans="1:63" s="54" customFormat="1" ht="13.5" customHeight="1">
      <c r="A319" s="18"/>
      <c r="B319" s="30" t="s">
        <v>175</v>
      </c>
      <c r="C319" s="18"/>
      <c r="D319" s="17">
        <v>0</v>
      </c>
      <c r="E319" s="17">
        <v>0</v>
      </c>
      <c r="F319" s="17">
        <v>0</v>
      </c>
      <c r="G319" s="17">
        <v>0</v>
      </c>
      <c r="H319" s="17">
        <v>0</v>
      </c>
      <c r="I319" s="17">
        <v>0</v>
      </c>
      <c r="J319" s="17">
        <v>0</v>
      </c>
      <c r="K319" s="17">
        <v>0</v>
      </c>
      <c r="L319" s="17">
        <v>0</v>
      </c>
      <c r="M319" s="17">
        <v>0</v>
      </c>
      <c r="N319" s="17">
        <v>0</v>
      </c>
      <c r="O319" s="17">
        <v>0</v>
      </c>
      <c r="P319" s="17">
        <v>0</v>
      </c>
      <c r="Q319" s="17">
        <v>0</v>
      </c>
      <c r="R319" s="17">
        <v>0</v>
      </c>
      <c r="S319" s="17">
        <v>0</v>
      </c>
      <c r="T319" s="17">
        <v>0</v>
      </c>
      <c r="U319" s="17">
        <v>0</v>
      </c>
      <c r="V319" s="17">
        <v>0</v>
      </c>
      <c r="W319" s="325"/>
      <c r="X319" s="325"/>
      <c r="Y319" s="325"/>
      <c r="Z319" s="325"/>
      <c r="AA319" s="325"/>
      <c r="AB319" s="325"/>
      <c r="AC319" s="17">
        <v>0</v>
      </c>
      <c r="AD319" s="17">
        <v>0</v>
      </c>
      <c r="AE319" s="17">
        <v>0</v>
      </c>
      <c r="AF319" s="17">
        <v>0</v>
      </c>
      <c r="AG319" s="17">
        <v>0</v>
      </c>
      <c r="AH319" s="17">
        <v>0</v>
      </c>
      <c r="AI319" s="17">
        <v>0</v>
      </c>
      <c r="AJ319" s="17">
        <v>0</v>
      </c>
      <c r="AK319" s="17">
        <v>0</v>
      </c>
      <c r="AL319" s="17">
        <v>1.607</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222"/>
      <c r="BE319" s="222"/>
      <c r="BF319" s="18"/>
      <c r="BG319" s="162"/>
      <c r="BH319" s="162"/>
      <c r="BI319" s="162"/>
      <c r="BJ319" s="162"/>
      <c r="BK319" s="162"/>
    </row>
    <row r="320" spans="1:63" s="54" customFormat="1" ht="11.25" customHeight="1">
      <c r="A320" s="18"/>
      <c r="B320" s="31" t="s">
        <v>145</v>
      </c>
      <c r="C320" s="18"/>
      <c r="D320" s="227">
        <f t="shared" ref="D320:U320" si="1017">D316+D318+D319</f>
        <v>117.06299999999999</v>
      </c>
      <c r="E320" s="227">
        <f t="shared" si="1017"/>
        <v>120.89200000000002</v>
      </c>
      <c r="F320" s="227">
        <f t="shared" si="1017"/>
        <v>137.37899999999999</v>
      </c>
      <c r="G320" s="227">
        <f t="shared" si="1017"/>
        <v>142.82400000000001</v>
      </c>
      <c r="H320" s="227">
        <f t="shared" si="1017"/>
        <v>139.73900000000006</v>
      </c>
      <c r="I320" s="227">
        <f t="shared" si="1017"/>
        <v>134.48099999999997</v>
      </c>
      <c r="J320" s="227">
        <f t="shared" si="1017"/>
        <v>156.47999999999996</v>
      </c>
      <c r="K320" s="227">
        <f t="shared" si="1017"/>
        <v>166.37300000000002</v>
      </c>
      <c r="L320" s="227">
        <f t="shared" si="1017"/>
        <v>202.87300000000005</v>
      </c>
      <c r="M320" s="227">
        <f t="shared" si="1017"/>
        <v>237.18099999999998</v>
      </c>
      <c r="N320" s="227">
        <f t="shared" si="1017"/>
        <v>280.96800000000007</v>
      </c>
      <c r="O320" s="227">
        <f t="shared" si="1017"/>
        <v>295.87900000000008</v>
      </c>
      <c r="P320" s="227">
        <f t="shared" si="1017"/>
        <v>206.94900000000001</v>
      </c>
      <c r="Q320" s="227">
        <f t="shared" si="1017"/>
        <v>181.71700000000007</v>
      </c>
      <c r="R320" s="227">
        <f t="shared" si="1017"/>
        <v>210.7949999999999</v>
      </c>
      <c r="S320" s="227">
        <f t="shared" si="1017"/>
        <v>238.30700000000002</v>
      </c>
      <c r="T320" s="227">
        <f t="shared" si="1017"/>
        <v>225.221</v>
      </c>
      <c r="U320" s="227">
        <f t="shared" si="1017"/>
        <v>247.66199999999998</v>
      </c>
      <c r="V320" s="227">
        <f t="shared" ref="V320" si="1018">V316+V318+V319</f>
        <v>325.08000000000004</v>
      </c>
      <c r="W320" s="222"/>
      <c r="X320" s="222"/>
      <c r="Y320" s="222"/>
      <c r="Z320" s="222"/>
      <c r="AA320" s="222"/>
      <c r="AB320" s="222"/>
      <c r="AC320" s="227">
        <f t="shared" ref="AC320:BC320" si="1019">AC316+AC318+AC319</f>
        <v>17.887</v>
      </c>
      <c r="AD320" s="227">
        <f t="shared" si="1019"/>
        <v>14.328999999999997</v>
      </c>
      <c r="AE320" s="227">
        <f t="shared" si="1019"/>
        <v>24.04399999999999</v>
      </c>
      <c r="AF320" s="227">
        <f t="shared" si="1019"/>
        <v>65.069000000000003</v>
      </c>
      <c r="AG320" s="227">
        <f t="shared" si="1019"/>
        <v>14.527000000000013</v>
      </c>
      <c r="AH320" s="227">
        <f t="shared" si="1019"/>
        <v>21.584999999999987</v>
      </c>
      <c r="AI320" s="227">
        <f t="shared" si="1019"/>
        <v>47.256000000000014</v>
      </c>
      <c r="AJ320" s="227">
        <f t="shared" si="1019"/>
        <v>92.329000000000008</v>
      </c>
      <c r="AK320" s="227">
        <f t="shared" si="1019"/>
        <v>93.63300000000001</v>
      </c>
      <c r="AL320" s="227">
        <f t="shared" si="1019"/>
        <v>127.19499999999996</v>
      </c>
      <c r="AM320" s="227">
        <f t="shared" si="1019"/>
        <v>109.93199999999999</v>
      </c>
      <c r="AN320" s="227">
        <f t="shared" si="1019"/>
        <v>100.52300000000004</v>
      </c>
      <c r="AO320" s="227">
        <f t="shared" si="1019"/>
        <v>89.466000000000022</v>
      </c>
      <c r="AP320" s="227">
        <f t="shared" si="1019"/>
        <v>162.28200000000001</v>
      </c>
      <c r="AQ320" s="227">
        <f t="shared" si="1019"/>
        <v>134.45300000000003</v>
      </c>
      <c r="AR320" s="227">
        <f t="shared" si="1019"/>
        <v>166.123614</v>
      </c>
      <c r="AS320" s="227">
        <f t="shared" si="1019"/>
        <v>188.01900000000001</v>
      </c>
      <c r="AT320" s="227">
        <f t="shared" si="1019"/>
        <v>263.76400000000007</v>
      </c>
      <c r="AU320" s="227">
        <f t="shared" si="1019"/>
        <v>306.55599999999998</v>
      </c>
      <c r="AV320" s="227">
        <f t="shared" si="1019"/>
        <v>334.33799999999997</v>
      </c>
      <c r="AW320" s="227">
        <f t="shared" si="1019"/>
        <v>343.14700000000005</v>
      </c>
      <c r="AX320" s="227">
        <f t="shared" si="1019"/>
        <v>351.18399999999991</v>
      </c>
      <c r="AY320" s="227">
        <f t="shared" si="1019"/>
        <v>345.34399999999994</v>
      </c>
      <c r="AZ320" s="227">
        <f t="shared" si="1019"/>
        <v>518.15800000000013</v>
      </c>
      <c r="BA320" s="227">
        <f t="shared" si="1019"/>
        <v>597.07299999999987</v>
      </c>
      <c r="BB320" s="227">
        <f t="shared" si="1019"/>
        <v>1016.9010000000001</v>
      </c>
      <c r="BC320" s="227">
        <f t="shared" si="1019"/>
        <v>837.7679999999998</v>
      </c>
      <c r="BD320" s="222"/>
      <c r="BE320" s="222"/>
      <c r="BF320" s="18"/>
      <c r="BG320" s="162"/>
      <c r="BH320" s="162"/>
      <c r="BI320" s="162"/>
      <c r="BJ320" s="162"/>
      <c r="BK320" s="162"/>
    </row>
    <row r="321" spans="1:63" ht="13.5" customHeight="1">
      <c r="A321" s="2"/>
      <c r="B321" s="30" t="s">
        <v>135</v>
      </c>
      <c r="C321" s="2"/>
      <c r="D321" s="17">
        <v>2.6480000000000001</v>
      </c>
      <c r="E321" s="17">
        <v>-11.882999999999999</v>
      </c>
      <c r="F321" s="17">
        <v>-5.4359999999999999</v>
      </c>
      <c r="G321" s="17">
        <v>-15.651</v>
      </c>
      <c r="H321" s="17">
        <v>5.9669999999999996</v>
      </c>
      <c r="I321" s="17">
        <v>-10.201000000000001</v>
      </c>
      <c r="J321" s="17">
        <v>-0.70799999999999996</v>
      </c>
      <c r="K321" s="17">
        <v>-2.677</v>
      </c>
      <c r="L321" s="17">
        <v>15.412000000000001</v>
      </c>
      <c r="M321" s="17">
        <v>11.378</v>
      </c>
      <c r="N321" s="17">
        <v>32.122</v>
      </c>
      <c r="O321" s="17">
        <v>-16.481999999999999</v>
      </c>
      <c r="P321" s="17">
        <v>-3.2959999999999998</v>
      </c>
      <c r="Q321" s="17">
        <v>5.6589999999999998</v>
      </c>
      <c r="R321" s="17">
        <v>26.05</v>
      </c>
      <c r="S321" s="17">
        <v>-37.226999999999997</v>
      </c>
      <c r="T321" s="17">
        <v>41.274000000000001</v>
      </c>
      <c r="U321" s="15">
        <v>13.464</v>
      </c>
      <c r="V321" s="15">
        <v>-21.056000000000001</v>
      </c>
      <c r="W321" s="15"/>
      <c r="X321" s="15"/>
      <c r="Y321" s="15"/>
      <c r="Z321" s="15"/>
      <c r="AA321" s="15"/>
      <c r="AB321" s="15"/>
      <c r="AC321" s="240" t="s">
        <v>174</v>
      </c>
      <c r="AD321" s="240" t="s">
        <v>174</v>
      </c>
      <c r="AE321" s="240" t="s">
        <v>174</v>
      </c>
      <c r="AF321" s="240" t="s">
        <v>174</v>
      </c>
      <c r="AG321" s="240" t="s">
        <v>174</v>
      </c>
      <c r="AH321" s="240" t="s">
        <v>174</v>
      </c>
      <c r="AI321" s="240" t="s">
        <v>174</v>
      </c>
      <c r="AJ321" s="240" t="s">
        <v>174</v>
      </c>
      <c r="AK321" s="240" t="s">
        <v>174</v>
      </c>
      <c r="AL321" s="240" t="s">
        <v>174</v>
      </c>
      <c r="AM321" s="240" t="s">
        <v>174</v>
      </c>
      <c r="AN321" s="240" t="s">
        <v>174</v>
      </c>
      <c r="AO321" s="240" t="s">
        <v>174</v>
      </c>
      <c r="AP321" s="240" t="s">
        <v>174</v>
      </c>
      <c r="AQ321" s="240" t="s">
        <v>174</v>
      </c>
      <c r="AR321" s="17">
        <v>4.2519999999999998</v>
      </c>
      <c r="AS321" s="17">
        <v>16.352</v>
      </c>
      <c r="AT321" s="17">
        <v>11.805</v>
      </c>
      <c r="AU321" s="17">
        <v>-14.714</v>
      </c>
      <c r="AV321" s="17">
        <v>-11.067</v>
      </c>
      <c r="AW321" s="17">
        <v>-28.821999999999999</v>
      </c>
      <c r="AX321" s="17">
        <v>9.8369999999999997</v>
      </c>
      <c r="AY321" s="17">
        <v>-11.824</v>
      </c>
      <c r="AZ321" s="17">
        <v>-30.321999999999999</v>
      </c>
      <c r="BA321" s="17">
        <v>-7.6189999999999998</v>
      </c>
      <c r="BB321" s="17">
        <v>42.43</v>
      </c>
      <c r="BC321" s="17">
        <v>-8.8140000000000001</v>
      </c>
      <c r="BD321" s="19"/>
      <c r="BE321" s="19"/>
      <c r="BF321" s="2"/>
      <c r="BG321" s="2"/>
      <c r="BH321" s="2"/>
      <c r="BI321" s="2"/>
      <c r="BJ321" s="2"/>
      <c r="BK321" s="2"/>
    </row>
    <row r="322" spans="1:63" s="54" customFormat="1" ht="11.25" customHeight="1">
      <c r="A322" s="18"/>
      <c r="B322" s="31" t="s">
        <v>146</v>
      </c>
      <c r="C322" s="18"/>
      <c r="D322" s="227">
        <f t="shared" ref="D322:U322" si="1020">D320+D321</f>
        <v>119.71099999999998</v>
      </c>
      <c r="E322" s="227">
        <f t="shared" si="1020"/>
        <v>109.00900000000003</v>
      </c>
      <c r="F322" s="227">
        <f t="shared" si="1020"/>
        <v>131.94299999999998</v>
      </c>
      <c r="G322" s="227">
        <f t="shared" si="1020"/>
        <v>127.17300000000002</v>
      </c>
      <c r="H322" s="227">
        <f t="shared" si="1020"/>
        <v>145.70600000000007</v>
      </c>
      <c r="I322" s="227">
        <f t="shared" si="1020"/>
        <v>124.27999999999997</v>
      </c>
      <c r="J322" s="227">
        <f t="shared" si="1020"/>
        <v>155.77199999999996</v>
      </c>
      <c r="K322" s="227">
        <f t="shared" si="1020"/>
        <v>163.69600000000003</v>
      </c>
      <c r="L322" s="227">
        <f t="shared" si="1020"/>
        <v>218.28500000000005</v>
      </c>
      <c r="M322" s="227">
        <f t="shared" si="1020"/>
        <v>248.55899999999997</v>
      </c>
      <c r="N322" s="227">
        <f t="shared" si="1020"/>
        <v>313.09000000000009</v>
      </c>
      <c r="O322" s="227">
        <f t="shared" si="1020"/>
        <v>279.39700000000005</v>
      </c>
      <c r="P322" s="227">
        <f t="shared" si="1020"/>
        <v>203.65300000000002</v>
      </c>
      <c r="Q322" s="227">
        <f t="shared" si="1020"/>
        <v>187.37600000000006</v>
      </c>
      <c r="R322" s="227">
        <f t="shared" si="1020"/>
        <v>236.84499999999991</v>
      </c>
      <c r="S322" s="227">
        <f t="shared" si="1020"/>
        <v>201.08</v>
      </c>
      <c r="T322" s="227">
        <f t="shared" si="1020"/>
        <v>266.495</v>
      </c>
      <c r="U322" s="227">
        <f t="shared" si="1020"/>
        <v>261.12599999999998</v>
      </c>
      <c r="V322" s="227">
        <f t="shared" ref="V322" si="1021">V320+V321</f>
        <v>304.02400000000006</v>
      </c>
      <c r="W322" s="16"/>
      <c r="X322" s="16"/>
      <c r="Y322" s="16"/>
      <c r="Z322" s="16"/>
      <c r="AA322" s="16"/>
      <c r="AB322" s="16"/>
      <c r="AC322" s="239" t="s">
        <v>174</v>
      </c>
      <c r="AD322" s="239" t="s">
        <v>174</v>
      </c>
      <c r="AE322" s="239" t="s">
        <v>174</v>
      </c>
      <c r="AF322" s="239" t="s">
        <v>174</v>
      </c>
      <c r="AG322" s="239" t="s">
        <v>174</v>
      </c>
      <c r="AH322" s="239" t="s">
        <v>174</v>
      </c>
      <c r="AI322" s="239" t="s">
        <v>174</v>
      </c>
      <c r="AJ322" s="239" t="s">
        <v>174</v>
      </c>
      <c r="AK322" s="239" t="s">
        <v>174</v>
      </c>
      <c r="AL322" s="239" t="s">
        <v>174</v>
      </c>
      <c r="AM322" s="239" t="s">
        <v>174</v>
      </c>
      <c r="AN322" s="239" t="s">
        <v>174</v>
      </c>
      <c r="AO322" s="239" t="s">
        <v>174</v>
      </c>
      <c r="AP322" s="239" t="s">
        <v>174</v>
      </c>
      <c r="AQ322" s="239" t="s">
        <v>174</v>
      </c>
      <c r="AR322" s="227">
        <f t="shared" ref="AR322:BC322" si="1022">AR320+AR321</f>
        <v>170.37561400000001</v>
      </c>
      <c r="AS322" s="227">
        <f t="shared" si="1022"/>
        <v>204.37100000000001</v>
      </c>
      <c r="AT322" s="227">
        <f t="shared" si="1022"/>
        <v>275.56900000000007</v>
      </c>
      <c r="AU322" s="227">
        <f t="shared" si="1022"/>
        <v>291.84199999999998</v>
      </c>
      <c r="AV322" s="227">
        <f t="shared" si="1022"/>
        <v>323.27099999999996</v>
      </c>
      <c r="AW322" s="227">
        <f t="shared" si="1022"/>
        <v>314.32500000000005</v>
      </c>
      <c r="AX322" s="227">
        <f t="shared" si="1022"/>
        <v>361.0209999999999</v>
      </c>
      <c r="AY322" s="227">
        <f t="shared" si="1022"/>
        <v>333.51999999999992</v>
      </c>
      <c r="AZ322" s="227">
        <f t="shared" si="1022"/>
        <v>487.83600000000013</v>
      </c>
      <c r="BA322" s="227">
        <f t="shared" si="1022"/>
        <v>589.45399999999984</v>
      </c>
      <c r="BB322" s="227">
        <f t="shared" si="1022"/>
        <v>1059.3310000000001</v>
      </c>
      <c r="BC322" s="227">
        <f t="shared" si="1022"/>
        <v>828.95399999999984</v>
      </c>
      <c r="BD322" s="16"/>
      <c r="BE322" s="16"/>
      <c r="BF322" s="18"/>
      <c r="BG322" s="162"/>
      <c r="BH322" s="162"/>
      <c r="BI322" s="162"/>
      <c r="BJ322" s="162"/>
      <c r="BK322" s="162"/>
    </row>
    <row r="323" spans="1:63" ht="11.25" customHeight="1">
      <c r="A323" s="2"/>
      <c r="B323" s="238"/>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row>
    <row r="324" spans="1:63" ht="11.25" customHeight="1">
      <c r="A324" s="2"/>
      <c r="B324" s="94" t="s">
        <v>126</v>
      </c>
      <c r="C324" s="2"/>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BD324" s="53"/>
      <c r="BE324" s="53"/>
      <c r="BF324" s="2"/>
      <c r="BG324" s="84">
        <f>ROUND(AZ324-SUM(D324:G324),1)</f>
        <v>0</v>
      </c>
      <c r="BH324" s="84">
        <f>ROUND(BA324-SUM(H324:K324),1)</f>
        <v>0</v>
      </c>
      <c r="BI324" s="84">
        <f>ROUND(BB324-SUM(L324:O324),1)</f>
        <v>0</v>
      </c>
      <c r="BJ324" s="84">
        <f>ROUND(BC324-SUM(P324:S324),1)</f>
        <v>0</v>
      </c>
      <c r="BK324" s="84"/>
    </row>
    <row r="325" spans="1:63" ht="11.25" customHeight="1">
      <c r="A325" s="2"/>
      <c r="B325" s="35" t="s">
        <v>147</v>
      </c>
      <c r="C325" s="2"/>
      <c r="D325" s="328">
        <v>116.98699999999999</v>
      </c>
      <c r="E325" s="328">
        <v>120.822</v>
      </c>
      <c r="F325" s="328">
        <v>137.31</v>
      </c>
      <c r="G325" s="328">
        <v>142.76599999999999</v>
      </c>
      <c r="H325" s="328">
        <v>139.69</v>
      </c>
      <c r="I325" s="328">
        <v>134.35900000000001</v>
      </c>
      <c r="J325" s="328">
        <v>156.25899999999999</v>
      </c>
      <c r="K325" s="328">
        <v>166.232</v>
      </c>
      <c r="L325" s="328">
        <v>202.733</v>
      </c>
      <c r="M325" s="328">
        <v>237.02699999999999</v>
      </c>
      <c r="N325" s="328">
        <v>280.86599999999999</v>
      </c>
      <c r="O325" s="328">
        <v>295.904</v>
      </c>
      <c r="P325" s="328">
        <v>206.98699999999999</v>
      </c>
      <c r="Q325" s="328">
        <v>181.79900000000001</v>
      </c>
      <c r="R325" s="328">
        <v>211</v>
      </c>
      <c r="S325" s="328">
        <v>238.71199999999999</v>
      </c>
      <c r="T325" s="328">
        <v>225.48500000000001</v>
      </c>
      <c r="U325" s="261">
        <v>247.845</v>
      </c>
      <c r="V325" s="261">
        <v>325.25799999999998</v>
      </c>
      <c r="W325" s="14"/>
      <c r="X325" s="14"/>
      <c r="Y325" s="14"/>
      <c r="Z325" s="14"/>
      <c r="AA325" s="14"/>
      <c r="AB325" s="14"/>
      <c r="AC325" s="328">
        <v>17.96</v>
      </c>
      <c r="AD325" s="328">
        <v>15.343999999999999</v>
      </c>
      <c r="AE325" s="328">
        <v>24.56</v>
      </c>
      <c r="AF325" s="328">
        <v>65.105999999999995</v>
      </c>
      <c r="AG325" s="328">
        <v>14.483000000000001</v>
      </c>
      <c r="AH325" s="328">
        <v>21.61</v>
      </c>
      <c r="AI325" s="328">
        <v>47.259</v>
      </c>
      <c r="AJ325" s="328">
        <v>92.316000000000003</v>
      </c>
      <c r="AK325" s="328">
        <v>93.575000000000003</v>
      </c>
      <c r="AL325" s="328">
        <v>127.01</v>
      </c>
      <c r="AM325" s="328">
        <v>109.17700000000001</v>
      </c>
      <c r="AN325" s="328">
        <v>99.933000000000007</v>
      </c>
      <c r="AO325" s="328">
        <v>89.218000000000004</v>
      </c>
      <c r="AP325" s="328">
        <v>161.60499999999999</v>
      </c>
      <c r="AQ325" s="328">
        <v>134.20099999999999</v>
      </c>
      <c r="AR325" s="328">
        <v>166.31800000000001</v>
      </c>
      <c r="AS325" s="328">
        <v>188.14699999999999</v>
      </c>
      <c r="AT325" s="328">
        <v>263.88200000000001</v>
      </c>
      <c r="AU325" s="328">
        <v>306.57400000000001</v>
      </c>
      <c r="AV325" s="328">
        <v>334.24700000000001</v>
      </c>
      <c r="AW325" s="328">
        <v>343.11099999999999</v>
      </c>
      <c r="AX325" s="328">
        <v>351.13099999999997</v>
      </c>
      <c r="AY325" s="328">
        <v>345.26400000000001</v>
      </c>
      <c r="AZ325" s="328">
        <v>517.88499999999999</v>
      </c>
      <c r="BA325" s="328">
        <v>596.54</v>
      </c>
      <c r="BB325" s="328">
        <v>1016.53</v>
      </c>
      <c r="BC325" s="328">
        <v>838.49800000000005</v>
      </c>
      <c r="BD325" s="14"/>
      <c r="BE325" s="14"/>
      <c r="BF325" s="2"/>
      <c r="BG325" s="84">
        <f>ROUND(AZ325-SUM(D325:G325),1)</f>
        <v>0</v>
      </c>
      <c r="BH325" s="84">
        <f>ROUND(BA325-SUM(H325:K325),1)</f>
        <v>0</v>
      </c>
      <c r="BI325" s="84">
        <f>ROUND(BB325-SUM(L325:O325),1)</f>
        <v>0</v>
      </c>
      <c r="BJ325" s="84">
        <f>ROUND(BC325-SUM(P325:S325),1)</f>
        <v>0</v>
      </c>
      <c r="BK325" s="84"/>
    </row>
    <row r="326" spans="1:63" ht="13.5" customHeight="1">
      <c r="A326" s="2"/>
      <c r="B326" s="35" t="s">
        <v>148</v>
      </c>
      <c r="C326" s="2"/>
      <c r="D326" s="329">
        <v>7.5999999999999998E-2</v>
      </c>
      <c r="E326" s="329">
        <v>7.0000000000000007E-2</v>
      </c>
      <c r="F326" s="329">
        <v>6.9000000000000006E-2</v>
      </c>
      <c r="G326" s="329">
        <v>5.8000000000000003E-2</v>
      </c>
      <c r="H326" s="329">
        <v>4.9000000000000002E-2</v>
      </c>
      <c r="I326" s="329">
        <v>0.122</v>
      </c>
      <c r="J326" s="329">
        <v>0.221</v>
      </c>
      <c r="K326" s="329">
        <v>0.14099999999999999</v>
      </c>
      <c r="L326" s="329">
        <v>0.14000000000000001</v>
      </c>
      <c r="M326" s="329">
        <v>0.154</v>
      </c>
      <c r="N326" s="329">
        <v>0.10199999999999999</v>
      </c>
      <c r="O326" s="329">
        <v>-2.5000000000000001E-2</v>
      </c>
      <c r="P326" s="329">
        <v>-3.7999999999999999E-2</v>
      </c>
      <c r="Q326" s="329">
        <v>-8.2000000000000003E-2</v>
      </c>
      <c r="R326" s="329">
        <v>-0.20499999999999999</v>
      </c>
      <c r="S326" s="329">
        <v>-0.40500000000000003</v>
      </c>
      <c r="T326" s="329">
        <v>-0.26400000000000001</v>
      </c>
      <c r="U326" s="262">
        <v>-0.183</v>
      </c>
      <c r="V326" s="262">
        <v>-0.17799999999999999</v>
      </c>
      <c r="W326" s="14"/>
      <c r="X326" s="14"/>
      <c r="Y326" s="14"/>
      <c r="Z326" s="14"/>
      <c r="AA326" s="14"/>
      <c r="AB326" s="14"/>
      <c r="AC326" s="329">
        <v>-7.2999999999999995E-2</v>
      </c>
      <c r="AD326" s="329">
        <v>-1.0149999999999999</v>
      </c>
      <c r="AE326" s="329">
        <v>-0.51600000000000001</v>
      </c>
      <c r="AF326" s="329">
        <v>-3.6999999999999998E-2</v>
      </c>
      <c r="AG326" s="329">
        <v>4.3999999999999997E-2</v>
      </c>
      <c r="AH326" s="329">
        <v>-2.5000000000000001E-2</v>
      </c>
      <c r="AI326" s="329">
        <v>-3.0000000000000001E-3</v>
      </c>
      <c r="AJ326" s="329">
        <v>1.2999999999999999E-2</v>
      </c>
      <c r="AK326" s="329">
        <v>5.8000000000000003E-2</v>
      </c>
      <c r="AL326" s="329">
        <v>0.185</v>
      </c>
      <c r="AM326" s="329">
        <v>0.755</v>
      </c>
      <c r="AN326" s="329">
        <v>0.59</v>
      </c>
      <c r="AO326" s="329">
        <v>0.248</v>
      </c>
      <c r="AP326" s="329">
        <v>0.67700000000000005</v>
      </c>
      <c r="AQ326" s="329">
        <v>0.252</v>
      </c>
      <c r="AR326" s="329">
        <v>-0.19400000000000001</v>
      </c>
      <c r="AS326" s="329">
        <v>-0.128</v>
      </c>
      <c r="AT326" s="329">
        <v>-0.11799999999999999</v>
      </c>
      <c r="AU326" s="329">
        <v>-1.7999999999999999E-2</v>
      </c>
      <c r="AV326" s="329">
        <v>9.0999999999999998E-2</v>
      </c>
      <c r="AW326" s="329">
        <v>3.5999999999999997E-2</v>
      </c>
      <c r="AX326" s="329">
        <v>5.2999999999999999E-2</v>
      </c>
      <c r="AY326" s="329">
        <v>0.08</v>
      </c>
      <c r="AZ326" s="329">
        <v>0.27300000000000002</v>
      </c>
      <c r="BA326" s="329">
        <v>0.53300000000000003</v>
      </c>
      <c r="BB326" s="329">
        <v>0.371</v>
      </c>
      <c r="BC326" s="329">
        <v>-0.73</v>
      </c>
      <c r="BD326" s="53"/>
      <c r="BE326" s="53"/>
      <c r="BF326" s="2"/>
      <c r="BG326" s="84">
        <f>ROUND(AZ326-SUM(D326:G326),1)</f>
        <v>0</v>
      </c>
      <c r="BH326" s="84">
        <f>ROUND(BA326-SUM(H326:K326),1)</f>
        <v>0</v>
      </c>
      <c r="BI326" s="84">
        <f>ROUND(BB326-SUM(L326:O326),1)</f>
        <v>0</v>
      </c>
      <c r="BJ326" s="84">
        <f>ROUND(BC326-SUM(P326:S326),1)</f>
        <v>0</v>
      </c>
      <c r="BK326" s="84"/>
    </row>
    <row r="327" spans="1:63" ht="11.25" customHeight="1">
      <c r="A327" s="2"/>
      <c r="B327" s="36" t="s">
        <v>145</v>
      </c>
      <c r="C327" s="2"/>
      <c r="D327" s="126">
        <f>D325+D326</f>
        <v>117.06299999999999</v>
      </c>
      <c r="E327" s="126">
        <f t="shared" ref="E327:U327" si="1023">E325+E326</f>
        <v>120.892</v>
      </c>
      <c r="F327" s="126">
        <f t="shared" si="1023"/>
        <v>137.37899999999999</v>
      </c>
      <c r="G327" s="126">
        <f t="shared" si="1023"/>
        <v>142.82399999999998</v>
      </c>
      <c r="H327" s="126">
        <f t="shared" si="1023"/>
        <v>139.739</v>
      </c>
      <c r="I327" s="126">
        <f t="shared" si="1023"/>
        <v>134.48100000000002</v>
      </c>
      <c r="J327" s="126">
        <f t="shared" si="1023"/>
        <v>156.47999999999999</v>
      </c>
      <c r="K327" s="126">
        <f t="shared" si="1023"/>
        <v>166.37299999999999</v>
      </c>
      <c r="L327" s="126">
        <f t="shared" si="1023"/>
        <v>202.87299999999999</v>
      </c>
      <c r="M327" s="126">
        <f t="shared" si="1023"/>
        <v>237.18099999999998</v>
      </c>
      <c r="N327" s="126">
        <f t="shared" si="1023"/>
        <v>280.96799999999996</v>
      </c>
      <c r="O327" s="126">
        <f t="shared" si="1023"/>
        <v>295.87900000000002</v>
      </c>
      <c r="P327" s="126">
        <f t="shared" si="1023"/>
        <v>206.94899999999998</v>
      </c>
      <c r="Q327" s="126">
        <f t="shared" si="1023"/>
        <v>181.71700000000001</v>
      </c>
      <c r="R327" s="126">
        <f t="shared" si="1023"/>
        <v>210.79499999999999</v>
      </c>
      <c r="S327" s="126">
        <f t="shared" si="1023"/>
        <v>238.30699999999999</v>
      </c>
      <c r="T327" s="126">
        <f t="shared" si="1023"/>
        <v>225.221</v>
      </c>
      <c r="U327" s="126">
        <f t="shared" si="1023"/>
        <v>247.66200000000001</v>
      </c>
      <c r="V327" s="126">
        <f t="shared" ref="V327" si="1024">V325+V326</f>
        <v>325.08</v>
      </c>
      <c r="W327" s="53"/>
      <c r="X327" s="53"/>
      <c r="Y327" s="53"/>
      <c r="Z327" s="53"/>
      <c r="AA327" s="53"/>
      <c r="AB327" s="126"/>
      <c r="AC327" s="126">
        <f t="shared" ref="AC327" si="1025">AC325+AC326</f>
        <v>17.887</v>
      </c>
      <c r="AD327" s="126">
        <f t="shared" ref="AD327" si="1026">AD325+AD326</f>
        <v>14.328999999999999</v>
      </c>
      <c r="AE327" s="126">
        <f t="shared" ref="AE327" si="1027">AE325+AE326</f>
        <v>24.043999999999997</v>
      </c>
      <c r="AF327" s="126">
        <f t="shared" ref="AF327" si="1028">AF325+AF326</f>
        <v>65.068999999999988</v>
      </c>
      <c r="AG327" s="126">
        <f t="shared" ref="AG327" si="1029">AG325+AG326</f>
        <v>14.527000000000001</v>
      </c>
      <c r="AH327" s="126">
        <f t="shared" ref="AH327" si="1030">AH325+AH326</f>
        <v>21.585000000000001</v>
      </c>
      <c r="AI327" s="126">
        <f t="shared" ref="AI327" si="1031">AI325+AI326</f>
        <v>47.256</v>
      </c>
      <c r="AJ327" s="126">
        <f t="shared" ref="AJ327" si="1032">AJ325+AJ326</f>
        <v>92.329000000000008</v>
      </c>
      <c r="AK327" s="126">
        <f t="shared" ref="AK327" si="1033">AK325+AK326</f>
        <v>93.63300000000001</v>
      </c>
      <c r="AL327" s="126">
        <f t="shared" ref="AL327" si="1034">AL325+AL326</f>
        <v>127.19500000000001</v>
      </c>
      <c r="AM327" s="126">
        <f t="shared" ref="AM327" si="1035">AM325+AM326</f>
        <v>109.932</v>
      </c>
      <c r="AN327" s="126">
        <f t="shared" ref="AN327" si="1036">AN325+AN326</f>
        <v>100.52300000000001</v>
      </c>
      <c r="AO327" s="126">
        <f t="shared" ref="AO327" si="1037">AO325+AO326</f>
        <v>89.466000000000008</v>
      </c>
      <c r="AP327" s="126">
        <f t="shared" ref="AP327" si="1038">AP325+AP326</f>
        <v>162.28199999999998</v>
      </c>
      <c r="AQ327" s="126">
        <f t="shared" ref="AQ327" si="1039">AQ325+AQ326</f>
        <v>134.453</v>
      </c>
      <c r="AR327" s="126">
        <f t="shared" ref="AR327" si="1040">AR325+AR326</f>
        <v>166.12400000000002</v>
      </c>
      <c r="AS327" s="126">
        <f t="shared" ref="AS327" si="1041">AS325+AS326</f>
        <v>188.01900000000001</v>
      </c>
      <c r="AT327" s="126">
        <f t="shared" ref="AT327" si="1042">AT325+AT326</f>
        <v>263.76400000000001</v>
      </c>
      <c r="AU327" s="126">
        <f t="shared" ref="AU327" si="1043">AU325+AU326</f>
        <v>306.55600000000004</v>
      </c>
      <c r="AV327" s="126">
        <f t="shared" ref="AV327" si="1044">AV325+AV326</f>
        <v>334.33800000000002</v>
      </c>
      <c r="AW327" s="126">
        <f t="shared" ref="AW327" si="1045">AW325+AW326</f>
        <v>343.14699999999999</v>
      </c>
      <c r="AX327" s="126">
        <f t="shared" ref="AX327" si="1046">AX325+AX326</f>
        <v>351.18399999999997</v>
      </c>
      <c r="AY327" s="126">
        <f t="shared" ref="AY327" si="1047">AY325+AY326</f>
        <v>345.34399999999999</v>
      </c>
      <c r="AZ327" s="126">
        <f t="shared" ref="AZ327" si="1048">AZ325+AZ326</f>
        <v>518.15800000000002</v>
      </c>
      <c r="BA327" s="126">
        <f t="shared" ref="BA327" si="1049">BA325+BA326</f>
        <v>597.07299999999998</v>
      </c>
      <c r="BB327" s="126">
        <f t="shared" ref="BB327" si="1050">BB325+BB326</f>
        <v>1016.901</v>
      </c>
      <c r="BC327" s="126">
        <f t="shared" ref="BC327" si="1051">BC325+BC326</f>
        <v>837.76800000000003</v>
      </c>
      <c r="BD327" s="53"/>
      <c r="BE327" s="53"/>
      <c r="BF327" s="2"/>
      <c r="BG327" s="84">
        <f>ROUND(AZ327-SUM(D327:G327),1)</f>
        <v>0</v>
      </c>
      <c r="BH327" s="84">
        <f>ROUND(BA327-SUM(H327:K327),1)</f>
        <v>0</v>
      </c>
      <c r="BI327" s="84">
        <f>ROUND(BB327-SUM(L327:O327),1)</f>
        <v>0</v>
      </c>
      <c r="BJ327" s="84">
        <f>ROUND(BC327-SUM(P327:S327),1)</f>
        <v>0</v>
      </c>
      <c r="BK327" s="84"/>
    </row>
    <row r="328" spans="1:63" ht="11.25" customHeight="1">
      <c r="A328" s="2"/>
      <c r="B328" s="30"/>
      <c r="C328" s="2"/>
      <c r="D328" s="57"/>
      <c r="E328" s="57"/>
      <c r="F328" s="57"/>
      <c r="G328" s="57"/>
      <c r="H328" s="57"/>
      <c r="I328" s="57"/>
      <c r="J328" s="57"/>
      <c r="K328" s="57"/>
      <c r="L328" s="57"/>
      <c r="M328" s="57"/>
      <c r="N328" s="57"/>
      <c r="O328" s="57"/>
      <c r="P328" s="57"/>
      <c r="Q328" s="57"/>
      <c r="R328" s="57"/>
      <c r="S328" s="57"/>
      <c r="T328" s="57"/>
      <c r="U328" s="14"/>
      <c r="V328" s="14"/>
      <c r="W328" s="14"/>
      <c r="X328" s="14"/>
      <c r="Y328" s="14"/>
      <c r="Z328" s="14"/>
      <c r="AA328" s="14"/>
      <c r="AB328" s="14"/>
      <c r="BD328" s="14"/>
      <c r="BE328" s="14"/>
      <c r="BF328" s="2"/>
      <c r="BG328" s="84">
        <f>ROUND(AZ328-SUM(D328:G328),1)</f>
        <v>0</v>
      </c>
      <c r="BH328" s="84">
        <f>ROUND(BA328-SUM(H328:K328),1)</f>
        <v>0</v>
      </c>
      <c r="BI328" s="84">
        <f>ROUND(BB328-SUM(L328:O328),1)</f>
        <v>0</v>
      </c>
      <c r="BJ328" s="84">
        <f>ROUND(BC328-SUM(P328:S328),1)</f>
        <v>0</v>
      </c>
      <c r="BK328" s="84"/>
    </row>
    <row r="329" spans="1:63" ht="11.25" customHeight="1">
      <c r="A329" s="2"/>
      <c r="B329" s="30" t="s">
        <v>136</v>
      </c>
      <c r="C329" s="2"/>
      <c r="D329" s="223">
        <v>4.5115697476743897</v>
      </c>
      <c r="E329" s="223">
        <v>4.6594839957207075</v>
      </c>
      <c r="F329" s="223">
        <v>5.295334581897249</v>
      </c>
      <c r="G329" s="223">
        <v>5.5057593202013297</v>
      </c>
      <c r="H329" s="223">
        <v>5.3871362751988796</v>
      </c>
      <c r="I329" s="223">
        <v>5.1815260368672229</v>
      </c>
      <c r="J329" s="223">
        <v>6.0260699887568139</v>
      </c>
      <c r="K329" s="223">
        <v>6.4107154413430241</v>
      </c>
      <c r="L329" s="223">
        <v>7.8185218995085766</v>
      </c>
      <c r="M329" s="223">
        <v>9.140850502368437</v>
      </c>
      <c r="N329" s="223">
        <v>10.832041104834504</v>
      </c>
      <c r="O329" s="223">
        <v>11.411996234984029</v>
      </c>
      <c r="P329" s="223">
        <v>7.9827051587384936</v>
      </c>
      <c r="Q329" s="223">
        <v>7.0113044656304178</v>
      </c>
      <c r="R329" s="223">
        <v>8.137491681704919</v>
      </c>
      <c r="S329" s="223">
        <v>9.206281791440901</v>
      </c>
      <c r="T329" s="223">
        <v>8.6961529808957874</v>
      </c>
      <c r="U329" s="223">
        <v>9.5579546690284634</v>
      </c>
      <c r="V329" s="223">
        <v>12.54</v>
      </c>
      <c r="W329" s="14"/>
      <c r="X329" s="14"/>
      <c r="Y329" s="14"/>
      <c r="Z329" s="14"/>
      <c r="AA329" s="14"/>
      <c r="AB329" s="14"/>
      <c r="AC329" s="330">
        <v>4.4000000000000004</v>
      </c>
      <c r="AD329" s="330">
        <v>2.54</v>
      </c>
      <c r="AE329" s="330">
        <v>3.24</v>
      </c>
      <c r="AF329" s="330">
        <v>5.71</v>
      </c>
      <c r="AG329" s="330">
        <v>0.83</v>
      </c>
      <c r="AH329" s="330">
        <v>1.1399999999999999</v>
      </c>
      <c r="AI329" s="330">
        <v>2.33</v>
      </c>
      <c r="AJ329" s="330">
        <v>3.97</v>
      </c>
      <c r="AK329" s="330">
        <v>3.79</v>
      </c>
      <c r="AL329" s="330">
        <v>4.9203436147200144</v>
      </c>
      <c r="AM329" s="330">
        <v>4.1399999999999997</v>
      </c>
      <c r="AN329" s="330">
        <v>3.83</v>
      </c>
      <c r="AO329" s="330">
        <v>3.44</v>
      </c>
      <c r="AP329" s="330">
        <v>6.23</v>
      </c>
      <c r="AQ329" s="330">
        <v>5.18</v>
      </c>
      <c r="AR329" s="223">
        <v>6.41</v>
      </c>
      <c r="AS329" s="223">
        <v>7.26</v>
      </c>
      <c r="AT329" s="223">
        <v>10.177313418782374</v>
      </c>
      <c r="AU329" s="223">
        <v>11.822959462417618</v>
      </c>
      <c r="AV329" s="223">
        <v>12.890176468539959</v>
      </c>
      <c r="AW329" s="223">
        <v>13.232026283021382</v>
      </c>
      <c r="AX329" s="223">
        <v>13.5412931836744</v>
      </c>
      <c r="AY329" s="223">
        <v>13.31502515461472</v>
      </c>
      <c r="AZ329" s="223">
        <v>19.972147645493678</v>
      </c>
      <c r="BA329" s="223">
        <v>23.005447742165941</v>
      </c>
      <c r="BB329" s="223">
        <v>39.203795679676446</v>
      </c>
      <c r="BC329" s="223">
        <v>32.337884754850982</v>
      </c>
      <c r="BD329" s="14"/>
      <c r="BE329" s="14"/>
      <c r="BF329" s="2"/>
      <c r="BG329" s="221"/>
      <c r="BH329" s="221"/>
      <c r="BI329" s="221"/>
      <c r="BJ329" s="221"/>
      <c r="BK329" s="221"/>
    </row>
    <row r="330" spans="1:63" ht="11.25" customHeight="1">
      <c r="A330" s="2"/>
      <c r="B330" s="30" t="s">
        <v>173</v>
      </c>
      <c r="C330" s="2"/>
      <c r="D330" s="223">
        <v>0.74851009517775324</v>
      </c>
      <c r="E330" s="223">
        <v>0.77870913759621418</v>
      </c>
      <c r="F330" s="223">
        <v>0.90167119293986675</v>
      </c>
      <c r="G330" s="223">
        <v>0.96521147929619067</v>
      </c>
      <c r="H330" s="223">
        <v>0.96017115374449813</v>
      </c>
      <c r="I330" s="223">
        <v>0.92510730884970949</v>
      </c>
      <c r="J330" s="223">
        <v>1.0810645453619916</v>
      </c>
      <c r="K330" s="223">
        <v>1.1499999999999999</v>
      </c>
      <c r="L330" s="223">
        <v>1.3984620983595506</v>
      </c>
      <c r="M330" s="223">
        <v>1.5536680324928505</v>
      </c>
      <c r="N330" s="223">
        <v>1.7865221508171434</v>
      </c>
      <c r="O330" s="223">
        <v>1.8180653552627097</v>
      </c>
      <c r="P330" s="223">
        <v>1.3119523319098207</v>
      </c>
      <c r="Q330" s="223">
        <v>1.1429486935365183</v>
      </c>
      <c r="R330" s="223">
        <v>1.2858280949506871</v>
      </c>
      <c r="S330" s="223">
        <v>1.444077329564704</v>
      </c>
      <c r="T330" s="223">
        <v>1.3846495415731144</v>
      </c>
      <c r="U330" s="223">
        <v>1.4774554301966958</v>
      </c>
      <c r="V330" s="223">
        <v>1.94</v>
      </c>
      <c r="W330" s="15"/>
      <c r="X330" s="15"/>
      <c r="Y330" s="15"/>
      <c r="Z330" s="15"/>
      <c r="AA330" s="15"/>
      <c r="AB330" s="15"/>
      <c r="AC330" s="330">
        <v>0.77</v>
      </c>
      <c r="AD330" s="330">
        <v>0.38</v>
      </c>
      <c r="AE330" s="330">
        <v>0.5</v>
      </c>
      <c r="AF330" s="330">
        <v>0.91</v>
      </c>
      <c r="AG330" s="330">
        <v>0.12</v>
      </c>
      <c r="AH330" s="330">
        <v>0.16</v>
      </c>
      <c r="AI330" s="330">
        <v>0.34</v>
      </c>
      <c r="AJ330" s="330">
        <v>0.59</v>
      </c>
      <c r="AK330" s="330">
        <v>0.59</v>
      </c>
      <c r="AL330" s="330">
        <v>0.76</v>
      </c>
      <c r="AM330" s="330">
        <v>0.63</v>
      </c>
      <c r="AN330" s="330">
        <v>0.61</v>
      </c>
      <c r="AO330" s="330">
        <v>0.52</v>
      </c>
      <c r="AP330" s="330">
        <v>0.99</v>
      </c>
      <c r="AQ330" s="330">
        <v>0.88</v>
      </c>
      <c r="AR330" s="223">
        <v>1.08</v>
      </c>
      <c r="AS330" s="223">
        <v>1.22</v>
      </c>
      <c r="AT330" s="223">
        <v>1.6792583933574852</v>
      </c>
      <c r="AU330" s="223">
        <v>1.8646436397845025</v>
      </c>
      <c r="AV330" s="223">
        <v>2.0012073012078431</v>
      </c>
      <c r="AW330" s="223">
        <v>2.173103347515418</v>
      </c>
      <c r="AX330" s="223">
        <v>2.2446860696340583</v>
      </c>
      <c r="AY330" s="223">
        <v>2.1548835013132739</v>
      </c>
      <c r="AZ330" s="223">
        <v>3.39304604761878</v>
      </c>
      <c r="BA330" s="223">
        <v>4.1173797727325665</v>
      </c>
      <c r="BB330" s="223">
        <v>6.5701015048896334</v>
      </c>
      <c r="BC330" s="223">
        <v>5.1831839645537716</v>
      </c>
      <c r="BD330" s="15"/>
      <c r="BE330" s="15"/>
      <c r="BF330" s="2"/>
      <c r="BG330" s="221">
        <f>ROUND(AZ330-SUM(D330:G330),1)</f>
        <v>0</v>
      </c>
      <c r="BH330" s="221">
        <f>ROUND(BA330-SUM(H330:K330),1)</f>
        <v>0</v>
      </c>
      <c r="BI330" s="221">
        <f>ROUND(BB330-SUM(L330:O330),1)</f>
        <v>0</v>
      </c>
      <c r="BJ330" s="221">
        <f>ROUND(BC330-SUM(P330:S330),1)</f>
        <v>0</v>
      </c>
      <c r="BK330" s="221"/>
    </row>
    <row r="331" spans="1:63" ht="11.25" customHeight="1">
      <c r="A331" s="2"/>
      <c r="B331" s="30"/>
      <c r="C331" s="2"/>
      <c r="D331" s="241"/>
      <c r="E331" s="241"/>
      <c r="F331" s="241"/>
      <c r="G331" s="241"/>
      <c r="H331" s="241"/>
      <c r="I331" s="241"/>
      <c r="J331" s="241"/>
      <c r="K331" s="241"/>
      <c r="L331" s="241"/>
      <c r="M331" s="241"/>
      <c r="N331" s="241"/>
      <c r="O331" s="241"/>
      <c r="P331" s="241"/>
      <c r="Q331" s="241"/>
      <c r="R331" s="241"/>
      <c r="S331" s="241"/>
      <c r="T331" s="241"/>
      <c r="U331" s="15"/>
      <c r="V331" s="15"/>
      <c r="W331" s="15"/>
      <c r="X331" s="15"/>
      <c r="Y331" s="15"/>
      <c r="Z331" s="15"/>
      <c r="AA331" s="15"/>
      <c r="AB331" s="15"/>
      <c r="AC331" s="242"/>
      <c r="AD331" s="242"/>
      <c r="AE331" s="242"/>
      <c r="AF331" s="242"/>
      <c r="AG331" s="242"/>
      <c r="AH331" s="242"/>
      <c r="AI331" s="242"/>
      <c r="AJ331" s="242"/>
      <c r="AK331" s="242"/>
      <c r="AL331" s="242"/>
      <c r="AM331" s="242"/>
      <c r="AN331" s="242"/>
      <c r="AO331" s="242"/>
      <c r="AP331" s="242"/>
      <c r="AQ331" s="242"/>
      <c r="AR331" s="241"/>
      <c r="AS331" s="241"/>
      <c r="AT331" s="241"/>
      <c r="AU331" s="241"/>
      <c r="AV331" s="241"/>
      <c r="AW331" s="241"/>
      <c r="AX331" s="241"/>
      <c r="AY331" s="241"/>
      <c r="AZ331" s="241"/>
      <c r="BA331" s="241"/>
      <c r="BB331" s="241"/>
      <c r="BC331" s="241"/>
      <c r="BD331" s="15"/>
      <c r="BE331" s="15"/>
      <c r="BF331" s="2"/>
      <c r="BG331" s="221"/>
      <c r="BH331" s="221"/>
      <c r="BI331" s="221"/>
      <c r="BJ331" s="221"/>
      <c r="BK331" s="221"/>
    </row>
    <row r="332" spans="1:63" ht="11.25" customHeight="1">
      <c r="A332" s="2"/>
      <c r="B332" s="30" t="s">
        <v>258</v>
      </c>
      <c r="C332" s="2"/>
      <c r="D332" s="20">
        <f>D325/D329</f>
        <v>25.930442516222673</v>
      </c>
      <c r="E332" s="20">
        <f t="shared" ref="E332:U332" si="1052">E325/E329</f>
        <v>25.930339091402288</v>
      </c>
      <c r="F332" s="20">
        <f t="shared" si="1052"/>
        <v>25.930372836007585</v>
      </c>
      <c r="G332" s="20">
        <f t="shared" si="1052"/>
        <v>25.930301652702727</v>
      </c>
      <c r="H332" s="20">
        <f t="shared" si="1052"/>
        <v>25.930288907503641</v>
      </c>
      <c r="I332" s="20">
        <f t="shared" si="1052"/>
        <v>25.930391750233131</v>
      </c>
      <c r="J332" s="20">
        <f t="shared" si="1052"/>
        <v>25.9304986984123</v>
      </c>
      <c r="K332" s="20">
        <f t="shared" si="1052"/>
        <v>25.930335158531843</v>
      </c>
      <c r="L332" s="20">
        <f t="shared" si="1052"/>
        <v>25.929837200141694</v>
      </c>
      <c r="M332" s="20">
        <f t="shared" si="1052"/>
        <v>25.930519259513673</v>
      </c>
      <c r="N332" s="20">
        <f t="shared" si="1052"/>
        <v>25.929185209114952</v>
      </c>
      <c r="O332" s="20">
        <f t="shared" si="1052"/>
        <v>25.929205890630413</v>
      </c>
      <c r="P332" s="20">
        <f t="shared" si="1052"/>
        <v>25.929430673437292</v>
      </c>
      <c r="Q332" s="20">
        <f t="shared" si="1052"/>
        <v>25.929411693812906</v>
      </c>
      <c r="R332" s="20">
        <f t="shared" si="1052"/>
        <v>25.929365983178805</v>
      </c>
      <c r="S332" s="20">
        <f t="shared" si="1052"/>
        <v>25.929251939901626</v>
      </c>
      <c r="T332" s="20">
        <f t="shared" si="1052"/>
        <v>25.929281659989023</v>
      </c>
      <c r="U332" s="20">
        <f t="shared" si="1052"/>
        <v>25.930757006320128</v>
      </c>
      <c r="V332" s="20">
        <f t="shared" ref="V332" si="1053">V325/V329</f>
        <v>25.937639553429026</v>
      </c>
      <c r="W332" s="15"/>
      <c r="X332" s="15"/>
      <c r="Y332" s="15"/>
      <c r="Z332" s="15"/>
      <c r="AA332" s="15"/>
      <c r="AB332" s="15"/>
      <c r="AC332" s="20">
        <f>AC325/AC329</f>
        <v>4.081818181818182</v>
      </c>
      <c r="AD332" s="20">
        <f t="shared" ref="AD332:BC332" si="1054">AD325/AD329</f>
        <v>6.0409448818897635</v>
      </c>
      <c r="AE332" s="20">
        <f t="shared" si="1054"/>
        <v>7.5802469135802459</v>
      </c>
      <c r="AF332" s="20">
        <f t="shared" si="1054"/>
        <v>11.402101576182135</v>
      </c>
      <c r="AG332" s="20">
        <f t="shared" si="1054"/>
        <v>17.449397590361446</v>
      </c>
      <c r="AH332" s="20">
        <f t="shared" si="1054"/>
        <v>18.956140350877195</v>
      </c>
      <c r="AI332" s="20">
        <f t="shared" si="1054"/>
        <v>20.282832618025751</v>
      </c>
      <c r="AJ332" s="20">
        <f t="shared" si="1054"/>
        <v>23.253400503778337</v>
      </c>
      <c r="AK332" s="20">
        <f t="shared" si="1054"/>
        <v>24.689973614775727</v>
      </c>
      <c r="AL332" s="20">
        <f t="shared" si="1054"/>
        <v>25.813237843801961</v>
      </c>
      <c r="AM332" s="20">
        <f t="shared" si="1054"/>
        <v>26.371256038647346</v>
      </c>
      <c r="AN332" s="20">
        <f t="shared" si="1054"/>
        <v>26.092167101827677</v>
      </c>
      <c r="AO332" s="20">
        <f t="shared" si="1054"/>
        <v>25.935465116279072</v>
      </c>
      <c r="AP332" s="20">
        <f t="shared" si="1054"/>
        <v>25.939807383627606</v>
      </c>
      <c r="AQ332" s="20">
        <f t="shared" si="1054"/>
        <v>25.907528957528957</v>
      </c>
      <c r="AR332" s="20">
        <f t="shared" si="1054"/>
        <v>25.946645865834636</v>
      </c>
      <c r="AS332" s="20">
        <f t="shared" si="1054"/>
        <v>25.915564738292012</v>
      </c>
      <c r="AT332" s="20">
        <f t="shared" si="1054"/>
        <v>25.928453722669293</v>
      </c>
      <c r="AU332" s="20">
        <f t="shared" si="1054"/>
        <v>25.930394244734238</v>
      </c>
      <c r="AV332" s="20">
        <f t="shared" si="1054"/>
        <v>25.930366493877752</v>
      </c>
      <c r="AW332" s="20">
        <f t="shared" si="1054"/>
        <v>25.930344503642758</v>
      </c>
      <c r="AX332" s="20">
        <f t="shared" si="1054"/>
        <v>25.930389013608327</v>
      </c>
      <c r="AY332" s="20">
        <f t="shared" si="1054"/>
        <v>25.930405387205631</v>
      </c>
      <c r="AZ332" s="20">
        <f t="shared" si="1054"/>
        <v>25.9303610804645</v>
      </c>
      <c r="BA332" s="20">
        <f t="shared" si="1054"/>
        <v>25.930379911998891</v>
      </c>
      <c r="BB332" s="20">
        <f t="shared" si="1054"/>
        <v>25.9293770507782</v>
      </c>
      <c r="BC332" s="20">
        <f t="shared" si="1054"/>
        <v>25.929277884330933</v>
      </c>
      <c r="BD332" s="15"/>
      <c r="BE332" s="15"/>
      <c r="BF332" s="2"/>
      <c r="BG332" s="221"/>
      <c r="BH332" s="221"/>
      <c r="BI332" s="221"/>
      <c r="BJ332" s="221"/>
      <c r="BK332" s="221"/>
    </row>
    <row r="333" spans="1:63" ht="11.25" customHeight="1">
      <c r="A333" s="2"/>
      <c r="B333" s="36"/>
      <c r="C333" s="2"/>
      <c r="D333" s="38"/>
      <c r="E333" s="38"/>
      <c r="F333" s="34"/>
      <c r="G333" s="34"/>
      <c r="H333" s="34"/>
      <c r="I333" s="34"/>
      <c r="J333" s="34"/>
      <c r="K333" s="34"/>
      <c r="L333" s="34"/>
      <c r="M333" s="34"/>
      <c r="N333" s="34"/>
      <c r="O333" s="34"/>
      <c r="P333" s="34"/>
      <c r="Q333" s="34"/>
      <c r="R333" s="34"/>
      <c r="S333" s="33"/>
      <c r="T333" s="33"/>
      <c r="U333" s="33"/>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34"/>
      <c r="AW333" s="34"/>
      <c r="AX333" s="34"/>
      <c r="AY333" s="34"/>
      <c r="AZ333" s="34"/>
      <c r="BA333" s="34"/>
      <c r="BB333" s="34"/>
      <c r="BC333" s="2"/>
      <c r="BD333" s="2"/>
      <c r="BE333" s="2"/>
      <c r="BF333" s="2"/>
      <c r="BG333" s="2"/>
      <c r="BH333" s="2"/>
      <c r="BI333" s="2"/>
      <c r="BJ333" s="2"/>
      <c r="BK333" s="2"/>
    </row>
    <row r="334" spans="1:63" ht="11.25" customHeight="1">
      <c r="A334" s="2"/>
      <c r="B334" s="128" t="s">
        <v>9</v>
      </c>
      <c r="C334" s="2"/>
      <c r="D334" s="40"/>
      <c r="E334" s="40"/>
      <c r="F334" s="40"/>
      <c r="G334" s="40"/>
      <c r="H334" s="40"/>
      <c r="I334" s="40"/>
      <c r="J334" s="40"/>
      <c r="K334" s="40"/>
      <c r="L334" s="40"/>
      <c r="M334" s="40"/>
      <c r="N334" s="40"/>
      <c r="O334" s="40"/>
      <c r="P334" s="40"/>
      <c r="Q334" s="40"/>
      <c r="R334" s="40"/>
      <c r="S334" s="33"/>
      <c r="T334" s="33"/>
      <c r="U334" s="33"/>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40"/>
      <c r="AW334" s="40"/>
      <c r="AX334" s="40"/>
      <c r="AY334" s="40"/>
      <c r="AZ334" s="40"/>
      <c r="BA334" s="40"/>
      <c r="BB334" s="40"/>
      <c r="BC334" s="2"/>
      <c r="BD334" s="2"/>
      <c r="BE334" s="2"/>
      <c r="BF334" s="2"/>
      <c r="BG334" s="2"/>
      <c r="BH334" s="2"/>
      <c r="BI334" s="2"/>
      <c r="BJ334" s="2"/>
      <c r="BK334" s="2"/>
    </row>
    <row r="335" spans="1:63" ht="11.25" customHeight="1">
      <c r="A335" s="2"/>
      <c r="B335" s="75" t="s">
        <v>425</v>
      </c>
      <c r="C335" s="123"/>
      <c r="D335" s="123"/>
      <c r="E335" s="123"/>
      <c r="F335" s="73"/>
      <c r="G335" s="73"/>
      <c r="H335" s="73"/>
      <c r="I335" s="73"/>
      <c r="J335" s="73"/>
      <c r="K335" s="73"/>
      <c r="L335" s="73"/>
      <c r="M335" s="73"/>
      <c r="N335" s="73"/>
      <c r="O335" s="73"/>
      <c r="P335" s="73"/>
      <c r="Q335" s="73"/>
      <c r="R335" s="73"/>
      <c r="S335" s="73"/>
      <c r="T335" s="73"/>
      <c r="U335" s="73"/>
      <c r="V335" s="73"/>
      <c r="W335" s="73"/>
      <c r="X335" s="73"/>
      <c r="Y335" s="73"/>
      <c r="Z335" s="73"/>
      <c r="AA335" s="73"/>
      <c r="AB335" s="123"/>
      <c r="AC335" s="123"/>
      <c r="AD335" s="123"/>
      <c r="AE335" s="123"/>
      <c r="AF335" s="123"/>
      <c r="AG335" s="123"/>
      <c r="AH335" s="123"/>
      <c r="AI335" s="123"/>
      <c r="AJ335" s="123"/>
      <c r="AK335" s="123"/>
      <c r="AL335" s="123"/>
      <c r="AM335" s="123"/>
      <c r="AN335" s="123"/>
      <c r="AO335" s="123"/>
      <c r="AP335" s="123"/>
      <c r="AQ335" s="123"/>
      <c r="AR335" s="123"/>
      <c r="AS335" s="123"/>
      <c r="AT335" s="123"/>
      <c r="AU335" s="123"/>
      <c r="AV335" s="73"/>
      <c r="AW335" s="73"/>
      <c r="AX335" s="73"/>
      <c r="AY335" s="73"/>
      <c r="AZ335" s="74"/>
      <c r="BA335" s="74"/>
      <c r="BB335" s="74"/>
      <c r="BC335" s="74"/>
      <c r="BD335" s="73" t="s">
        <v>51</v>
      </c>
      <c r="BE335" s="47"/>
      <c r="BF335" s="2"/>
      <c r="BG335" s="2"/>
      <c r="BH335" s="2"/>
      <c r="BI335" s="2"/>
      <c r="BJ335" s="2"/>
      <c r="BK335" s="2"/>
    </row>
    <row r="336" spans="1:63" ht="11.25" customHeight="1">
      <c r="A336" s="2"/>
      <c r="B336" s="116" t="s">
        <v>149</v>
      </c>
      <c r="C336" s="4"/>
      <c r="D336" s="4"/>
      <c r="E336" s="4"/>
      <c r="F336" s="47"/>
      <c r="G336" s="47"/>
      <c r="H336" s="47"/>
      <c r="I336" s="47"/>
      <c r="J336" s="47"/>
      <c r="K336" s="47"/>
      <c r="L336" s="47"/>
      <c r="M336" s="47"/>
      <c r="N336" s="47"/>
      <c r="O336" s="47"/>
      <c r="P336" s="47"/>
      <c r="Q336" s="47"/>
      <c r="R336" s="47"/>
      <c r="S336" s="47"/>
      <c r="T336" s="47"/>
      <c r="U336" s="47"/>
      <c r="V336" s="47"/>
      <c r="W336" s="47"/>
      <c r="X336" s="47"/>
      <c r="Y336" s="47"/>
      <c r="Z336" s="47"/>
      <c r="AA336" s="47"/>
      <c r="AB336" s="4"/>
      <c r="AC336" s="4"/>
      <c r="AD336" s="4"/>
      <c r="AE336" s="4"/>
      <c r="AF336" s="4"/>
      <c r="AG336" s="4"/>
      <c r="AH336" s="4"/>
      <c r="AI336" s="4"/>
      <c r="AJ336" s="4"/>
      <c r="AK336" s="4"/>
      <c r="AL336" s="4"/>
      <c r="AM336" s="4"/>
      <c r="AN336" s="4"/>
      <c r="AO336" s="4"/>
      <c r="AP336" s="4"/>
      <c r="AQ336" s="4"/>
      <c r="AR336" s="4"/>
      <c r="AS336" s="4"/>
      <c r="AT336" s="4"/>
      <c r="AU336" s="4"/>
      <c r="AV336" s="47"/>
      <c r="AW336" s="47"/>
      <c r="AX336" s="47"/>
      <c r="AY336" s="47"/>
      <c r="BD336" s="47"/>
      <c r="BE336" s="47"/>
      <c r="BF336" s="2"/>
      <c r="BG336" s="2"/>
      <c r="BH336" s="2"/>
      <c r="BI336" s="2"/>
      <c r="BJ336" s="2"/>
      <c r="BK336" s="2"/>
    </row>
    <row r="337" spans="1:63" ht="11.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row>
    <row r="338" spans="1:63" ht="11.25" customHeight="1">
      <c r="A338" s="2"/>
      <c r="B338" s="11" t="s">
        <v>12</v>
      </c>
      <c r="C338" s="10"/>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row>
    <row r="339" spans="1:63" ht="11.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435"/>
      <c r="AD339" s="435"/>
      <c r="AE339" s="435"/>
      <c r="AF339" s="435"/>
      <c r="AG339" s="435"/>
      <c r="AH339" s="435"/>
      <c r="AI339" s="435"/>
      <c r="AJ339" s="435"/>
      <c r="AK339" s="435"/>
      <c r="AL339" s="435"/>
      <c r="AM339" s="435"/>
      <c r="AN339" s="435"/>
      <c r="AO339" s="435"/>
      <c r="AP339" s="435"/>
      <c r="AQ339" s="435"/>
      <c r="AR339" s="435"/>
      <c r="AS339" s="435"/>
      <c r="AT339" s="435"/>
      <c r="AU339" s="435"/>
      <c r="AV339" s="435"/>
      <c r="AW339" s="435"/>
      <c r="AX339" s="435"/>
      <c r="AY339" s="435"/>
      <c r="AZ339" s="435"/>
      <c r="BA339" s="435"/>
      <c r="BB339" s="435"/>
      <c r="BC339" s="435"/>
      <c r="BD339" s="2"/>
      <c r="BE339" s="2"/>
      <c r="BF339" s="2"/>
      <c r="BG339" s="2"/>
      <c r="BH339" s="2"/>
      <c r="BI339" s="2"/>
      <c r="BJ339" s="2"/>
      <c r="BK339" s="2"/>
    </row>
    <row r="340" spans="1:63" ht="11.25" customHeight="1">
      <c r="A340" s="2"/>
      <c r="B340" s="65" t="s">
        <v>127</v>
      </c>
      <c r="C340" s="2"/>
      <c r="D340" s="435" t="s">
        <v>845</v>
      </c>
      <c r="E340" s="435" t="s">
        <v>845</v>
      </c>
      <c r="F340" s="435" t="s">
        <v>845</v>
      </c>
      <c r="G340" s="435" t="s">
        <v>845</v>
      </c>
      <c r="H340" s="435" t="s">
        <v>845</v>
      </c>
      <c r="I340" s="435" t="s">
        <v>845</v>
      </c>
      <c r="J340" s="435" t="s">
        <v>845</v>
      </c>
      <c r="K340" s="435" t="s">
        <v>845</v>
      </c>
      <c r="L340" s="435" t="s">
        <v>845</v>
      </c>
      <c r="M340" s="435" t="s">
        <v>845</v>
      </c>
      <c r="N340" s="435" t="s">
        <v>845</v>
      </c>
      <c r="O340" s="435" t="s">
        <v>845</v>
      </c>
      <c r="P340" s="435" t="s">
        <v>845</v>
      </c>
      <c r="Q340" s="435" t="s">
        <v>845</v>
      </c>
      <c r="R340" s="435" t="s">
        <v>845</v>
      </c>
      <c r="S340" s="435" t="s">
        <v>845</v>
      </c>
      <c r="T340" s="435" t="s">
        <v>845</v>
      </c>
      <c r="U340" s="435" t="s">
        <v>845</v>
      </c>
      <c r="V340" s="435" t="s">
        <v>845</v>
      </c>
      <c r="W340" s="2"/>
      <c r="X340" s="2"/>
      <c r="Y340" s="2"/>
      <c r="Z340" s="2"/>
      <c r="AA340" s="2"/>
      <c r="AB340" s="2"/>
      <c r="AC340" s="435" t="s">
        <v>844</v>
      </c>
      <c r="AD340" s="435" t="s">
        <v>844</v>
      </c>
      <c r="AE340" s="435" t="s">
        <v>844</v>
      </c>
      <c r="AF340" s="435" t="s">
        <v>844</v>
      </c>
      <c r="AG340" s="435" t="s">
        <v>844</v>
      </c>
      <c r="AH340" s="435" t="s">
        <v>844</v>
      </c>
      <c r="AI340" s="435" t="s">
        <v>844</v>
      </c>
      <c r="AJ340" s="435" t="s">
        <v>844</v>
      </c>
      <c r="AK340" s="435" t="s">
        <v>844</v>
      </c>
      <c r="AL340" s="435" t="s">
        <v>844</v>
      </c>
      <c r="AM340" s="435" t="s">
        <v>844</v>
      </c>
      <c r="AN340" s="435" t="s">
        <v>844</v>
      </c>
      <c r="AO340" s="435" t="s">
        <v>844</v>
      </c>
      <c r="AP340" s="435" t="s">
        <v>844</v>
      </c>
      <c r="AQ340" s="435" t="s">
        <v>844</v>
      </c>
      <c r="AR340" s="435" t="s">
        <v>845</v>
      </c>
      <c r="AS340" s="435" t="s">
        <v>845</v>
      </c>
      <c r="AT340" s="435" t="s">
        <v>853</v>
      </c>
      <c r="AU340" s="435" t="s">
        <v>845</v>
      </c>
      <c r="AV340" s="435" t="s">
        <v>845</v>
      </c>
      <c r="AW340" s="435" t="s">
        <v>845</v>
      </c>
      <c r="AX340" s="435" t="s">
        <v>845</v>
      </c>
      <c r="AY340" s="435" t="s">
        <v>845</v>
      </c>
      <c r="AZ340" s="435" t="s">
        <v>845</v>
      </c>
      <c r="BA340" s="435" t="s">
        <v>845</v>
      </c>
      <c r="BB340" s="435" t="s">
        <v>845</v>
      </c>
      <c r="BC340" s="435" t="s">
        <v>845</v>
      </c>
      <c r="BD340" s="2"/>
      <c r="BE340" s="2"/>
      <c r="BF340" s="2"/>
      <c r="BG340" s="2"/>
      <c r="BH340" s="2"/>
      <c r="BI340" s="2"/>
      <c r="BJ340" s="2"/>
      <c r="BK340" s="2"/>
    </row>
    <row r="341" spans="1:63" ht="11.25" customHeight="1">
      <c r="A341" s="2"/>
      <c r="B341" s="13" t="s">
        <v>134</v>
      </c>
      <c r="C341" s="2"/>
      <c r="D341" s="16">
        <v>132.14699999999999</v>
      </c>
      <c r="E341" s="16">
        <v>136.399</v>
      </c>
      <c r="F341" s="16">
        <v>155.124</v>
      </c>
      <c r="G341" s="16">
        <v>161.107</v>
      </c>
      <c r="H341" s="16">
        <v>155.06399999999999</v>
      </c>
      <c r="I341" s="16">
        <v>149.39099999999999</v>
      </c>
      <c r="J341" s="16">
        <v>173.852</v>
      </c>
      <c r="K341" s="16">
        <v>184.81899999999999</v>
      </c>
      <c r="L341" s="16">
        <v>226.83199999999999</v>
      </c>
      <c r="M341" s="16">
        <v>265.99799999999999</v>
      </c>
      <c r="N341" s="16">
        <v>316.69099999999997</v>
      </c>
      <c r="O341" s="16">
        <v>334.67</v>
      </c>
      <c r="P341" s="16">
        <v>244.27500000000001</v>
      </c>
      <c r="Q341" s="16">
        <v>214.67500000000001</v>
      </c>
      <c r="R341" s="16">
        <v>241.94</v>
      </c>
      <c r="S341" s="16">
        <v>278.28100000000001</v>
      </c>
      <c r="T341" s="16">
        <v>266.54300000000001</v>
      </c>
      <c r="U341" s="16">
        <v>306.31099999999998</v>
      </c>
      <c r="V341" s="16">
        <v>384.18700000000001</v>
      </c>
      <c r="W341" s="16"/>
      <c r="X341" s="16"/>
      <c r="Y341" s="16"/>
      <c r="Z341" s="16"/>
      <c r="AA341" s="16"/>
      <c r="AB341" s="16"/>
      <c r="AC341" s="239" t="s">
        <v>174</v>
      </c>
      <c r="AD341" s="239" t="s">
        <v>174</v>
      </c>
      <c r="AE341" s="239" t="s">
        <v>174</v>
      </c>
      <c r="AF341" s="239" t="s">
        <v>174</v>
      </c>
      <c r="AG341" s="239" t="s">
        <v>174</v>
      </c>
      <c r="AH341" s="239" t="s">
        <v>174</v>
      </c>
      <c r="AI341" s="239" t="s">
        <v>174</v>
      </c>
      <c r="AJ341" s="239" t="s">
        <v>174</v>
      </c>
      <c r="AK341" s="239" t="s">
        <v>174</v>
      </c>
      <c r="AL341" s="239" t="s">
        <v>174</v>
      </c>
      <c r="AM341" s="239" t="s">
        <v>174</v>
      </c>
      <c r="AN341" s="239" t="s">
        <v>174</v>
      </c>
      <c r="AO341" s="239" t="s">
        <v>174</v>
      </c>
      <c r="AP341" s="239" t="s">
        <v>174</v>
      </c>
      <c r="AQ341" s="239" t="s">
        <v>174</v>
      </c>
      <c r="AR341" s="16">
        <v>181.67599999999999</v>
      </c>
      <c r="AS341" s="16">
        <v>215.48699999999999</v>
      </c>
      <c r="AT341" s="16">
        <v>302.07900000000001</v>
      </c>
      <c r="AU341" s="16">
        <v>350.42899999999997</v>
      </c>
      <c r="AV341" s="16">
        <v>385.959</v>
      </c>
      <c r="AW341" s="16">
        <v>396.13299999999998</v>
      </c>
      <c r="AX341" s="16">
        <v>397.51</v>
      </c>
      <c r="AY341" s="16">
        <v>389.84500000000003</v>
      </c>
      <c r="AZ341" s="16">
        <v>584.77700000000004</v>
      </c>
      <c r="BA341" s="16">
        <v>663.12599999999998</v>
      </c>
      <c r="BB341" s="16">
        <v>1144.191</v>
      </c>
      <c r="BC341" s="16">
        <v>979.17100000000005</v>
      </c>
      <c r="BD341" s="2"/>
      <c r="BE341" s="2"/>
      <c r="BF341" s="2"/>
      <c r="BG341" s="84">
        <f t="shared" ref="BG341:BG346" si="1055">ROUND(AZ341-SUM(D341:G341),1)</f>
        <v>0</v>
      </c>
      <c r="BH341" s="84">
        <f t="shared" ref="BH341:BH346" si="1056">ROUND(BA341-SUM(H341:K341),1)</f>
        <v>0</v>
      </c>
      <c r="BI341" s="84">
        <f t="shared" ref="BI341:BI346" si="1057">ROUND(BB341-SUM(L341:O341),1)</f>
        <v>0</v>
      </c>
      <c r="BJ341" s="84">
        <f t="shared" ref="BJ341:BJ346" si="1058">ROUND(BC341-SUM(P341:S341),1)</f>
        <v>0</v>
      </c>
      <c r="BK341" s="84"/>
    </row>
    <row r="342" spans="1:63" ht="11.25" customHeight="1">
      <c r="A342" s="2"/>
      <c r="B342" s="13" t="s">
        <v>177</v>
      </c>
      <c r="C342" s="2"/>
      <c r="D342" s="16">
        <v>68.554000000000002</v>
      </c>
      <c r="E342" s="16">
        <v>70.876000000000005</v>
      </c>
      <c r="F342" s="16">
        <v>94.733000000000004</v>
      </c>
      <c r="G342" s="16">
        <v>97.561999999999998</v>
      </c>
      <c r="H342" s="16">
        <v>100.9</v>
      </c>
      <c r="I342" s="16">
        <v>103.80500000000001</v>
      </c>
      <c r="J342" s="16">
        <v>107.027</v>
      </c>
      <c r="K342" s="16">
        <v>110.663</v>
      </c>
      <c r="L342" s="16">
        <v>111.102</v>
      </c>
      <c r="M342" s="16">
        <v>113.22499999999999</v>
      </c>
      <c r="N342" s="16">
        <v>105.345</v>
      </c>
      <c r="O342" s="16">
        <v>107.58199999999999</v>
      </c>
      <c r="P342" s="16">
        <v>110.32299999999999</v>
      </c>
      <c r="Q342" s="16">
        <v>123.93899999999999</v>
      </c>
      <c r="R342" s="16">
        <v>147.28100000000001</v>
      </c>
      <c r="S342" s="16">
        <v>150.648</v>
      </c>
      <c r="T342" s="16">
        <v>159.023</v>
      </c>
      <c r="U342" s="16">
        <v>165.166</v>
      </c>
      <c r="V342" s="16">
        <v>168.22900000000001</v>
      </c>
      <c r="W342" s="16"/>
      <c r="X342" s="16"/>
      <c r="Y342" s="16"/>
      <c r="Z342" s="16"/>
      <c r="AA342" s="16"/>
      <c r="AB342" s="16"/>
      <c r="AC342" s="16">
        <v>9.782</v>
      </c>
      <c r="AD342" s="16">
        <v>15.295</v>
      </c>
      <c r="AE342" s="16">
        <v>21.417000000000002</v>
      </c>
      <c r="AF342" s="16">
        <v>41.445999999999998</v>
      </c>
      <c r="AG342" s="16">
        <v>55.323</v>
      </c>
      <c r="AH342" s="16">
        <v>65.001000000000005</v>
      </c>
      <c r="AI342" s="16">
        <v>69.161000000000001</v>
      </c>
      <c r="AJ342" s="16">
        <v>69.817999999999998</v>
      </c>
      <c r="AK342" s="16">
        <v>75.649000000000001</v>
      </c>
      <c r="AL342" s="16">
        <v>73.715000000000003</v>
      </c>
      <c r="AM342" s="16">
        <v>80.004999999999995</v>
      </c>
      <c r="AN342" s="16">
        <v>81.512</v>
      </c>
      <c r="AO342" s="16">
        <v>80.814999999999998</v>
      </c>
      <c r="AP342" s="16">
        <v>87.81</v>
      </c>
      <c r="AQ342" s="16">
        <v>107.682</v>
      </c>
      <c r="AR342" s="16">
        <v>131.34899999999999</v>
      </c>
      <c r="AS342" s="16">
        <v>156.18199999999999</v>
      </c>
      <c r="AT342" s="16">
        <v>200.25200000000001</v>
      </c>
      <c r="AU342" s="16">
        <v>222.506</v>
      </c>
      <c r="AV342" s="16">
        <v>223.828</v>
      </c>
      <c r="AW342" s="16">
        <v>260.14299999999997</v>
      </c>
      <c r="AX342" s="16">
        <v>292.54599999999999</v>
      </c>
      <c r="AY342" s="16">
        <v>286.88400000000001</v>
      </c>
      <c r="AZ342" s="16">
        <v>331.72500000000002</v>
      </c>
      <c r="BA342" s="16">
        <v>422.39499999999998</v>
      </c>
      <c r="BB342" s="16">
        <v>437.25400000000002</v>
      </c>
      <c r="BC342" s="16">
        <v>532.19100000000003</v>
      </c>
      <c r="BD342" s="2"/>
      <c r="BE342" s="2"/>
      <c r="BF342" s="2"/>
      <c r="BG342" s="84">
        <f t="shared" si="1055"/>
        <v>0</v>
      </c>
      <c r="BH342" s="84">
        <f t="shared" si="1056"/>
        <v>0</v>
      </c>
      <c r="BI342" s="84">
        <f t="shared" si="1057"/>
        <v>0</v>
      </c>
      <c r="BJ342" s="84">
        <f t="shared" si="1058"/>
        <v>0</v>
      </c>
      <c r="BK342" s="84"/>
    </row>
    <row r="343" spans="1:63" ht="11.25" customHeight="1">
      <c r="A343" s="2"/>
      <c r="B343" s="13" t="s">
        <v>141</v>
      </c>
      <c r="C343" s="2"/>
      <c r="D343" s="16">
        <v>-0.72599999999999998</v>
      </c>
      <c r="E343" s="16">
        <v>-0.67900000000000005</v>
      </c>
      <c r="F343" s="16">
        <v>-0.83299999999999996</v>
      </c>
      <c r="G343" s="16">
        <v>-1.355</v>
      </c>
      <c r="H343" s="16">
        <v>-1.2669999999999999</v>
      </c>
      <c r="I343" s="16">
        <v>-1.1719999999999999</v>
      </c>
      <c r="J343" s="16">
        <v>-1.5129999999999999</v>
      </c>
      <c r="K343" s="16">
        <v>-1.651</v>
      </c>
      <c r="L343" s="16">
        <v>-1.726</v>
      </c>
      <c r="M343" s="16">
        <v>-2.2570000000000001</v>
      </c>
      <c r="N343" s="16">
        <v>-2.0779999999999998</v>
      </c>
      <c r="O343" s="16">
        <v>-1.738</v>
      </c>
      <c r="P343" s="16">
        <v>-1.0389999999999999</v>
      </c>
      <c r="Q343" s="16">
        <v>-1.1339999999999999</v>
      </c>
      <c r="R343" s="16">
        <v>-1.167</v>
      </c>
      <c r="S343" s="16">
        <v>-1.3149999999999999</v>
      </c>
      <c r="T343" s="16">
        <v>-0.878</v>
      </c>
      <c r="U343" s="16">
        <v>-1.1519999999999999</v>
      </c>
      <c r="V343" s="16">
        <v>-1.5609999999999999</v>
      </c>
      <c r="W343" s="16"/>
      <c r="X343" s="16"/>
      <c r="Y343" s="16"/>
      <c r="Z343" s="16"/>
      <c r="AA343" s="16"/>
      <c r="AB343" s="16"/>
      <c r="AC343" s="16">
        <v>6.4000000000000001E-2</v>
      </c>
      <c r="AD343" s="16">
        <v>1.4</v>
      </c>
      <c r="AE343" s="16">
        <v>0.28899999999999998</v>
      </c>
      <c r="AF343" s="16">
        <v>0.187</v>
      </c>
      <c r="AG343" s="16">
        <v>3.9590000000000001</v>
      </c>
      <c r="AH343" s="16">
        <v>1.9770000000000001</v>
      </c>
      <c r="AI343" s="16">
        <v>0.29399999999999998</v>
      </c>
      <c r="AJ343" s="16">
        <v>-2.0939999999999999</v>
      </c>
      <c r="AK343" s="16">
        <v>-1.4330000000000001</v>
      </c>
      <c r="AL343" s="16">
        <v>-2.347</v>
      </c>
      <c r="AM343" s="16">
        <v>-2.508</v>
      </c>
      <c r="AN343" s="16">
        <v>-0.70199999999999996</v>
      </c>
      <c r="AO343" s="16">
        <v>-4.5999999999999999E-2</v>
      </c>
      <c r="AP343" s="16">
        <v>-2.298</v>
      </c>
      <c r="AQ343" s="16">
        <v>-0.89800000000000002</v>
      </c>
      <c r="AR343" s="16">
        <v>-2.073</v>
      </c>
      <c r="AS343" s="16">
        <v>-3.972</v>
      </c>
      <c r="AT343" s="16">
        <v>-3.9510000000000001</v>
      </c>
      <c r="AU343" s="16">
        <v>-4.1319999999999997</v>
      </c>
      <c r="AV343" s="16">
        <v>-3.4950000000000001</v>
      </c>
      <c r="AW343" s="16">
        <v>-2.9860000000000002</v>
      </c>
      <c r="AX343" s="16">
        <v>-3.0579999999999998</v>
      </c>
      <c r="AY343" s="16">
        <v>-2.8439999999999999</v>
      </c>
      <c r="AZ343" s="16">
        <v>-3.593</v>
      </c>
      <c r="BA343" s="16">
        <v>-5.6029999999999998</v>
      </c>
      <c r="BB343" s="16">
        <v>-7.7990000000000004</v>
      </c>
      <c r="BC343" s="16">
        <v>-4.6550000000000002</v>
      </c>
      <c r="BD343" s="2"/>
      <c r="BE343" s="2"/>
      <c r="BF343" s="2"/>
      <c r="BG343" s="84">
        <f t="shared" si="1055"/>
        <v>0</v>
      </c>
      <c r="BH343" s="84">
        <f t="shared" si="1056"/>
        <v>0</v>
      </c>
      <c r="BI343" s="84">
        <f t="shared" si="1057"/>
        <v>0</v>
      </c>
      <c r="BJ343" s="84">
        <f t="shared" si="1058"/>
        <v>0</v>
      </c>
      <c r="BK343" s="84"/>
    </row>
    <row r="344" spans="1:63" ht="11.25" customHeight="1">
      <c r="A344" s="2"/>
      <c r="B344" s="13" t="s">
        <v>178</v>
      </c>
      <c r="C344" s="2"/>
      <c r="D344" s="16">
        <v>-1.379</v>
      </c>
      <c r="E344" s="16">
        <v>-31.164000000000001</v>
      </c>
      <c r="F344" s="16">
        <v>-18.355</v>
      </c>
      <c r="G344" s="16">
        <v>-0.46400000000000002</v>
      </c>
      <c r="H344" s="16">
        <v>-0.40200000000000002</v>
      </c>
      <c r="I344" s="16">
        <v>-53.573</v>
      </c>
      <c r="J344" s="16">
        <v>-29.364999999999998</v>
      </c>
      <c r="K344" s="16">
        <v>-0.158</v>
      </c>
      <c r="L344" s="16">
        <v>-0.64200000000000002</v>
      </c>
      <c r="M344" s="16">
        <v>-59.460999999999999</v>
      </c>
      <c r="N344" s="16">
        <v>-26.370999999999999</v>
      </c>
      <c r="O344" s="16">
        <v>-8.6999999999999994E-2</v>
      </c>
      <c r="P344" s="16">
        <v>-0.68600000000000005</v>
      </c>
      <c r="Q344" s="16">
        <v>-120.14700000000001</v>
      </c>
      <c r="R344" s="16">
        <v>-1.4750000000000001</v>
      </c>
      <c r="S344" s="16">
        <v>-37.567</v>
      </c>
      <c r="T344" s="16">
        <v>-1.0509999999999999</v>
      </c>
      <c r="U344" s="16">
        <v>-88.102999999999994</v>
      </c>
      <c r="V344" s="16">
        <v>-93.295000000000002</v>
      </c>
      <c r="W344" s="16"/>
      <c r="X344" s="16"/>
      <c r="Y344" s="16"/>
      <c r="Z344" s="16"/>
      <c r="AA344" s="16"/>
      <c r="AB344" s="16"/>
      <c r="AC344" s="239" t="s">
        <v>174</v>
      </c>
      <c r="AD344" s="239" t="s">
        <v>174</v>
      </c>
      <c r="AE344" s="239" t="s">
        <v>174</v>
      </c>
      <c r="AF344" s="239" t="s">
        <v>174</v>
      </c>
      <c r="AG344" s="239" t="s">
        <v>174</v>
      </c>
      <c r="AH344" s="239" t="s">
        <v>174</v>
      </c>
      <c r="AI344" s="239" t="s">
        <v>174</v>
      </c>
      <c r="AJ344" s="239" t="s">
        <v>174</v>
      </c>
      <c r="AK344" s="239" t="s">
        <v>174</v>
      </c>
      <c r="AL344" s="239" t="s">
        <v>174</v>
      </c>
      <c r="AM344" s="239" t="s">
        <v>174</v>
      </c>
      <c r="AN344" s="239" t="s">
        <v>174</v>
      </c>
      <c r="AO344" s="239" t="s">
        <v>174</v>
      </c>
      <c r="AP344" s="239" t="s">
        <v>174</v>
      </c>
      <c r="AQ344" s="239" t="s">
        <v>174</v>
      </c>
      <c r="AR344" s="16">
        <v>-11.311999999999999</v>
      </c>
      <c r="AS344" s="16">
        <v>-14.462999999999999</v>
      </c>
      <c r="AT344" s="16">
        <v>-29.917999999999999</v>
      </c>
      <c r="AU344" s="16">
        <v>-40.942999999999998</v>
      </c>
      <c r="AV344" s="16">
        <v>-45.942999999999998</v>
      </c>
      <c r="AW344" s="16">
        <v>-63.62</v>
      </c>
      <c r="AX344" s="16">
        <v>-45.383000000000003</v>
      </c>
      <c r="AY344" s="16">
        <v>-52.043999999999997</v>
      </c>
      <c r="AZ344" s="16">
        <v>-51.362000000000002</v>
      </c>
      <c r="BA344" s="16">
        <v>-83.498000000000005</v>
      </c>
      <c r="BB344" s="16">
        <v>-86.561000000000007</v>
      </c>
      <c r="BC344" s="16">
        <v>-159.875</v>
      </c>
      <c r="BD344" s="2"/>
      <c r="BE344" s="2"/>
      <c r="BF344" s="2"/>
      <c r="BG344" s="84">
        <f t="shared" si="1055"/>
        <v>0</v>
      </c>
      <c r="BH344" s="84">
        <f t="shared" si="1056"/>
        <v>0</v>
      </c>
      <c r="BI344" s="84">
        <f t="shared" si="1057"/>
        <v>0</v>
      </c>
      <c r="BJ344" s="84">
        <f t="shared" si="1058"/>
        <v>0</v>
      </c>
      <c r="BK344" s="84"/>
    </row>
    <row r="345" spans="1:63" ht="13.5" customHeight="1">
      <c r="A345" s="2"/>
      <c r="B345" s="13" t="s">
        <v>179</v>
      </c>
      <c r="C345" s="2"/>
      <c r="D345" s="17">
        <v>4.4329999999999998</v>
      </c>
      <c r="E345" s="17">
        <v>-5.0970000000000004</v>
      </c>
      <c r="F345" s="17">
        <v>-40.497</v>
      </c>
      <c r="G345" s="17">
        <v>2.2810000000000001</v>
      </c>
      <c r="H345" s="17">
        <v>-26.478999999999999</v>
      </c>
      <c r="I345" s="17">
        <v>-11.012</v>
      </c>
      <c r="J345" s="17">
        <v>68.704999999999998</v>
      </c>
      <c r="K345" s="17">
        <v>84.527000000000001</v>
      </c>
      <c r="L345" s="17">
        <v>36.603999999999999</v>
      </c>
      <c r="M345" s="17">
        <v>21.344000000000001</v>
      </c>
      <c r="N345" s="17">
        <v>19.111000000000001</v>
      </c>
      <c r="O345" s="17">
        <v>46.456000000000003</v>
      </c>
      <c r="P345" s="17">
        <v>32.372</v>
      </c>
      <c r="Q345" s="17">
        <v>-50.085000000000001</v>
      </c>
      <c r="R345" s="17">
        <v>-91.933999999999997</v>
      </c>
      <c r="S345" s="17">
        <v>4.782</v>
      </c>
      <c r="T345" s="17">
        <v>12.673999999999999</v>
      </c>
      <c r="U345" s="17">
        <v>-4.5540000000000003</v>
      </c>
      <c r="V345" s="17">
        <v>-65.566999999999993</v>
      </c>
      <c r="W345" s="16"/>
      <c r="X345" s="16"/>
      <c r="Y345" s="16"/>
      <c r="Z345" s="16"/>
      <c r="AA345" s="16"/>
      <c r="AB345" s="16"/>
      <c r="AC345" s="17">
        <v>-0.89200000000000002</v>
      </c>
      <c r="AD345" s="17">
        <v>3.3610000000000002</v>
      </c>
      <c r="AE345" s="17">
        <v>-4.5979999999999999</v>
      </c>
      <c r="AF345" s="17">
        <v>-12.333</v>
      </c>
      <c r="AG345" s="17">
        <v>5.7969999999999997</v>
      </c>
      <c r="AH345" s="17">
        <v>4.5229999999999997</v>
      </c>
      <c r="AI345" s="17">
        <v>-4.3390000000000004</v>
      </c>
      <c r="AJ345" s="17">
        <v>-5.3940000000000001</v>
      </c>
      <c r="AK345" s="17">
        <v>-7.4820000000000002</v>
      </c>
      <c r="AL345" s="17">
        <v>6.3109999999999999</v>
      </c>
      <c r="AM345" s="17">
        <v>-4.6070000000000002</v>
      </c>
      <c r="AN345" s="17">
        <v>37.881999999999998</v>
      </c>
      <c r="AO345" s="17">
        <v>-8.5169999999999995</v>
      </c>
      <c r="AP345" s="17">
        <v>-17.940999999999999</v>
      </c>
      <c r="AQ345" s="17">
        <v>6.8410000000000002</v>
      </c>
      <c r="AR345" s="17">
        <v>-14.677</v>
      </c>
      <c r="AS345" s="17">
        <v>-5.851</v>
      </c>
      <c r="AT345" s="17">
        <v>-46.938000000000002</v>
      </c>
      <c r="AU345" s="17">
        <v>2.0190000000000001</v>
      </c>
      <c r="AV345" s="17">
        <v>-20.513999999999999</v>
      </c>
      <c r="AW345" s="17">
        <v>-4.3520000000000003</v>
      </c>
      <c r="AX345" s="17">
        <v>-67.661000000000001</v>
      </c>
      <c r="AY345" s="17">
        <v>-6.702</v>
      </c>
      <c r="AZ345" s="17">
        <v>-38.880000000000003</v>
      </c>
      <c r="BA345" s="17">
        <v>115.741</v>
      </c>
      <c r="BB345" s="17">
        <v>123.514</v>
      </c>
      <c r="BC345" s="17">
        <v>-104.86499999999999</v>
      </c>
      <c r="BD345" s="2"/>
      <c r="BE345" s="2"/>
      <c r="BF345" s="2"/>
      <c r="BG345" s="84">
        <f t="shared" si="1055"/>
        <v>0</v>
      </c>
      <c r="BH345" s="84">
        <f t="shared" si="1056"/>
        <v>0</v>
      </c>
      <c r="BI345" s="84">
        <f t="shared" si="1057"/>
        <v>0</v>
      </c>
      <c r="BJ345" s="84">
        <f t="shared" si="1058"/>
        <v>0</v>
      </c>
      <c r="BK345" s="84"/>
    </row>
    <row r="346" spans="1:63" ht="11.25" customHeight="1">
      <c r="A346" s="2"/>
      <c r="B346" s="12" t="s">
        <v>180</v>
      </c>
      <c r="C346" s="2"/>
      <c r="D346" s="20">
        <f>SUM(D341:D345)</f>
        <v>203.029</v>
      </c>
      <c r="E346" s="20">
        <f t="shared" ref="E346:T346" si="1059">SUM(E341:E345)</f>
        <v>170.33500000000001</v>
      </c>
      <c r="F346" s="20">
        <f t="shared" si="1059"/>
        <v>190.17200000000003</v>
      </c>
      <c r="G346" s="20">
        <f t="shared" si="1059"/>
        <v>259.13099999999997</v>
      </c>
      <c r="H346" s="20">
        <f t="shared" si="1059"/>
        <v>227.81600000000003</v>
      </c>
      <c r="I346" s="20">
        <f t="shared" si="1059"/>
        <v>187.43899999999999</v>
      </c>
      <c r="J346" s="20">
        <f t="shared" si="1059"/>
        <v>318.70600000000002</v>
      </c>
      <c r="K346" s="20">
        <f t="shared" si="1059"/>
        <v>378.19999999999993</v>
      </c>
      <c r="L346" s="20">
        <f t="shared" si="1059"/>
        <v>372.16999999999996</v>
      </c>
      <c r="M346" s="20">
        <f t="shared" si="1059"/>
        <v>338.84899999999993</v>
      </c>
      <c r="N346" s="20">
        <f t="shared" si="1059"/>
        <v>412.69799999999998</v>
      </c>
      <c r="O346" s="20">
        <f t="shared" si="1059"/>
        <v>486.88300000000004</v>
      </c>
      <c r="P346" s="20">
        <f t="shared" si="1059"/>
        <v>385.24500000000006</v>
      </c>
      <c r="Q346" s="20">
        <f t="shared" si="1059"/>
        <v>167.24800000000002</v>
      </c>
      <c r="R346" s="20">
        <f t="shared" si="1059"/>
        <v>294.64499999999998</v>
      </c>
      <c r="S346" s="20">
        <f t="shared" si="1059"/>
        <v>394.82899999999995</v>
      </c>
      <c r="T346" s="20">
        <f t="shared" si="1059"/>
        <v>436.31100000000004</v>
      </c>
      <c r="U346" s="20">
        <f t="shared" ref="U346:V346" si="1060">SUM(U341:U345)</f>
        <v>377.66800000000001</v>
      </c>
      <c r="V346" s="20">
        <f t="shared" si="1060"/>
        <v>391.99299999999999</v>
      </c>
      <c r="W346" s="16"/>
      <c r="X346" s="16"/>
      <c r="Y346" s="16"/>
      <c r="Z346" s="16"/>
      <c r="AA346" s="16"/>
      <c r="AB346" s="16"/>
      <c r="AC346" s="16">
        <v>24.638999999999999</v>
      </c>
      <c r="AD346" s="16">
        <v>32.027000000000001</v>
      </c>
      <c r="AE346" s="16">
        <v>40.67</v>
      </c>
      <c r="AF346" s="16">
        <v>93.412999999999997</v>
      </c>
      <c r="AG346" s="16">
        <v>75.817999999999998</v>
      </c>
      <c r="AH346" s="16">
        <v>98.507000000000005</v>
      </c>
      <c r="AI346" s="16">
        <v>116.03700000000001</v>
      </c>
      <c r="AJ346" s="16">
        <v>153.15100000000001</v>
      </c>
      <c r="AK346" s="16">
        <v>157.01300000000001</v>
      </c>
      <c r="AL346" s="16">
        <v>204.99700000000001</v>
      </c>
      <c r="AM346" s="16">
        <v>183.76599999999999</v>
      </c>
      <c r="AN346" s="16">
        <v>221.494</v>
      </c>
      <c r="AO346" s="16">
        <v>159.96600000000001</v>
      </c>
      <c r="AP346" s="16">
        <v>229.476</v>
      </c>
      <c r="AQ346" s="16">
        <v>247.58699999999999</v>
      </c>
      <c r="AR346" s="20">
        <f>SUM(AR341:AR345)</f>
        <v>284.96299999999997</v>
      </c>
      <c r="AS346" s="20">
        <f t="shared" ref="AS346:BC346" si="1061">SUM(AS341:AS345)</f>
        <v>347.38299999999998</v>
      </c>
      <c r="AT346" s="20">
        <f t="shared" si="1061"/>
        <v>421.524</v>
      </c>
      <c r="AU346" s="20">
        <f t="shared" si="1061"/>
        <v>529.87900000000002</v>
      </c>
      <c r="AV346" s="20">
        <f t="shared" si="1061"/>
        <v>539.83500000000004</v>
      </c>
      <c r="AW346" s="20">
        <f t="shared" si="1061"/>
        <v>585.31799999999998</v>
      </c>
      <c r="AX346" s="20">
        <f t="shared" si="1061"/>
        <v>573.95399999999995</v>
      </c>
      <c r="AY346" s="20">
        <f t="shared" si="1061"/>
        <v>615.13900000000001</v>
      </c>
      <c r="AZ346" s="20">
        <f t="shared" si="1061"/>
        <v>822.66700000000014</v>
      </c>
      <c r="BA346" s="20">
        <f t="shared" si="1061"/>
        <v>1112.1609999999998</v>
      </c>
      <c r="BB346" s="20">
        <f t="shared" si="1061"/>
        <v>1610.5990000000002</v>
      </c>
      <c r="BC346" s="20">
        <f t="shared" si="1061"/>
        <v>1241.9670000000001</v>
      </c>
      <c r="BD346" s="2"/>
      <c r="BE346" s="2"/>
      <c r="BF346" s="2"/>
      <c r="BG346" s="84">
        <f t="shared" si="1055"/>
        <v>0</v>
      </c>
      <c r="BH346" s="84">
        <f t="shared" si="1056"/>
        <v>0</v>
      </c>
      <c r="BI346" s="84">
        <f t="shared" si="1057"/>
        <v>0</v>
      </c>
      <c r="BJ346" s="84">
        <f t="shared" si="1058"/>
        <v>0</v>
      </c>
      <c r="BK346" s="84"/>
    </row>
    <row r="347" spans="1:63" ht="11.25" customHeight="1">
      <c r="A347" s="2"/>
      <c r="B347" s="2"/>
      <c r="C347" s="2"/>
      <c r="D347" s="57"/>
      <c r="E347" s="57"/>
      <c r="F347" s="57"/>
      <c r="G347" s="57"/>
      <c r="H347" s="57"/>
      <c r="I347" s="57"/>
      <c r="J347" s="57"/>
      <c r="K347" s="57"/>
      <c r="L347" s="57"/>
      <c r="M347" s="57"/>
      <c r="N347" s="57"/>
      <c r="O347" s="57"/>
      <c r="P347" s="57"/>
      <c r="Q347" s="57"/>
      <c r="R347" s="57"/>
      <c r="S347" s="57"/>
      <c r="T347" s="57"/>
      <c r="U347" s="57"/>
      <c r="V347" s="57"/>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2"/>
      <c r="BE347" s="2"/>
      <c r="BF347" s="2"/>
      <c r="BG347" s="84"/>
      <c r="BH347" s="84"/>
      <c r="BI347" s="84"/>
      <c r="BJ347" s="84"/>
      <c r="BK347" s="84"/>
    </row>
    <row r="348" spans="1:63" ht="11.25" customHeight="1">
      <c r="A348" s="2"/>
      <c r="B348" s="65" t="s">
        <v>128</v>
      </c>
      <c r="C348" s="2"/>
      <c r="D348" s="57"/>
      <c r="E348" s="57"/>
      <c r="F348" s="57"/>
      <c r="G348" s="57"/>
      <c r="H348" s="57"/>
      <c r="I348" s="57"/>
      <c r="J348" s="57"/>
      <c r="K348" s="57"/>
      <c r="L348" s="57"/>
      <c r="M348" s="57"/>
      <c r="N348" s="57"/>
      <c r="O348" s="57"/>
      <c r="P348" s="57"/>
      <c r="Q348" s="57"/>
      <c r="R348" s="57"/>
      <c r="S348" s="57"/>
      <c r="T348" s="57"/>
      <c r="U348" s="57"/>
      <c r="V348" s="57"/>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57"/>
      <c r="AS348" s="57"/>
      <c r="AT348" s="57"/>
      <c r="AU348" s="57"/>
      <c r="AV348" s="57"/>
      <c r="AW348" s="57"/>
      <c r="AX348" s="57"/>
      <c r="AY348" s="57"/>
      <c r="AZ348" s="57"/>
      <c r="BA348" s="57"/>
      <c r="BB348" s="57"/>
      <c r="BC348" s="57"/>
      <c r="BD348" s="2"/>
      <c r="BE348" s="2"/>
      <c r="BF348" s="2"/>
      <c r="BG348" s="84"/>
      <c r="BH348" s="84"/>
      <c r="BI348" s="84"/>
      <c r="BJ348" s="84"/>
      <c r="BK348" s="84"/>
    </row>
    <row r="349" spans="1:63" ht="11.25" customHeight="1">
      <c r="A349" s="2"/>
      <c r="B349" s="2" t="s">
        <v>181</v>
      </c>
      <c r="C349" s="2"/>
      <c r="D349" s="16">
        <v>3.0379999999999998</v>
      </c>
      <c r="E349" s="16">
        <v>2.9209999999999998</v>
      </c>
      <c r="F349" s="16">
        <v>2.0070000000000001</v>
      </c>
      <c r="G349" s="16">
        <v>1.8089999999999999</v>
      </c>
      <c r="H349" s="16">
        <v>1.494</v>
      </c>
      <c r="I349" s="16">
        <v>1.546</v>
      </c>
      <c r="J349" s="16">
        <v>1.43</v>
      </c>
      <c r="K349" s="16">
        <v>1.5209999999999999</v>
      </c>
      <c r="L349" s="16">
        <v>1.5269999999999999</v>
      </c>
      <c r="M349" s="16">
        <v>2.7959999999999998</v>
      </c>
      <c r="N349" s="16">
        <v>5.117</v>
      </c>
      <c r="O349" s="16">
        <v>8.6440000000000001</v>
      </c>
      <c r="P349" s="16">
        <v>12.281000000000001</v>
      </c>
      <c r="Q349" s="16">
        <v>14.345000000000001</v>
      </c>
      <c r="R349" s="16">
        <v>14.388999999999999</v>
      </c>
      <c r="S349" s="16">
        <v>14.872</v>
      </c>
      <c r="T349" s="16">
        <v>17.41</v>
      </c>
      <c r="U349" s="16">
        <v>19.195</v>
      </c>
      <c r="V349" s="16">
        <v>21.356000000000002</v>
      </c>
      <c r="W349" s="16"/>
      <c r="X349" s="16"/>
      <c r="Y349" s="16"/>
      <c r="Z349" s="16"/>
      <c r="AA349" s="16"/>
      <c r="AB349" s="16"/>
      <c r="AC349" s="239" t="s">
        <v>174</v>
      </c>
      <c r="AD349" s="239" t="s">
        <v>174</v>
      </c>
      <c r="AE349" s="239" t="s">
        <v>174</v>
      </c>
      <c r="AF349" s="239" t="s">
        <v>174</v>
      </c>
      <c r="AG349" s="239" t="s">
        <v>174</v>
      </c>
      <c r="AH349" s="239" t="s">
        <v>174</v>
      </c>
      <c r="AI349" s="239" t="s">
        <v>174</v>
      </c>
      <c r="AJ349" s="239" t="s">
        <v>174</v>
      </c>
      <c r="AK349" s="239" t="s">
        <v>174</v>
      </c>
      <c r="AL349" s="239" t="s">
        <v>174</v>
      </c>
      <c r="AM349" s="239" t="s">
        <v>174</v>
      </c>
      <c r="AN349" s="239" t="s">
        <v>174</v>
      </c>
      <c r="AO349" s="239" t="s">
        <v>174</v>
      </c>
      <c r="AP349" s="239" t="s">
        <v>174</v>
      </c>
      <c r="AQ349" s="239" t="s">
        <v>174</v>
      </c>
      <c r="AR349" s="16">
        <v>1.7190000000000001</v>
      </c>
      <c r="AS349" s="16">
        <v>1.7909999999999999</v>
      </c>
      <c r="AT349" s="16">
        <v>2.5790000000000002</v>
      </c>
      <c r="AU349" s="16">
        <v>3.6419999999999999</v>
      </c>
      <c r="AV349" s="16">
        <v>6.3529999999999998</v>
      </c>
      <c r="AW349" s="16">
        <v>9.5259999999999998</v>
      </c>
      <c r="AX349" s="16">
        <v>14.66</v>
      </c>
      <c r="AY349" s="16">
        <v>16.875</v>
      </c>
      <c r="AZ349" s="16">
        <v>9.7750000000000004</v>
      </c>
      <c r="BA349" s="16">
        <v>5.9909999999999997</v>
      </c>
      <c r="BB349" s="16">
        <v>18.084</v>
      </c>
      <c r="BC349" s="16">
        <v>55.887</v>
      </c>
      <c r="BD349" s="2"/>
      <c r="BE349" s="2"/>
      <c r="BF349" s="2"/>
      <c r="BG349" s="84">
        <f>ROUND(AZ349-SUM(D349:G349),1)</f>
        <v>0</v>
      </c>
      <c r="BH349" s="84">
        <f>ROUND(BA349-SUM(H349:K349),1)</f>
        <v>0</v>
      </c>
      <c r="BI349" s="84">
        <f>ROUND(BB349-SUM(L349:O349),1)</f>
        <v>0</v>
      </c>
      <c r="BJ349" s="84">
        <f>ROUND(BC349-SUM(P349:S349),1)</f>
        <v>0</v>
      </c>
      <c r="BK349" s="84"/>
    </row>
    <row r="350" spans="1:63" ht="11.25" customHeight="1">
      <c r="A350" s="2"/>
      <c r="B350" s="2" t="s">
        <v>182</v>
      </c>
      <c r="C350" s="2"/>
      <c r="D350" s="16">
        <v>0.111</v>
      </c>
      <c r="E350" s="16">
        <v>0.52900000000000003</v>
      </c>
      <c r="F350" s="16">
        <v>2.6560000000000001</v>
      </c>
      <c r="G350" s="16">
        <v>0.191</v>
      </c>
      <c r="H350" s="16">
        <v>0.16900000000000001</v>
      </c>
      <c r="I350" s="16">
        <v>0.38300000000000001</v>
      </c>
      <c r="J350" s="16">
        <v>1.9419999999999999</v>
      </c>
      <c r="K350" s="16">
        <v>5.0000000000000001E-3</v>
      </c>
      <c r="L350" s="16">
        <v>0</v>
      </c>
      <c r="M350" s="16">
        <v>0.53100000000000003</v>
      </c>
      <c r="N350" s="16">
        <v>2.4790000000000001</v>
      </c>
      <c r="O350" s="16">
        <v>6.0000000000000001E-3</v>
      </c>
      <c r="P350" s="16">
        <v>6.3E-2</v>
      </c>
      <c r="Q350" s="16">
        <v>0.83299999999999996</v>
      </c>
      <c r="R350" s="16">
        <v>2.5680000000000001</v>
      </c>
      <c r="S350" s="16">
        <v>5.8000000000000003E-2</v>
      </c>
      <c r="T350" s="16">
        <v>0.09</v>
      </c>
      <c r="U350" s="16">
        <v>0.80500000000000005</v>
      </c>
      <c r="V350" s="16">
        <v>2.4049999999999998</v>
      </c>
      <c r="W350" s="16"/>
      <c r="X350" s="16"/>
      <c r="Y350" s="16"/>
      <c r="Z350" s="16"/>
      <c r="AA350" s="16"/>
      <c r="AB350" s="16"/>
      <c r="AC350" s="239" t="s">
        <v>174</v>
      </c>
      <c r="AD350" s="239" t="s">
        <v>174</v>
      </c>
      <c r="AE350" s="239" t="s">
        <v>174</v>
      </c>
      <c r="AF350" s="239" t="s">
        <v>174</v>
      </c>
      <c r="AG350" s="239" t="s">
        <v>174</v>
      </c>
      <c r="AH350" s="239" t="s">
        <v>174</v>
      </c>
      <c r="AI350" s="239" t="s">
        <v>174</v>
      </c>
      <c r="AJ350" s="239" t="s">
        <v>174</v>
      </c>
      <c r="AK350" s="239" t="s">
        <v>174</v>
      </c>
      <c r="AL350" s="239" t="s">
        <v>174</v>
      </c>
      <c r="AM350" s="239" t="s">
        <v>174</v>
      </c>
      <c r="AN350" s="239" t="s">
        <v>174</v>
      </c>
      <c r="AO350" s="239" t="s">
        <v>174</v>
      </c>
      <c r="AP350" s="239" t="s">
        <v>174</v>
      </c>
      <c r="AQ350" s="239" t="s">
        <v>174</v>
      </c>
      <c r="AR350" s="16">
        <v>2.1589999999999998</v>
      </c>
      <c r="AS350" s="16">
        <v>2.6480000000000001</v>
      </c>
      <c r="AT350" s="16">
        <v>3.8690000000000002</v>
      </c>
      <c r="AU350" s="16">
        <v>4.024</v>
      </c>
      <c r="AV350" s="16">
        <v>5.6159999999999997</v>
      </c>
      <c r="AW350" s="16">
        <v>4.391</v>
      </c>
      <c r="AX350" s="16">
        <v>3.4209999999999998</v>
      </c>
      <c r="AY350" s="16">
        <v>2.0390000000000001</v>
      </c>
      <c r="AZ350" s="16">
        <v>3.4870000000000001</v>
      </c>
      <c r="BA350" s="16">
        <v>2.4990000000000001</v>
      </c>
      <c r="BB350" s="16">
        <v>3.016</v>
      </c>
      <c r="BC350" s="16">
        <v>3.5219999999999998</v>
      </c>
      <c r="BD350" s="2"/>
      <c r="BE350" s="2"/>
      <c r="BF350" s="2"/>
      <c r="BG350" s="84">
        <f>ROUND(AZ350-SUM(D350:G350),1)</f>
        <v>0</v>
      </c>
      <c r="BH350" s="84">
        <f>ROUND(BA350-SUM(H350:K350),1)</f>
        <v>0</v>
      </c>
      <c r="BI350" s="84">
        <f>ROUND(BB350-SUM(L350:O350),1)</f>
        <v>0</v>
      </c>
      <c r="BJ350" s="84">
        <f>ROUND(BC350-SUM(P350:S350),1)</f>
        <v>0</v>
      </c>
      <c r="BK350" s="84"/>
    </row>
    <row r="351" spans="1:63" ht="11.25" customHeight="1">
      <c r="A351" s="2"/>
      <c r="B351" s="25" t="s">
        <v>183</v>
      </c>
      <c r="C351" s="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2"/>
      <c r="BE351" s="2"/>
      <c r="BF351" s="2"/>
      <c r="BG351" s="84"/>
      <c r="BH351" s="84"/>
      <c r="BI351" s="84"/>
      <c r="BJ351" s="84"/>
      <c r="BK351" s="84"/>
    </row>
    <row r="352" spans="1:63" ht="11.25" customHeight="1">
      <c r="A352" s="2"/>
      <c r="B352" s="2" t="s">
        <v>155</v>
      </c>
      <c r="C352" s="2"/>
      <c r="D352" s="16">
        <v>-192.56</v>
      </c>
      <c r="E352" s="16">
        <v>-126.69799999999999</v>
      </c>
      <c r="F352" s="16">
        <v>-99.305999999999997</v>
      </c>
      <c r="G352" s="16">
        <v>-88.674999999999997</v>
      </c>
      <c r="H352" s="16">
        <v>-248.029</v>
      </c>
      <c r="I352" s="16">
        <v>-166.971</v>
      </c>
      <c r="J352" s="16">
        <v>-188.64</v>
      </c>
      <c r="K352" s="16">
        <v>-235.55600000000001</v>
      </c>
      <c r="L352" s="16">
        <v>-262.13499999999999</v>
      </c>
      <c r="M352" s="16">
        <v>-217.72300000000001</v>
      </c>
      <c r="N352" s="16">
        <v>-265.97000000000003</v>
      </c>
      <c r="O352" s="16">
        <v>-336.84399999999999</v>
      </c>
      <c r="P352" s="16">
        <v>-302.49900000000002</v>
      </c>
      <c r="Q352" s="16">
        <v>-250.53399999999999</v>
      </c>
      <c r="R352" s="16">
        <v>-226.624</v>
      </c>
      <c r="S352" s="16">
        <v>-170.16</v>
      </c>
      <c r="T352" s="16">
        <v>-181.30500000000001</v>
      </c>
      <c r="U352" s="16">
        <v>-205.67400000000001</v>
      </c>
      <c r="V352" s="16">
        <v>-207.07900000000001</v>
      </c>
      <c r="W352" s="16"/>
      <c r="X352" s="16"/>
      <c r="Y352" s="16"/>
      <c r="Z352" s="16"/>
      <c r="AA352" s="16"/>
      <c r="AB352" s="16"/>
      <c r="AC352" s="16">
        <v>-38.648000000000003</v>
      </c>
      <c r="AD352" s="16">
        <v>-41.113999999999997</v>
      </c>
      <c r="AE352" s="16">
        <v>-38.484999999999999</v>
      </c>
      <c r="AF352" s="16">
        <v>-103.762</v>
      </c>
      <c r="AG352" s="16">
        <v>-70.200999999999993</v>
      </c>
      <c r="AH352" s="16">
        <v>-55.234999999999999</v>
      </c>
      <c r="AI352" s="16">
        <v>-37.871000000000002</v>
      </c>
      <c r="AJ352" s="16">
        <v>-81.094999999999999</v>
      </c>
      <c r="AK352" s="16">
        <v>-79.879000000000005</v>
      </c>
      <c r="AL352" s="16">
        <v>-78.736999999999995</v>
      </c>
      <c r="AM352" s="16">
        <v>-84.001000000000005</v>
      </c>
      <c r="AN352" s="16">
        <v>-59.222999999999999</v>
      </c>
      <c r="AO352" s="16">
        <v>-87.784999999999997</v>
      </c>
      <c r="AP352" s="16">
        <v>-186.94399999999999</v>
      </c>
      <c r="AQ352" s="16">
        <v>-213.96299999999999</v>
      </c>
      <c r="AR352" s="16">
        <v>-246.137</v>
      </c>
      <c r="AS352" s="16">
        <v>-287.59500000000003</v>
      </c>
      <c r="AT352" s="16">
        <v>-288.54000000000002</v>
      </c>
      <c r="AU352" s="16">
        <v>-257.517</v>
      </c>
      <c r="AV352" s="16">
        <v>-328.04500000000002</v>
      </c>
      <c r="AW352" s="16">
        <v>-330.58800000000002</v>
      </c>
      <c r="AX352" s="16">
        <v>-315.58199999999999</v>
      </c>
      <c r="AY352" s="16">
        <v>-460.42200000000003</v>
      </c>
      <c r="AZ352" s="16">
        <v>-507.23899999999998</v>
      </c>
      <c r="BA352" s="16">
        <v>-839.19600000000003</v>
      </c>
      <c r="BB352" s="16">
        <v>-1082.672</v>
      </c>
      <c r="BC352" s="16">
        <v>-949.81700000000001</v>
      </c>
      <c r="BD352" s="2"/>
      <c r="BE352" s="2"/>
      <c r="BF352" s="2"/>
      <c r="BG352" s="84">
        <f>ROUND(AZ352-SUM(D352:G352),1)</f>
        <v>0</v>
      </c>
      <c r="BH352" s="84">
        <f>ROUND(BA352-SUM(H352:K352),1)</f>
        <v>0</v>
      </c>
      <c r="BI352" s="84">
        <f>ROUND(BB352-SUM(L352:O352),1)</f>
        <v>0</v>
      </c>
      <c r="BJ352" s="84">
        <f>ROUND(BC352-SUM(P352:S352),1)</f>
        <v>0</v>
      </c>
      <c r="BK352" s="84"/>
    </row>
    <row r="353" spans="1:63" ht="11.25" customHeight="1">
      <c r="A353" s="2"/>
      <c r="B353" s="2" t="s">
        <v>184</v>
      </c>
      <c r="C353" s="2"/>
      <c r="D353" s="16">
        <v>-56.527999999999999</v>
      </c>
      <c r="E353" s="16">
        <v>-68.200999999999993</v>
      </c>
      <c r="F353" s="16">
        <v>-65.200999999999993</v>
      </c>
      <c r="G353" s="16">
        <v>-77.010000000000005</v>
      </c>
      <c r="H353" s="16">
        <v>-77.662000000000006</v>
      </c>
      <c r="I353" s="16">
        <v>-73.923000000000002</v>
      </c>
      <c r="J353" s="16">
        <v>-43.856999999999999</v>
      </c>
      <c r="K353" s="16">
        <v>-64.245999999999995</v>
      </c>
      <c r="L353" s="16">
        <v>-55.99</v>
      </c>
      <c r="M353" s="16">
        <v>-65.198999999999998</v>
      </c>
      <c r="N353" s="16">
        <v>-51.588999999999999</v>
      </c>
      <c r="O353" s="16">
        <v>-65.040000000000006</v>
      </c>
      <c r="P353" s="16">
        <v>-34.892000000000003</v>
      </c>
      <c r="Q353" s="16">
        <v>-73.8</v>
      </c>
      <c r="R353" s="16">
        <v>-62.104999999999997</v>
      </c>
      <c r="S353" s="16">
        <v>-55.484999999999999</v>
      </c>
      <c r="T353" s="16">
        <v>-45.8</v>
      </c>
      <c r="U353" s="16">
        <v>-63.262999999999998</v>
      </c>
      <c r="V353" s="16">
        <v>-54.209000000000003</v>
      </c>
      <c r="W353" s="16"/>
      <c r="X353" s="16"/>
      <c r="Y353" s="16"/>
      <c r="Z353" s="16"/>
      <c r="AA353" s="16"/>
      <c r="AB353" s="16"/>
      <c r="AC353" s="16">
        <v>0</v>
      </c>
      <c r="AD353" s="16">
        <v>0</v>
      </c>
      <c r="AE353" s="16">
        <v>0</v>
      </c>
      <c r="AF353" s="16">
        <v>0</v>
      </c>
      <c r="AG353" s="16">
        <v>0</v>
      </c>
      <c r="AH353" s="16">
        <v>0</v>
      </c>
      <c r="AI353" s="16">
        <v>0</v>
      </c>
      <c r="AJ353" s="16">
        <v>0</v>
      </c>
      <c r="AK353" s="16">
        <v>0</v>
      </c>
      <c r="AL353" s="16">
        <v>-137.846</v>
      </c>
      <c r="AM353" s="16">
        <v>-87.55</v>
      </c>
      <c r="AN353" s="16">
        <v>-101.797</v>
      </c>
      <c r="AO353" s="16">
        <v>-51.024999999999999</v>
      </c>
      <c r="AP353" s="16">
        <v>-52.442</v>
      </c>
      <c r="AQ353" s="16">
        <v>-35.673000000000002</v>
      </c>
      <c r="AR353" s="16">
        <v>-31.526</v>
      </c>
      <c r="AS353" s="16">
        <v>-1.8169999999999999</v>
      </c>
      <c r="AT353" s="16">
        <v>-5.9740000000000002</v>
      </c>
      <c r="AU353" s="16">
        <v>-41.573999999999998</v>
      </c>
      <c r="AV353" s="16">
        <v>-116.901</v>
      </c>
      <c r="AW353" s="16">
        <v>-102.508</v>
      </c>
      <c r="AX353" s="16">
        <v>-99.016999999999996</v>
      </c>
      <c r="AY353" s="16">
        <v>-257.99700000000001</v>
      </c>
      <c r="AZ353" s="16">
        <v>-266.94</v>
      </c>
      <c r="BA353" s="16">
        <v>-259.68799999999999</v>
      </c>
      <c r="BB353" s="16">
        <v>-237.81800000000001</v>
      </c>
      <c r="BC353" s="16">
        <v>-226.28200000000001</v>
      </c>
      <c r="BD353" s="2"/>
      <c r="BE353" s="2"/>
      <c r="BF353" s="2"/>
      <c r="BG353" s="84">
        <f>ROUND(AZ353-SUM(D353:G353),1)</f>
        <v>0</v>
      </c>
      <c r="BH353" s="84">
        <f>ROUND(BA353-SUM(H353:K353),1)</f>
        <v>0</v>
      </c>
      <c r="BI353" s="84">
        <f>ROUND(BB353-SUM(L353:O353),1)</f>
        <v>0</v>
      </c>
      <c r="BJ353" s="84">
        <f>ROUND(BC353-SUM(P353:S353),1)</f>
        <v>0</v>
      </c>
      <c r="BK353" s="84"/>
    </row>
    <row r="354" spans="1:63" ht="11.25" customHeight="1">
      <c r="A354" s="2"/>
      <c r="B354" s="2" t="s">
        <v>185</v>
      </c>
      <c r="C354" s="2"/>
      <c r="D354" s="16">
        <v>0</v>
      </c>
      <c r="E354" s="16">
        <v>0</v>
      </c>
      <c r="F354" s="16">
        <v>0</v>
      </c>
      <c r="G354" s="16">
        <v>0</v>
      </c>
      <c r="H354" s="16">
        <v>0</v>
      </c>
      <c r="I354" s="16">
        <v>0</v>
      </c>
      <c r="J354" s="16">
        <v>0</v>
      </c>
      <c r="K354" s="16">
        <v>0</v>
      </c>
      <c r="L354" s="16">
        <v>0</v>
      </c>
      <c r="M354" s="16">
        <v>0</v>
      </c>
      <c r="N354" s="16">
        <v>0</v>
      </c>
      <c r="O354" s="16">
        <v>0</v>
      </c>
      <c r="P354" s="16">
        <v>0</v>
      </c>
      <c r="Q354" s="16">
        <v>0</v>
      </c>
      <c r="R354" s="16">
        <v>0</v>
      </c>
      <c r="S354" s="16">
        <v>0</v>
      </c>
      <c r="T354" s="16">
        <v>0</v>
      </c>
      <c r="U354" s="16">
        <v>0</v>
      </c>
      <c r="V354" s="16">
        <v>0</v>
      </c>
      <c r="W354" s="16"/>
      <c r="X354" s="16"/>
      <c r="Y354" s="16"/>
      <c r="Z354" s="16"/>
      <c r="AA354" s="16"/>
      <c r="AB354" s="16"/>
      <c r="AC354" s="16">
        <v>0</v>
      </c>
      <c r="AD354" s="16">
        <v>0</v>
      </c>
      <c r="AE354" s="16">
        <v>0</v>
      </c>
      <c r="AF354" s="16">
        <v>0</v>
      </c>
      <c r="AG354" s="16">
        <v>0</v>
      </c>
      <c r="AH354" s="16">
        <v>0</v>
      </c>
      <c r="AI354" s="16">
        <v>0</v>
      </c>
      <c r="AJ354" s="16">
        <v>0</v>
      </c>
      <c r="AK354" s="16">
        <v>0</v>
      </c>
      <c r="AL354" s="16">
        <v>-2.613</v>
      </c>
      <c r="AM354" s="16">
        <v>-5.8040000000000003</v>
      </c>
      <c r="AN354" s="16">
        <v>-5.6000000000000001E-2</v>
      </c>
      <c r="AO354" s="16">
        <v>-4.2999999999999997E-2</v>
      </c>
      <c r="AP354" s="16">
        <v>-6.242</v>
      </c>
      <c r="AQ354" s="16">
        <v>0</v>
      </c>
      <c r="AR354" s="16">
        <v>0</v>
      </c>
      <c r="AS354" s="16">
        <v>0</v>
      </c>
      <c r="AT354" s="16">
        <v>0</v>
      </c>
      <c r="AU354" s="16">
        <v>0</v>
      </c>
      <c r="AV354" s="16">
        <v>0</v>
      </c>
      <c r="AW354" s="16">
        <v>0</v>
      </c>
      <c r="AX354" s="16">
        <v>0</v>
      </c>
      <c r="AY354" s="16">
        <v>0</v>
      </c>
      <c r="AZ354" s="16">
        <v>0</v>
      </c>
      <c r="BA354" s="16">
        <v>0</v>
      </c>
      <c r="BB354" s="16">
        <v>0</v>
      </c>
      <c r="BC354" s="16">
        <v>0</v>
      </c>
      <c r="BD354" s="2"/>
      <c r="BE354" s="2"/>
      <c r="BF354" s="2"/>
      <c r="BG354" s="84">
        <f>ROUND(AZ354-SUM(D354:G354),1)</f>
        <v>0</v>
      </c>
      <c r="BH354" s="84">
        <f>ROUND(BA354-SUM(H354:K354),1)</f>
        <v>0</v>
      </c>
      <c r="BI354" s="84">
        <f>ROUND(BB354-SUM(L354:O354),1)</f>
        <v>0</v>
      </c>
      <c r="BJ354" s="84">
        <f>ROUND(BC354-SUM(P354:S354),1)</f>
        <v>0</v>
      </c>
      <c r="BK354" s="84"/>
    </row>
    <row r="355" spans="1:63" ht="11.25" customHeight="1">
      <c r="A355" s="2"/>
      <c r="B355" s="2" t="s">
        <v>186</v>
      </c>
      <c r="C355" s="2"/>
      <c r="D355" s="16">
        <v>0</v>
      </c>
      <c r="E355" s="16">
        <v>0</v>
      </c>
      <c r="F355" s="16">
        <v>0</v>
      </c>
      <c r="G355" s="16">
        <v>0</v>
      </c>
      <c r="H355" s="16">
        <v>0</v>
      </c>
      <c r="I355" s="16">
        <v>0</v>
      </c>
      <c r="J355" s="16">
        <v>0</v>
      </c>
      <c r="K355" s="16">
        <v>0</v>
      </c>
      <c r="L355" s="16">
        <v>0</v>
      </c>
      <c r="M355" s="16">
        <v>0</v>
      </c>
      <c r="N355" s="16">
        <v>0</v>
      </c>
      <c r="O355" s="16">
        <v>0</v>
      </c>
      <c r="P355" s="16">
        <v>0</v>
      </c>
      <c r="Q355" s="16">
        <v>0</v>
      </c>
      <c r="R355" s="16">
        <v>0</v>
      </c>
      <c r="S355" s="16">
        <v>0</v>
      </c>
      <c r="T355" s="16">
        <v>0</v>
      </c>
      <c r="U355" s="16">
        <v>0</v>
      </c>
      <c r="V355" s="16">
        <v>0</v>
      </c>
      <c r="W355" s="16"/>
      <c r="X355" s="16"/>
      <c r="Y355" s="16"/>
      <c r="Z355" s="16"/>
      <c r="AA355" s="16"/>
      <c r="AB355" s="16"/>
      <c r="AC355" s="16">
        <v>0</v>
      </c>
      <c r="AD355" s="16">
        <v>0</v>
      </c>
      <c r="AE355" s="16">
        <v>0</v>
      </c>
      <c r="AF355" s="16">
        <v>0</v>
      </c>
      <c r="AG355" s="16">
        <v>0</v>
      </c>
      <c r="AH355" s="16">
        <v>0</v>
      </c>
      <c r="AI355" s="16">
        <v>0</v>
      </c>
      <c r="AJ355" s="16">
        <v>0</v>
      </c>
      <c r="AK355" s="16">
        <v>0</v>
      </c>
      <c r="AL355" s="16">
        <v>-0.51200000000000001</v>
      </c>
      <c r="AM355" s="16">
        <v>-0.91100000000000003</v>
      </c>
      <c r="AN355" s="16">
        <v>-0.46300000000000002</v>
      </c>
      <c r="AO355" s="16">
        <v>-0.32100000000000001</v>
      </c>
      <c r="AP355" s="16">
        <v>-1.8129999999999999</v>
      </c>
      <c r="AQ355" s="16">
        <v>-0.40400000000000003</v>
      </c>
      <c r="AR355" s="16">
        <v>-5.7000000000000002E-2</v>
      </c>
      <c r="AS355" s="16">
        <v>-2.7E-2</v>
      </c>
      <c r="AT355" s="16">
        <v>-2.3E-2</v>
      </c>
      <c r="AU355" s="16">
        <v>-2.5859999999999999</v>
      </c>
      <c r="AV355" s="16">
        <v>-0.53400000000000003</v>
      </c>
      <c r="AW355" s="16">
        <v>-1.3129999999999999</v>
      </c>
      <c r="AX355" s="16">
        <v>0</v>
      </c>
      <c r="AY355" s="16">
        <v>0</v>
      </c>
      <c r="AZ355" s="16">
        <v>0</v>
      </c>
      <c r="BA355" s="16">
        <v>0</v>
      </c>
      <c r="BB355" s="16">
        <v>0</v>
      </c>
      <c r="BC355" s="16">
        <v>0</v>
      </c>
      <c r="BD355" s="2"/>
      <c r="BE355" s="2"/>
      <c r="BF355" s="2"/>
      <c r="BG355" s="84">
        <f>ROUND(AZ355-SUM(D355:G355),1)</f>
        <v>0</v>
      </c>
      <c r="BH355" s="84">
        <f>ROUND(BA355-SUM(H355:K355),1)</f>
        <v>0</v>
      </c>
      <c r="BI355" s="84">
        <f>ROUND(BB355-SUM(L355:O355),1)</f>
        <v>0</v>
      </c>
      <c r="BJ355" s="84">
        <f>ROUND(BC355-SUM(P355:S355),1)</f>
        <v>0</v>
      </c>
      <c r="BK355" s="84"/>
    </row>
    <row r="356" spans="1:63" ht="11.25" customHeight="1">
      <c r="A356" s="2"/>
      <c r="B356" s="25" t="s">
        <v>187</v>
      </c>
      <c r="C356" s="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2"/>
      <c r="BE356" s="2"/>
      <c r="BF356" s="2"/>
      <c r="BG356" s="84"/>
      <c r="BH356" s="84"/>
      <c r="BI356" s="84"/>
      <c r="BJ356" s="84"/>
      <c r="BK356" s="84"/>
    </row>
    <row r="357" spans="1:63" ht="11.25" customHeight="1">
      <c r="A357" s="2"/>
      <c r="B357" s="2" t="s">
        <v>155</v>
      </c>
      <c r="C357" s="2"/>
      <c r="D357" s="16">
        <v>6.6000000000000003E-2</v>
      </c>
      <c r="E357" s="16">
        <v>0.11600000000000001</v>
      </c>
      <c r="F357" s="16">
        <v>0.224</v>
      </c>
      <c r="G357" s="16">
        <v>0.20100000000000001</v>
      </c>
      <c r="H357" s="16">
        <v>5.8000000000000003E-2</v>
      </c>
      <c r="I357" s="16">
        <v>5.8999999999999997E-2</v>
      </c>
      <c r="J357" s="16">
        <v>9.7000000000000003E-2</v>
      </c>
      <c r="K357" s="16">
        <v>0.17599999999999999</v>
      </c>
      <c r="L357" s="16">
        <v>0.60899999999999999</v>
      </c>
      <c r="M357" s="16">
        <v>6.4000000000000001E-2</v>
      </c>
      <c r="N357" s="16">
        <v>0.128</v>
      </c>
      <c r="O357" s="16">
        <v>0.182</v>
      </c>
      <c r="P357" s="16">
        <v>7.2999999999999995E-2</v>
      </c>
      <c r="Q357" s="16">
        <v>0.17</v>
      </c>
      <c r="R357" s="16">
        <v>0.14899999999999999</v>
      </c>
      <c r="S357" s="16">
        <v>0.312</v>
      </c>
      <c r="T357" s="16">
        <v>0.33700000000000002</v>
      </c>
      <c r="U357" s="16">
        <v>0.156</v>
      </c>
      <c r="V357" s="16">
        <v>0.14599999999999999</v>
      </c>
      <c r="W357" s="16"/>
      <c r="X357" s="16"/>
      <c r="Y357" s="16"/>
      <c r="Z357" s="16"/>
      <c r="AA357" s="16"/>
      <c r="AB357" s="16"/>
      <c r="AC357" s="16">
        <v>3.7999999999999999E-2</v>
      </c>
      <c r="AD357" s="16">
        <v>3.0000000000000001E-3</v>
      </c>
      <c r="AE357" s="16">
        <v>0.38800000000000001</v>
      </c>
      <c r="AF357" s="16">
        <v>0.36499999999999999</v>
      </c>
      <c r="AG357" s="16">
        <v>0.30099999999999999</v>
      </c>
      <c r="AH357" s="16">
        <v>0.496</v>
      </c>
      <c r="AI357" s="16">
        <v>0.17699999999999999</v>
      </c>
      <c r="AJ357" s="16">
        <v>1.8129999999999999</v>
      </c>
      <c r="AK357" s="16">
        <v>0.48099999999999998</v>
      </c>
      <c r="AL357" s="16">
        <v>0.51900000000000002</v>
      </c>
      <c r="AM357" s="16">
        <v>6.0999999999999999E-2</v>
      </c>
      <c r="AN357" s="16">
        <v>0.19500000000000001</v>
      </c>
      <c r="AO357" s="16">
        <v>2.4E-2</v>
      </c>
      <c r="AP357" s="16">
        <v>0.11600000000000001</v>
      </c>
      <c r="AQ357" s="16">
        <v>0.69799999999999995</v>
      </c>
      <c r="AR357" s="16">
        <v>0.157</v>
      </c>
      <c r="AS357" s="16">
        <v>0.17399999999999999</v>
      </c>
      <c r="AT357" s="16">
        <v>0.2</v>
      </c>
      <c r="AU357" s="16">
        <v>0.81699999999999995</v>
      </c>
      <c r="AV357" s="16">
        <v>9.8000000000000004E-2</v>
      </c>
      <c r="AW357" s="16">
        <v>0.32600000000000001</v>
      </c>
      <c r="AX357" s="16">
        <v>0.18099999999999999</v>
      </c>
      <c r="AY357" s="16">
        <v>0.28699999999999998</v>
      </c>
      <c r="AZ357" s="16">
        <v>0.60699999999999998</v>
      </c>
      <c r="BA357" s="16">
        <v>0.39</v>
      </c>
      <c r="BB357" s="16">
        <v>0.98299999999999998</v>
      </c>
      <c r="BC357" s="16">
        <v>0.70399999999999996</v>
      </c>
      <c r="BD357" s="2"/>
      <c r="BE357" s="2"/>
      <c r="BF357" s="2"/>
      <c r="BG357" s="84">
        <f t="shared" ref="BG357:BG362" si="1062">ROUND(AZ357-SUM(D357:G357),1)</f>
        <v>0</v>
      </c>
      <c r="BH357" s="84">
        <f t="shared" ref="BH357:BH362" si="1063">ROUND(BA357-SUM(H357:K357),1)</f>
        <v>0</v>
      </c>
      <c r="BI357" s="84">
        <f t="shared" ref="BI357:BI362" si="1064">ROUND(BB357-SUM(L357:O357),1)</f>
        <v>0</v>
      </c>
      <c r="BJ357" s="84">
        <f t="shared" ref="BJ357:BJ362" si="1065">ROUND(BC357-SUM(P357:S357),1)</f>
        <v>0</v>
      </c>
      <c r="BK357" s="84"/>
    </row>
    <row r="358" spans="1:63" ht="11.25" customHeight="1">
      <c r="A358" s="2"/>
      <c r="B358" s="2" t="s">
        <v>184</v>
      </c>
      <c r="C358" s="2"/>
      <c r="D358" s="16">
        <v>57.186</v>
      </c>
      <c r="E358" s="16">
        <v>69.042000000000002</v>
      </c>
      <c r="F358" s="16">
        <v>65.533000000000001</v>
      </c>
      <c r="G358" s="16">
        <v>75.486000000000004</v>
      </c>
      <c r="H358" s="16">
        <v>81.168000000000006</v>
      </c>
      <c r="I358" s="16">
        <v>74.007000000000005</v>
      </c>
      <c r="J358" s="16">
        <v>52.933</v>
      </c>
      <c r="K358" s="16">
        <v>55.865000000000002</v>
      </c>
      <c r="L358" s="16">
        <v>29.254000000000001</v>
      </c>
      <c r="M358" s="16">
        <v>5.6029999999999998</v>
      </c>
      <c r="N358" s="16">
        <v>26.984999999999999</v>
      </c>
      <c r="O358" s="16">
        <v>45.451000000000001</v>
      </c>
      <c r="P358" s="16">
        <v>51.05</v>
      </c>
      <c r="Q358" s="16">
        <v>44.472999999999999</v>
      </c>
      <c r="R358" s="16">
        <v>22.448</v>
      </c>
      <c r="S358" s="16">
        <v>52.334000000000003</v>
      </c>
      <c r="T358" s="16">
        <v>50.223999999999997</v>
      </c>
      <c r="U358" s="16">
        <v>44.5</v>
      </c>
      <c r="V358" s="16">
        <v>34.426000000000002</v>
      </c>
      <c r="W358" s="16"/>
      <c r="X358" s="16"/>
      <c r="Y358" s="16"/>
      <c r="Z358" s="16"/>
      <c r="AA358" s="16"/>
      <c r="AB358" s="16"/>
      <c r="AC358" s="16">
        <v>0</v>
      </c>
      <c r="AD358" s="16">
        <v>0</v>
      </c>
      <c r="AE358" s="16">
        <v>0</v>
      </c>
      <c r="AF358" s="16">
        <v>0</v>
      </c>
      <c r="AG358" s="16">
        <v>0</v>
      </c>
      <c r="AH358" s="16">
        <v>0</v>
      </c>
      <c r="AI358" s="16">
        <v>0</v>
      </c>
      <c r="AJ358" s="16">
        <v>0</v>
      </c>
      <c r="AK358" s="16">
        <v>0</v>
      </c>
      <c r="AL358" s="16">
        <v>102.03</v>
      </c>
      <c r="AM358" s="16">
        <v>112.23399999999999</v>
      </c>
      <c r="AN358" s="16">
        <v>154.15</v>
      </c>
      <c r="AO358" s="16">
        <v>43.984999999999999</v>
      </c>
      <c r="AP358" s="16">
        <v>53.759</v>
      </c>
      <c r="AQ358" s="16">
        <v>64.093999999999994</v>
      </c>
      <c r="AR358" s="16">
        <v>3.6760000000000002</v>
      </c>
      <c r="AS358" s="16">
        <v>7.5640000000000001</v>
      </c>
      <c r="AT358" s="16">
        <v>3.8889999999999998</v>
      </c>
      <c r="AU358" s="16">
        <v>74.293000000000006</v>
      </c>
      <c r="AV358" s="16">
        <v>40.518000000000001</v>
      </c>
      <c r="AW358" s="16">
        <v>87.460999999999999</v>
      </c>
      <c r="AX358" s="16">
        <v>89.159000000000006</v>
      </c>
      <c r="AY358" s="16">
        <v>247.21199999999999</v>
      </c>
      <c r="AZ358" s="16">
        <v>267.24700000000001</v>
      </c>
      <c r="BA358" s="16">
        <v>263.97300000000001</v>
      </c>
      <c r="BB358" s="16">
        <v>107.29300000000001</v>
      </c>
      <c r="BC358" s="16">
        <v>170.30500000000001</v>
      </c>
      <c r="BD358" s="2"/>
      <c r="BE358" s="2"/>
      <c r="BF358" s="2"/>
      <c r="BG358" s="84">
        <f t="shared" si="1062"/>
        <v>0</v>
      </c>
      <c r="BH358" s="84">
        <f t="shared" si="1063"/>
        <v>0</v>
      </c>
      <c r="BI358" s="84">
        <f t="shared" si="1064"/>
        <v>0</v>
      </c>
      <c r="BJ358" s="84">
        <f t="shared" si="1065"/>
        <v>0</v>
      </c>
      <c r="BK358" s="84"/>
    </row>
    <row r="359" spans="1:63" ht="11.25" customHeight="1">
      <c r="A359" s="2"/>
      <c r="B359" s="2" t="s">
        <v>186</v>
      </c>
      <c r="C359" s="2"/>
      <c r="D359" s="16">
        <v>0</v>
      </c>
      <c r="E359" s="16">
        <v>0</v>
      </c>
      <c r="F359" s="16">
        <v>0</v>
      </c>
      <c r="G359" s="16">
        <v>0</v>
      </c>
      <c r="H359" s="16">
        <v>0</v>
      </c>
      <c r="I359" s="16">
        <v>0</v>
      </c>
      <c r="J359" s="16">
        <v>0</v>
      </c>
      <c r="K359" s="16">
        <v>0</v>
      </c>
      <c r="L359" s="16">
        <v>0</v>
      </c>
      <c r="M359" s="16">
        <v>0</v>
      </c>
      <c r="N359" s="16">
        <v>0</v>
      </c>
      <c r="O359" s="16">
        <v>0</v>
      </c>
      <c r="P359" s="16">
        <v>0</v>
      </c>
      <c r="Q359" s="16">
        <v>0</v>
      </c>
      <c r="R359" s="16">
        <v>0</v>
      </c>
      <c r="S359" s="16">
        <v>0</v>
      </c>
      <c r="T359" s="16">
        <v>0</v>
      </c>
      <c r="U359" s="16">
        <v>0</v>
      </c>
      <c r="V359" s="16">
        <v>0</v>
      </c>
      <c r="W359" s="16"/>
      <c r="X359" s="16"/>
      <c r="Y359" s="16"/>
      <c r="Z359" s="16"/>
      <c r="AA359" s="16"/>
      <c r="AB359" s="16"/>
      <c r="AC359" s="16">
        <v>0</v>
      </c>
      <c r="AD359" s="16">
        <v>0</v>
      </c>
      <c r="AE359" s="16">
        <v>0</v>
      </c>
      <c r="AF359" s="16">
        <v>0</v>
      </c>
      <c r="AG359" s="16">
        <v>0</v>
      </c>
      <c r="AH359" s="16">
        <v>0</v>
      </c>
      <c r="AI359" s="16">
        <v>0</v>
      </c>
      <c r="AJ359" s="16">
        <v>0</v>
      </c>
      <c r="AK359" s="16">
        <v>0</v>
      </c>
      <c r="AL359" s="16">
        <v>0.126</v>
      </c>
      <c r="AM359" s="16">
        <v>0.41</v>
      </c>
      <c r="AN359" s="16">
        <v>0.19900000000000001</v>
      </c>
      <c r="AO359" s="16">
        <v>0.13100000000000001</v>
      </c>
      <c r="AP359" s="16">
        <v>0.24199999999999999</v>
      </c>
      <c r="AQ359" s="16">
        <v>0.22600000000000001</v>
      </c>
      <c r="AR359" s="16">
        <v>0.35399999999999998</v>
      </c>
      <c r="AS359" s="16">
        <v>6.8000000000000005E-2</v>
      </c>
      <c r="AT359" s="16">
        <v>8.7999999999999995E-2</v>
      </c>
      <c r="AU359" s="16">
        <v>0.36899999999999999</v>
      </c>
      <c r="AV359" s="16">
        <v>0.16</v>
      </c>
      <c r="AW359" s="16">
        <v>5.8000000000000003E-2</v>
      </c>
      <c r="AX359" s="16">
        <v>0</v>
      </c>
      <c r="AY359" s="16">
        <v>0</v>
      </c>
      <c r="AZ359" s="16">
        <v>0</v>
      </c>
      <c r="BA359" s="16">
        <v>0</v>
      </c>
      <c r="BB359" s="16">
        <v>0</v>
      </c>
      <c r="BC359" s="16">
        <v>0</v>
      </c>
      <c r="BD359" s="2"/>
      <c r="BE359" s="2"/>
      <c r="BF359" s="2"/>
      <c r="BG359" s="84">
        <f t="shared" si="1062"/>
        <v>0</v>
      </c>
      <c r="BH359" s="84">
        <f t="shared" si="1063"/>
        <v>0</v>
      </c>
      <c r="BI359" s="84">
        <f t="shared" si="1064"/>
        <v>0</v>
      </c>
      <c r="BJ359" s="84">
        <f t="shared" si="1065"/>
        <v>0</v>
      </c>
      <c r="BK359" s="84"/>
    </row>
    <row r="360" spans="1:63" ht="11.25" customHeight="1">
      <c r="A360" s="2"/>
      <c r="B360" s="2" t="s">
        <v>185</v>
      </c>
      <c r="C360" s="2"/>
      <c r="D360" s="16">
        <v>0</v>
      </c>
      <c r="E360" s="16">
        <v>0</v>
      </c>
      <c r="F360" s="16">
        <v>0</v>
      </c>
      <c r="G360" s="16">
        <v>0</v>
      </c>
      <c r="H360" s="16">
        <v>0</v>
      </c>
      <c r="I360" s="16">
        <v>0</v>
      </c>
      <c r="J360" s="16">
        <v>0</v>
      </c>
      <c r="K360" s="16">
        <v>0</v>
      </c>
      <c r="L360" s="16">
        <v>0</v>
      </c>
      <c r="M360" s="16">
        <v>0</v>
      </c>
      <c r="N360" s="16">
        <v>0</v>
      </c>
      <c r="O360" s="16">
        <v>0</v>
      </c>
      <c r="P360" s="16">
        <v>0</v>
      </c>
      <c r="Q360" s="16">
        <v>0</v>
      </c>
      <c r="R360" s="16">
        <v>0</v>
      </c>
      <c r="S360" s="16">
        <v>0</v>
      </c>
      <c r="T360" s="16">
        <v>0</v>
      </c>
      <c r="U360" s="16">
        <v>0</v>
      </c>
      <c r="V360" s="16">
        <v>0</v>
      </c>
      <c r="W360" s="16"/>
      <c r="X360" s="16"/>
      <c r="Y360" s="16"/>
      <c r="Z360" s="16"/>
      <c r="AA360" s="16"/>
      <c r="AB360" s="16"/>
      <c r="AC360" s="16">
        <v>0</v>
      </c>
      <c r="AD360" s="16">
        <v>0</v>
      </c>
      <c r="AE360" s="16">
        <v>0</v>
      </c>
      <c r="AF360" s="16">
        <v>0</v>
      </c>
      <c r="AG360" s="16">
        <v>0</v>
      </c>
      <c r="AH360" s="16">
        <v>0</v>
      </c>
      <c r="AI360" s="16">
        <v>0</v>
      </c>
      <c r="AJ360" s="16">
        <v>0</v>
      </c>
      <c r="AK360" s="16">
        <v>0</v>
      </c>
      <c r="AL360" s="16">
        <v>0</v>
      </c>
      <c r="AM360" s="16">
        <v>0</v>
      </c>
      <c r="AN360" s="16">
        <v>0</v>
      </c>
      <c r="AO360" s="16">
        <v>0</v>
      </c>
      <c r="AP360" s="16">
        <v>0</v>
      </c>
      <c r="AQ360" s="16">
        <v>0</v>
      </c>
      <c r="AR360" s="16">
        <v>0</v>
      </c>
      <c r="AS360" s="16">
        <v>0</v>
      </c>
      <c r="AT360" s="16">
        <v>3.472</v>
      </c>
      <c r="AU360" s="16">
        <v>5.1719999999999997</v>
      </c>
      <c r="AV360" s="16">
        <v>0</v>
      </c>
      <c r="AW360" s="16">
        <v>0</v>
      </c>
      <c r="AX360" s="16">
        <v>0</v>
      </c>
      <c r="AY360" s="16">
        <v>0</v>
      </c>
      <c r="AZ360" s="16">
        <v>0</v>
      </c>
      <c r="BA360" s="16">
        <v>0</v>
      </c>
      <c r="BB360" s="16">
        <v>0</v>
      </c>
      <c r="BC360" s="16">
        <v>0</v>
      </c>
      <c r="BD360" s="2"/>
      <c r="BE360" s="2"/>
      <c r="BF360" s="2"/>
      <c r="BG360" s="84">
        <f t="shared" si="1062"/>
        <v>0</v>
      </c>
      <c r="BH360" s="84">
        <f t="shared" si="1063"/>
        <v>0</v>
      </c>
      <c r="BI360" s="84">
        <f t="shared" si="1064"/>
        <v>0</v>
      </c>
      <c r="BJ360" s="84">
        <f t="shared" si="1065"/>
        <v>0</v>
      </c>
      <c r="BK360" s="84"/>
    </row>
    <row r="361" spans="1:63" ht="13.5" customHeight="1">
      <c r="A361" s="2"/>
      <c r="B361" s="2" t="s">
        <v>188</v>
      </c>
      <c r="C361" s="2"/>
      <c r="D361" s="17">
        <v>-0.30599999999999999</v>
      </c>
      <c r="E361" s="17">
        <v>-7.4589999999999996</v>
      </c>
      <c r="F361" s="17">
        <v>-1.9930000000000001</v>
      </c>
      <c r="G361" s="17">
        <v>-2.9609999999999999</v>
      </c>
      <c r="H361" s="17">
        <v>-1.4490000000000001</v>
      </c>
      <c r="I361" s="17">
        <v>-4.8529999999999998</v>
      </c>
      <c r="J361" s="17">
        <v>-0.92500000000000004</v>
      </c>
      <c r="K361" s="17">
        <v>-3.1080000000000001</v>
      </c>
      <c r="L361" s="17">
        <v>-1.339</v>
      </c>
      <c r="M361" s="17">
        <v>-2.004</v>
      </c>
      <c r="N361" s="17">
        <v>-1.54</v>
      </c>
      <c r="O361" s="17">
        <v>5.069</v>
      </c>
      <c r="P361" s="17">
        <v>1.6919999999999999</v>
      </c>
      <c r="Q361" s="17">
        <v>5.1870000000000003</v>
      </c>
      <c r="R361" s="17">
        <v>6.9320000000000004</v>
      </c>
      <c r="S361" s="17">
        <v>25.75</v>
      </c>
      <c r="T361" s="17">
        <v>-0.76300000000000001</v>
      </c>
      <c r="U361" s="17">
        <v>6.673</v>
      </c>
      <c r="V361" s="17">
        <v>7.4459999999999997</v>
      </c>
      <c r="W361" s="16"/>
      <c r="X361" s="16"/>
      <c r="Y361" s="16"/>
      <c r="Z361" s="16"/>
      <c r="AA361" s="16"/>
      <c r="AB361" s="16"/>
      <c r="AC361" s="17">
        <v>-0.23200000000000001</v>
      </c>
      <c r="AD361" s="17">
        <v>1.2430000000000001</v>
      </c>
      <c r="AE361" s="17">
        <v>-1.92</v>
      </c>
      <c r="AF361" s="17">
        <v>-14.071</v>
      </c>
      <c r="AG361" s="17">
        <v>-2.3279999999999998</v>
      </c>
      <c r="AH361" s="17">
        <v>-5.4420000000000002</v>
      </c>
      <c r="AI361" s="17">
        <v>-1.2729999999999999</v>
      </c>
      <c r="AJ361" s="17">
        <v>-2.1219999999999999</v>
      </c>
      <c r="AK361" s="17">
        <v>-0.85499999999999998</v>
      </c>
      <c r="AL361" s="17">
        <v>-2.6909999999999998</v>
      </c>
      <c r="AM361" s="17">
        <v>-5.1280000000000001</v>
      </c>
      <c r="AN361" s="17">
        <v>-1.0469999999999999</v>
      </c>
      <c r="AO361" s="17">
        <v>-1.4339999999999999</v>
      </c>
      <c r="AP361" s="17">
        <v>-8.7620000000000005</v>
      </c>
      <c r="AQ361" s="17">
        <v>2.4990000000000001</v>
      </c>
      <c r="AR361" s="17">
        <v>0.33700000000000002</v>
      </c>
      <c r="AS361" s="17">
        <v>-3.86</v>
      </c>
      <c r="AT361" s="17">
        <v>-1.9810000000000001</v>
      </c>
      <c r="AU361" s="17">
        <v>-3.8860000000000001</v>
      </c>
      <c r="AV361" s="17">
        <v>-2.7050000000000001</v>
      </c>
      <c r="AW361" s="17">
        <v>-3.5179999999999998</v>
      </c>
      <c r="AX361" s="17">
        <v>-7.0910000000000002</v>
      </c>
      <c r="AY361" s="17">
        <v>-6.7960000000000003</v>
      </c>
      <c r="AZ361" s="17">
        <v>-12.718999999999999</v>
      </c>
      <c r="BA361" s="17">
        <v>-10.335000000000001</v>
      </c>
      <c r="BB361" s="17">
        <v>0.186</v>
      </c>
      <c r="BC361" s="17">
        <v>39.561</v>
      </c>
      <c r="BD361" s="2"/>
      <c r="BE361" s="2"/>
      <c r="BF361" s="2"/>
      <c r="BG361" s="84">
        <f t="shared" si="1062"/>
        <v>0</v>
      </c>
      <c r="BH361" s="84">
        <f t="shared" si="1063"/>
        <v>0</v>
      </c>
      <c r="BI361" s="84">
        <f t="shared" si="1064"/>
        <v>0</v>
      </c>
      <c r="BJ361" s="84">
        <f t="shared" si="1065"/>
        <v>0</v>
      </c>
      <c r="BK361" s="84"/>
    </row>
    <row r="362" spans="1:63" ht="11.25" customHeight="1">
      <c r="A362" s="2"/>
      <c r="B362" s="12" t="s">
        <v>189</v>
      </c>
      <c r="C362" s="2"/>
      <c r="D362" s="20">
        <f t="shared" ref="D362:T362" si="1066">SUM(D349:D361)</f>
        <v>-188.99299999999999</v>
      </c>
      <c r="E362" s="20">
        <f t="shared" si="1066"/>
        <v>-129.74999999999997</v>
      </c>
      <c r="F362" s="20">
        <f t="shared" si="1066"/>
        <v>-96.08</v>
      </c>
      <c r="G362" s="20">
        <f t="shared" si="1066"/>
        <v>-90.959000000000003</v>
      </c>
      <c r="H362" s="20">
        <f t="shared" si="1066"/>
        <v>-244.25100000000003</v>
      </c>
      <c r="I362" s="20">
        <f t="shared" si="1066"/>
        <v>-169.75200000000001</v>
      </c>
      <c r="J362" s="20">
        <f t="shared" si="1066"/>
        <v>-177.01999999999998</v>
      </c>
      <c r="K362" s="20">
        <f t="shared" si="1066"/>
        <v>-245.34300000000002</v>
      </c>
      <c r="L362" s="20">
        <f t="shared" si="1066"/>
        <v>-288.07400000000001</v>
      </c>
      <c r="M362" s="20">
        <f t="shared" si="1066"/>
        <v>-275.93200000000002</v>
      </c>
      <c r="N362" s="20">
        <f t="shared" si="1066"/>
        <v>-284.39000000000004</v>
      </c>
      <c r="O362" s="20">
        <f t="shared" si="1066"/>
        <v>-342.53199999999998</v>
      </c>
      <c r="P362" s="20">
        <f t="shared" si="1066"/>
        <v>-272.23200000000003</v>
      </c>
      <c r="Q362" s="20">
        <f t="shared" si="1066"/>
        <v>-259.32599999999996</v>
      </c>
      <c r="R362" s="20">
        <f t="shared" si="1066"/>
        <v>-242.24299999999999</v>
      </c>
      <c r="S362" s="20">
        <f t="shared" si="1066"/>
        <v>-132.31899999999996</v>
      </c>
      <c r="T362" s="20">
        <f t="shared" si="1066"/>
        <v>-159.80700000000004</v>
      </c>
      <c r="U362" s="20">
        <f t="shared" ref="U362:V362" si="1067">SUM(U349:U361)</f>
        <v>-197.608</v>
      </c>
      <c r="V362" s="20">
        <f t="shared" si="1067"/>
        <v>-195.50900000000004</v>
      </c>
      <c r="W362" s="16"/>
      <c r="X362" s="16"/>
      <c r="Y362" s="16"/>
      <c r="Z362" s="16"/>
      <c r="AA362" s="16"/>
      <c r="AB362" s="16"/>
      <c r="AC362" s="16">
        <v>-44.527000000000001</v>
      </c>
      <c r="AD362" s="16">
        <v>-42.277999999999999</v>
      </c>
      <c r="AE362" s="16">
        <v>-44.987000000000002</v>
      </c>
      <c r="AF362" s="16">
        <v>-119.575</v>
      </c>
      <c r="AG362" s="16">
        <v>-77.231999999999999</v>
      </c>
      <c r="AH362" s="16">
        <v>-62.189</v>
      </c>
      <c r="AI362" s="16">
        <v>-53.405000000000001</v>
      </c>
      <c r="AJ362" s="16">
        <v>-148.01300000000001</v>
      </c>
      <c r="AK362" s="16">
        <v>-77.44</v>
      </c>
      <c r="AL362" s="16">
        <v>-119.724</v>
      </c>
      <c r="AM362" s="16">
        <v>-70.688999999999993</v>
      </c>
      <c r="AN362" s="16">
        <v>-8.0419999999999998</v>
      </c>
      <c r="AO362" s="16">
        <v>-96.468000000000004</v>
      </c>
      <c r="AP362" s="16">
        <v>-202.08600000000001</v>
      </c>
      <c r="AQ362" s="16">
        <v>-182.523</v>
      </c>
      <c r="AR362" s="20">
        <f t="shared" ref="AR362" si="1068">SUM(AR349:AR361)</f>
        <v>-269.3180000000001</v>
      </c>
      <c r="AS362" s="20">
        <f t="shared" ref="AS362" si="1069">SUM(AS349:AS361)</f>
        <v>-281.05400000000003</v>
      </c>
      <c r="AT362" s="20">
        <f t="shared" ref="AT362" si="1070">SUM(AT349:AT361)</f>
        <v>-282.42100000000005</v>
      </c>
      <c r="AU362" s="20">
        <f t="shared" ref="AU362" si="1071">SUM(AU349:AU361)</f>
        <v>-217.24600000000001</v>
      </c>
      <c r="AV362" s="20">
        <f t="shared" ref="AV362" si="1072">SUM(AV349:AV361)</f>
        <v>-395.43999999999994</v>
      </c>
      <c r="AW362" s="20">
        <f t="shared" ref="AW362" si="1073">SUM(AW349:AW361)</f>
        <v>-336.16499999999996</v>
      </c>
      <c r="AX362" s="20">
        <f t="shared" ref="AX362" si="1074">SUM(AX349:AX361)</f>
        <v>-314.26900000000001</v>
      </c>
      <c r="AY362" s="20">
        <f t="shared" ref="AY362" si="1075">SUM(AY349:AY361)</f>
        <v>-458.80200000000008</v>
      </c>
      <c r="AZ362" s="20">
        <f t="shared" ref="AZ362" si="1076">SUM(AZ349:AZ361)</f>
        <v>-505.78199999999993</v>
      </c>
      <c r="BA362" s="20">
        <f t="shared" ref="BA362" si="1077">SUM(BA349:BA361)</f>
        <v>-836.36599999999999</v>
      </c>
      <c r="BB362" s="20">
        <f t="shared" ref="BB362" si="1078">SUM(BB349:BB361)</f>
        <v>-1190.9280000000001</v>
      </c>
      <c r="BC362" s="20">
        <f t="shared" ref="BC362" si="1079">SUM(BC349:BC361)</f>
        <v>-906.12</v>
      </c>
      <c r="BD362" s="2"/>
      <c r="BE362" s="2"/>
      <c r="BF362" s="2"/>
      <c r="BG362" s="84">
        <f t="shared" si="1062"/>
        <v>0</v>
      </c>
      <c r="BH362" s="84">
        <f t="shared" si="1063"/>
        <v>0</v>
      </c>
      <c r="BI362" s="84">
        <f t="shared" si="1064"/>
        <v>0</v>
      </c>
      <c r="BJ362" s="84">
        <f t="shared" si="1065"/>
        <v>0</v>
      </c>
      <c r="BK362" s="84"/>
    </row>
    <row r="363" spans="1:63" ht="11.25" customHeight="1">
      <c r="A363" s="2"/>
      <c r="B363" s="2"/>
      <c r="C363" s="2"/>
      <c r="D363" s="210"/>
      <c r="E363" s="210"/>
      <c r="F363" s="210"/>
      <c r="G363" s="210"/>
      <c r="H363" s="210"/>
      <c r="I363" s="210"/>
      <c r="J363" s="210"/>
      <c r="K363" s="210"/>
      <c r="L363" s="210"/>
      <c r="M363" s="210"/>
      <c r="N363" s="210"/>
      <c r="O363" s="210"/>
      <c r="P363" s="210"/>
      <c r="Q363" s="210"/>
      <c r="R363" s="210"/>
      <c r="S363" s="210"/>
      <c r="T363" s="210"/>
      <c r="U363" s="210"/>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2"/>
      <c r="BE363" s="2"/>
      <c r="BF363" s="2"/>
      <c r="BG363" s="84"/>
      <c r="BH363" s="84"/>
      <c r="BI363" s="84"/>
      <c r="BJ363" s="84"/>
      <c r="BK363" s="84"/>
    </row>
    <row r="364" spans="1:63" ht="11.25" customHeight="1">
      <c r="A364" s="2"/>
      <c r="B364" s="65" t="s">
        <v>129</v>
      </c>
      <c r="C364" s="2"/>
      <c r="D364" s="57"/>
      <c r="E364" s="57"/>
      <c r="F364" s="57"/>
      <c r="G364" s="57"/>
      <c r="H364" s="57"/>
      <c r="I364" s="57"/>
      <c r="J364" s="57"/>
      <c r="K364" s="57"/>
      <c r="L364" s="57"/>
      <c r="M364" s="57"/>
      <c r="N364" s="57"/>
      <c r="O364" s="57"/>
      <c r="P364" s="57"/>
      <c r="Q364" s="57"/>
      <c r="R364" s="57"/>
      <c r="S364" s="57"/>
      <c r="T364" s="57"/>
      <c r="U364" s="57"/>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57"/>
      <c r="AS364" s="57"/>
      <c r="AT364" s="57"/>
      <c r="AU364" s="57"/>
      <c r="AV364" s="57"/>
      <c r="AW364" s="57"/>
      <c r="AX364" s="57"/>
      <c r="AY364" s="57"/>
      <c r="AZ364" s="57"/>
      <c r="BA364" s="57"/>
      <c r="BB364" s="57"/>
      <c r="BC364" s="57"/>
      <c r="BD364" s="2"/>
      <c r="BE364" s="2"/>
      <c r="BF364" s="2"/>
      <c r="BG364" s="84"/>
      <c r="BH364" s="84"/>
      <c r="BI364" s="84"/>
      <c r="BJ364" s="84"/>
      <c r="BK364" s="84"/>
    </row>
    <row r="365" spans="1:63" ht="11.25" customHeight="1">
      <c r="A365" s="2"/>
      <c r="B365" s="2" t="s">
        <v>190</v>
      </c>
      <c r="C365" s="2"/>
      <c r="D365" s="16">
        <v>20.347999999999999</v>
      </c>
      <c r="E365" s="16">
        <v>32.231000000000002</v>
      </c>
      <c r="F365" s="16">
        <v>-16.803999999999998</v>
      </c>
      <c r="G365" s="16">
        <v>-67.346999999999994</v>
      </c>
      <c r="H365" s="16">
        <v>52.072000000000003</v>
      </c>
      <c r="I365" s="16">
        <v>3.552</v>
      </c>
      <c r="J365" s="16">
        <v>-18.094000000000001</v>
      </c>
      <c r="K365" s="16">
        <v>-1.8620000000000001</v>
      </c>
      <c r="L365" s="16">
        <v>30.529</v>
      </c>
      <c r="M365" s="16">
        <v>-26.48</v>
      </c>
      <c r="N365" s="16">
        <v>-116.009</v>
      </c>
      <c r="O365" s="16">
        <v>0</v>
      </c>
      <c r="P365" s="16">
        <v>0</v>
      </c>
      <c r="Q365" s="16">
        <v>0</v>
      </c>
      <c r="R365" s="16">
        <v>0</v>
      </c>
      <c r="S365" s="16">
        <v>0</v>
      </c>
      <c r="T365" s="16">
        <v>0</v>
      </c>
      <c r="U365" s="16">
        <v>0</v>
      </c>
      <c r="V365" s="16">
        <v>0</v>
      </c>
      <c r="W365" s="16"/>
      <c r="X365" s="16"/>
      <c r="Y365" s="16"/>
      <c r="Z365" s="16"/>
      <c r="AA365" s="16"/>
      <c r="AB365" s="16"/>
      <c r="AC365" s="16">
        <v>0</v>
      </c>
      <c r="AD365" s="16">
        <v>0</v>
      </c>
      <c r="AE365" s="16">
        <v>0</v>
      </c>
      <c r="AF365" s="16">
        <v>0</v>
      </c>
      <c r="AG365" s="16">
        <v>0</v>
      </c>
      <c r="AH365" s="16">
        <v>0</v>
      </c>
      <c r="AI365" s="16">
        <v>0</v>
      </c>
      <c r="AJ365" s="16">
        <v>0</v>
      </c>
      <c r="AK365" s="16">
        <v>0</v>
      </c>
      <c r="AL365" s="16">
        <v>0</v>
      </c>
      <c r="AM365" s="16">
        <v>0</v>
      </c>
      <c r="AN365" s="16">
        <v>0</v>
      </c>
      <c r="AO365" s="16">
        <v>0</v>
      </c>
      <c r="AP365" s="16">
        <v>31.213999999999999</v>
      </c>
      <c r="AQ365" s="16">
        <v>-5.2869999999999999</v>
      </c>
      <c r="AR365" s="16">
        <v>9.7469999999999999</v>
      </c>
      <c r="AS365" s="16">
        <v>-19.635999999999999</v>
      </c>
      <c r="AT365" s="16">
        <v>18.564</v>
      </c>
      <c r="AU365" s="16">
        <v>3.1389999999999998</v>
      </c>
      <c r="AV365" s="16">
        <v>18.969000000000001</v>
      </c>
      <c r="AW365" s="16">
        <v>10.394</v>
      </c>
      <c r="AX365" s="16">
        <v>23.922999999999998</v>
      </c>
      <c r="AY365" s="16">
        <v>31.803999999999998</v>
      </c>
      <c r="AZ365" s="16">
        <v>-31.571999999999999</v>
      </c>
      <c r="BA365" s="16">
        <v>35.667999999999999</v>
      </c>
      <c r="BB365" s="16">
        <v>-111.96</v>
      </c>
      <c r="BC365" s="16">
        <v>0</v>
      </c>
      <c r="BD365" s="2"/>
      <c r="BE365" s="2"/>
      <c r="BF365" s="2"/>
      <c r="BG365" s="84">
        <f t="shared" ref="BG365:BG377" si="1080">ROUND(AZ365-SUM(D365:G365),1)</f>
        <v>0</v>
      </c>
      <c r="BH365" s="84">
        <f t="shared" ref="BH365:BH377" si="1081">ROUND(BA365-SUM(H365:K365),1)</f>
        <v>0</v>
      </c>
      <c r="BI365" s="84">
        <f t="shared" ref="BI365:BI377" si="1082">ROUND(BB365-SUM(L365:O365),1)</f>
        <v>0</v>
      </c>
      <c r="BJ365" s="84">
        <f t="shared" ref="BJ365:BJ377" si="1083">ROUND(BC365-SUM(P365:S365),1)</f>
        <v>0</v>
      </c>
      <c r="BK365" s="84"/>
    </row>
    <row r="366" spans="1:63" ht="11.25" customHeight="1">
      <c r="A366" s="2"/>
      <c r="B366" s="2" t="s">
        <v>191</v>
      </c>
      <c r="C366" s="2"/>
      <c r="D366" s="16">
        <v>0</v>
      </c>
      <c r="E366" s="16">
        <v>0</v>
      </c>
      <c r="F366" s="16">
        <v>0</v>
      </c>
      <c r="G366" s="16">
        <v>0</v>
      </c>
      <c r="H366" s="16">
        <v>0</v>
      </c>
      <c r="I366" s="16">
        <v>0</v>
      </c>
      <c r="J366" s="16">
        <v>0</v>
      </c>
      <c r="K366" s="16">
        <v>0</v>
      </c>
      <c r="L366" s="16">
        <v>0</v>
      </c>
      <c r="M366" s="16">
        <v>0</v>
      </c>
      <c r="N366" s="16">
        <v>0</v>
      </c>
      <c r="O366" s="16">
        <v>0</v>
      </c>
      <c r="P366" s="16">
        <v>0</v>
      </c>
      <c r="Q366" s="16">
        <v>7.6740000000000004</v>
      </c>
      <c r="R366" s="16">
        <v>20.234999999999999</v>
      </c>
      <c r="S366" s="16">
        <v>0</v>
      </c>
      <c r="T366" s="16">
        <v>-26.495999999999999</v>
      </c>
      <c r="U366" s="16">
        <v>0</v>
      </c>
      <c r="V366" s="16">
        <v>0</v>
      </c>
      <c r="W366" s="16"/>
      <c r="X366" s="16"/>
      <c r="Y366" s="16"/>
      <c r="Z366" s="16"/>
      <c r="AA366" s="16"/>
      <c r="AB366" s="16"/>
      <c r="AC366" s="239" t="s">
        <v>174</v>
      </c>
      <c r="AD366" s="239" t="s">
        <v>174</v>
      </c>
      <c r="AE366" s="239" t="s">
        <v>174</v>
      </c>
      <c r="AF366" s="239" t="s">
        <v>174</v>
      </c>
      <c r="AG366" s="239" t="s">
        <v>174</v>
      </c>
      <c r="AH366" s="239" t="s">
        <v>174</v>
      </c>
      <c r="AI366" s="239" t="s">
        <v>174</v>
      </c>
      <c r="AJ366" s="239" t="s">
        <v>174</v>
      </c>
      <c r="AK366" s="239" t="s">
        <v>174</v>
      </c>
      <c r="AL366" s="239" t="s">
        <v>174</v>
      </c>
      <c r="AM366" s="239" t="s">
        <v>174</v>
      </c>
      <c r="AN366" s="239" t="s">
        <v>174</v>
      </c>
      <c r="AO366" s="239" t="s">
        <v>174</v>
      </c>
      <c r="AP366" s="239" t="s">
        <v>174</v>
      </c>
      <c r="AQ366" s="239" t="s">
        <v>174</v>
      </c>
      <c r="AR366" s="16">
        <v>0</v>
      </c>
      <c r="AS366" s="16">
        <v>0</v>
      </c>
      <c r="AT366" s="16">
        <v>0</v>
      </c>
      <c r="AU366" s="16">
        <v>0</v>
      </c>
      <c r="AV366" s="16">
        <v>0</v>
      </c>
      <c r="AW366" s="16">
        <v>0</v>
      </c>
      <c r="AX366" s="16">
        <v>0</v>
      </c>
      <c r="AY366" s="16">
        <v>0</v>
      </c>
      <c r="AZ366" s="16">
        <v>0</v>
      </c>
      <c r="BA366" s="16">
        <v>0</v>
      </c>
      <c r="BB366" s="16">
        <v>0</v>
      </c>
      <c r="BC366" s="16">
        <v>27.908999999999999</v>
      </c>
      <c r="BD366" s="2"/>
      <c r="BE366" s="2"/>
      <c r="BF366" s="2"/>
      <c r="BG366" s="84">
        <f t="shared" si="1080"/>
        <v>0</v>
      </c>
      <c r="BH366" s="84">
        <f t="shared" si="1081"/>
        <v>0</v>
      </c>
      <c r="BI366" s="84">
        <f t="shared" si="1082"/>
        <v>0</v>
      </c>
      <c r="BJ366" s="84">
        <f t="shared" si="1083"/>
        <v>0</v>
      </c>
      <c r="BK366" s="84"/>
    </row>
    <row r="367" spans="1:63" ht="11.25" customHeight="1">
      <c r="A367" s="2"/>
      <c r="B367" s="2" t="s">
        <v>192</v>
      </c>
      <c r="C367" s="2"/>
      <c r="D367" s="16">
        <v>24</v>
      </c>
      <c r="E367" s="16">
        <v>36</v>
      </c>
      <c r="F367" s="16">
        <v>146.226</v>
      </c>
      <c r="G367" s="16">
        <v>30.5</v>
      </c>
      <c r="H367" s="16">
        <v>21.1</v>
      </c>
      <c r="I367" s="16">
        <v>136.71</v>
      </c>
      <c r="J367" s="16">
        <v>49.317999999999998</v>
      </c>
      <c r="K367" s="16">
        <v>157.465</v>
      </c>
      <c r="L367" s="16">
        <v>19.600000000000001</v>
      </c>
      <c r="M367" s="16">
        <v>108.843</v>
      </c>
      <c r="N367" s="16">
        <v>59.651000000000003</v>
      </c>
      <c r="O367" s="16">
        <v>10.199</v>
      </c>
      <c r="P367" s="16">
        <v>19.3</v>
      </c>
      <c r="Q367" s="16">
        <v>40.700000000000003</v>
      </c>
      <c r="R367" s="16">
        <v>15.9</v>
      </c>
      <c r="S367" s="16">
        <v>9.8000000000000007</v>
      </c>
      <c r="T367" s="16">
        <v>22.8</v>
      </c>
      <c r="U367" s="16">
        <v>11.5</v>
      </c>
      <c r="V367" s="16">
        <v>17.064</v>
      </c>
      <c r="W367" s="16"/>
      <c r="X367" s="16"/>
      <c r="Y367" s="16"/>
      <c r="Z367" s="16"/>
      <c r="AA367" s="16"/>
      <c r="AB367" s="16"/>
      <c r="AC367" s="239">
        <v>11.55</v>
      </c>
      <c r="AD367" s="239">
        <v>9.7729999999999997</v>
      </c>
      <c r="AE367" s="239">
        <v>9.4510000000000005</v>
      </c>
      <c r="AF367" s="239">
        <v>9</v>
      </c>
      <c r="AG367" s="239">
        <v>0</v>
      </c>
      <c r="AH367" s="239">
        <v>10</v>
      </c>
      <c r="AI367" s="239">
        <v>-4</v>
      </c>
      <c r="AJ367" s="239">
        <v>-5</v>
      </c>
      <c r="AK367" s="239">
        <v>-10.5</v>
      </c>
      <c r="AL367" s="239">
        <v>0</v>
      </c>
      <c r="AM367" s="239">
        <v>-7</v>
      </c>
      <c r="AN367" s="239">
        <v>0</v>
      </c>
      <c r="AO367" s="239">
        <v>-8</v>
      </c>
      <c r="AP367" s="239">
        <v>0</v>
      </c>
      <c r="AQ367" s="239">
        <v>18</v>
      </c>
      <c r="AR367" s="16">
        <v>62</v>
      </c>
      <c r="AS367" s="16">
        <v>130.845</v>
      </c>
      <c r="AT367" s="16">
        <v>0</v>
      </c>
      <c r="AU367" s="16">
        <v>0</v>
      </c>
      <c r="AV367" s="16">
        <v>0</v>
      </c>
      <c r="AW367" s="16">
        <v>0</v>
      </c>
      <c r="AX367" s="16">
        <v>0</v>
      </c>
      <c r="AY367" s="16">
        <v>0</v>
      </c>
      <c r="AZ367" s="16">
        <v>236.726</v>
      </c>
      <c r="BA367" s="16">
        <v>364.59300000000002</v>
      </c>
      <c r="BB367" s="16">
        <v>198.29300000000001</v>
      </c>
      <c r="BC367" s="16">
        <v>85.7</v>
      </c>
      <c r="BD367" s="2"/>
      <c r="BE367" s="2"/>
      <c r="BF367" s="2"/>
      <c r="BG367" s="84">
        <f t="shared" si="1080"/>
        <v>0</v>
      </c>
      <c r="BH367" s="84">
        <f t="shared" si="1081"/>
        <v>0</v>
      </c>
      <c r="BI367" s="84">
        <f t="shared" si="1082"/>
        <v>0</v>
      </c>
      <c r="BJ367" s="84">
        <f t="shared" si="1083"/>
        <v>0</v>
      </c>
      <c r="BK367" s="84"/>
    </row>
    <row r="368" spans="1:63" ht="11.25" customHeight="1">
      <c r="A368" s="2"/>
      <c r="B368" s="2" t="s">
        <v>193</v>
      </c>
      <c r="C368" s="2"/>
      <c r="D368" s="16">
        <v>0</v>
      </c>
      <c r="E368" s="16">
        <v>0</v>
      </c>
      <c r="F368" s="16">
        <v>0</v>
      </c>
      <c r="G368" s="16">
        <v>0</v>
      </c>
      <c r="H368" s="16">
        <v>0</v>
      </c>
      <c r="I368" s="16">
        <v>0</v>
      </c>
      <c r="J368" s="16">
        <v>0</v>
      </c>
      <c r="K368" s="16">
        <v>0</v>
      </c>
      <c r="L368" s="16">
        <v>0</v>
      </c>
      <c r="M368" s="16">
        <v>0</v>
      </c>
      <c r="N368" s="16">
        <v>0</v>
      </c>
      <c r="O368" s="16">
        <v>0</v>
      </c>
      <c r="P368" s="16">
        <v>0</v>
      </c>
      <c r="Q368" s="16">
        <v>0</v>
      </c>
      <c r="R368" s="16">
        <v>0</v>
      </c>
      <c r="S368" s="16">
        <v>0</v>
      </c>
      <c r="T368" s="16">
        <v>0</v>
      </c>
      <c r="U368" s="16">
        <v>0</v>
      </c>
      <c r="V368" s="16">
        <v>0</v>
      </c>
      <c r="W368" s="16"/>
      <c r="X368" s="16"/>
      <c r="Y368" s="16"/>
      <c r="Z368" s="16"/>
      <c r="AA368" s="16"/>
      <c r="AB368" s="16"/>
      <c r="AC368" s="239" t="s">
        <v>174</v>
      </c>
      <c r="AD368" s="239" t="s">
        <v>174</v>
      </c>
      <c r="AE368" s="239" t="s">
        <v>174</v>
      </c>
      <c r="AF368" s="239" t="s">
        <v>174</v>
      </c>
      <c r="AG368" s="239" t="s">
        <v>174</v>
      </c>
      <c r="AH368" s="239" t="s">
        <v>174</v>
      </c>
      <c r="AI368" s="239" t="s">
        <v>174</v>
      </c>
      <c r="AJ368" s="239" t="s">
        <v>174</v>
      </c>
      <c r="AK368" s="239" t="s">
        <v>174</v>
      </c>
      <c r="AL368" s="239" t="s">
        <v>174</v>
      </c>
      <c r="AM368" s="239" t="s">
        <v>174</v>
      </c>
      <c r="AN368" s="239" t="s">
        <v>174</v>
      </c>
      <c r="AO368" s="239" t="s">
        <v>174</v>
      </c>
      <c r="AP368" s="239" t="s">
        <v>174</v>
      </c>
      <c r="AQ368" s="239" t="s">
        <v>174</v>
      </c>
      <c r="AR368" s="331">
        <v>0</v>
      </c>
      <c r="AS368" s="331">
        <v>0</v>
      </c>
      <c r="AT368" s="331">
        <v>0</v>
      </c>
      <c r="AU368" s="331">
        <v>0</v>
      </c>
      <c r="AV368" s="331">
        <v>0</v>
      </c>
      <c r="AW368" s="331">
        <v>0</v>
      </c>
      <c r="AX368" s="331">
        <v>0</v>
      </c>
      <c r="AY368" s="331">
        <v>0</v>
      </c>
      <c r="AZ368" s="331">
        <v>0</v>
      </c>
      <c r="BA368" s="331">
        <v>0</v>
      </c>
      <c r="BB368" s="331">
        <v>0</v>
      </c>
      <c r="BC368" s="331">
        <v>0</v>
      </c>
      <c r="BD368" s="2"/>
      <c r="BE368" s="2"/>
      <c r="BF368" s="2"/>
      <c r="BG368" s="84">
        <f t="shared" si="1080"/>
        <v>0</v>
      </c>
      <c r="BH368" s="84">
        <f t="shared" si="1081"/>
        <v>0</v>
      </c>
      <c r="BI368" s="84">
        <f t="shared" si="1082"/>
        <v>0</v>
      </c>
      <c r="BJ368" s="84">
        <f t="shared" si="1083"/>
        <v>0</v>
      </c>
      <c r="BK368" s="84"/>
    </row>
    <row r="369" spans="1:63" ht="11.25" customHeight="1">
      <c r="A369" s="2"/>
      <c r="B369" s="2" t="s">
        <v>194</v>
      </c>
      <c r="C369" s="2"/>
      <c r="D369" s="16">
        <v>-21.6</v>
      </c>
      <c r="E369" s="16">
        <v>0</v>
      </c>
      <c r="F369" s="16">
        <v>-10.199999999999999</v>
      </c>
      <c r="G369" s="16">
        <v>0</v>
      </c>
      <c r="H369" s="16">
        <v>-2.6</v>
      </c>
      <c r="I369" s="16">
        <v>0</v>
      </c>
      <c r="J369" s="16">
        <v>0</v>
      </c>
      <c r="K369" s="16">
        <v>0</v>
      </c>
      <c r="L369" s="16">
        <v>0</v>
      </c>
      <c r="M369" s="16">
        <v>0</v>
      </c>
      <c r="N369" s="16">
        <v>0</v>
      </c>
      <c r="O369" s="16">
        <v>-4.4000000000000004</v>
      </c>
      <c r="P369" s="16">
        <v>-12</v>
      </c>
      <c r="Q369" s="16">
        <v>0</v>
      </c>
      <c r="R369" s="16">
        <v>-6.1</v>
      </c>
      <c r="S369" s="16">
        <v>0</v>
      </c>
      <c r="T369" s="16">
        <v>0</v>
      </c>
      <c r="U369" s="16">
        <v>0</v>
      </c>
      <c r="V369" s="16">
        <v>-5.25</v>
      </c>
      <c r="W369" s="16"/>
      <c r="X369" s="16"/>
      <c r="Y369" s="16"/>
      <c r="Z369" s="16"/>
      <c r="AA369" s="16"/>
      <c r="AB369" s="16"/>
      <c r="AC369" s="239" t="s">
        <v>174</v>
      </c>
      <c r="AD369" s="239" t="s">
        <v>174</v>
      </c>
      <c r="AE369" s="239" t="s">
        <v>174</v>
      </c>
      <c r="AF369" s="239" t="s">
        <v>174</v>
      </c>
      <c r="AG369" s="239" t="s">
        <v>174</v>
      </c>
      <c r="AH369" s="239" t="s">
        <v>174</v>
      </c>
      <c r="AI369" s="239" t="s">
        <v>174</v>
      </c>
      <c r="AJ369" s="239" t="s">
        <v>174</v>
      </c>
      <c r="AK369" s="239" t="s">
        <v>174</v>
      </c>
      <c r="AL369" s="239" t="s">
        <v>174</v>
      </c>
      <c r="AM369" s="239" t="s">
        <v>174</v>
      </c>
      <c r="AN369" s="239" t="s">
        <v>174</v>
      </c>
      <c r="AO369" s="239" t="s">
        <v>174</v>
      </c>
      <c r="AP369" s="239" t="s">
        <v>174</v>
      </c>
      <c r="AQ369" s="239" t="s">
        <v>174</v>
      </c>
      <c r="AR369" s="16">
        <v>-4.5</v>
      </c>
      <c r="AS369" s="16">
        <v>0</v>
      </c>
      <c r="AT369" s="16">
        <v>0</v>
      </c>
      <c r="AU369" s="16">
        <v>0</v>
      </c>
      <c r="AV369" s="16">
        <v>-23.472000000000001</v>
      </c>
      <c r="AW369" s="16">
        <v>-38.1</v>
      </c>
      <c r="AX369" s="16">
        <v>-58.024999999999999</v>
      </c>
      <c r="AY369" s="16">
        <v>-34.9</v>
      </c>
      <c r="AZ369" s="16">
        <v>-31.8</v>
      </c>
      <c r="BA369" s="16">
        <v>-2.6</v>
      </c>
      <c r="BB369" s="16">
        <v>-4.4000000000000004</v>
      </c>
      <c r="BC369" s="16">
        <v>-18.100000000000001</v>
      </c>
      <c r="BD369" s="2"/>
      <c r="BE369" s="2"/>
      <c r="BF369" s="2"/>
      <c r="BG369" s="84">
        <f t="shared" si="1080"/>
        <v>0</v>
      </c>
      <c r="BH369" s="84">
        <f t="shared" si="1081"/>
        <v>0</v>
      </c>
      <c r="BI369" s="84">
        <f t="shared" si="1082"/>
        <v>0</v>
      </c>
      <c r="BJ369" s="84">
        <f t="shared" si="1083"/>
        <v>0</v>
      </c>
      <c r="BK369" s="84"/>
    </row>
    <row r="370" spans="1:63" ht="11.25" customHeight="1">
      <c r="A370" s="2"/>
      <c r="B370" s="13" t="s">
        <v>195</v>
      </c>
      <c r="C370" s="2"/>
      <c r="D370" s="16">
        <v>0</v>
      </c>
      <c r="E370" s="16">
        <v>0</v>
      </c>
      <c r="F370" s="16">
        <v>0</v>
      </c>
      <c r="G370" s="16">
        <v>0</v>
      </c>
      <c r="H370" s="16">
        <v>0</v>
      </c>
      <c r="I370" s="16">
        <v>0</v>
      </c>
      <c r="J370" s="16">
        <v>0</v>
      </c>
      <c r="K370" s="16">
        <v>0</v>
      </c>
      <c r="L370" s="16">
        <v>0</v>
      </c>
      <c r="M370" s="16">
        <v>0</v>
      </c>
      <c r="N370" s="16">
        <v>0</v>
      </c>
      <c r="O370" s="16">
        <v>0</v>
      </c>
      <c r="P370" s="16">
        <v>0</v>
      </c>
      <c r="Q370" s="16">
        <v>0</v>
      </c>
      <c r="R370" s="16">
        <v>0</v>
      </c>
      <c r="S370" s="16">
        <v>0</v>
      </c>
      <c r="T370" s="16">
        <v>6.3780000000000001</v>
      </c>
      <c r="U370" s="16">
        <v>0</v>
      </c>
      <c r="V370" s="16">
        <v>0</v>
      </c>
      <c r="W370" s="17"/>
      <c r="X370" s="17"/>
      <c r="Y370" s="17"/>
      <c r="Z370" s="17"/>
      <c r="AA370" s="17"/>
      <c r="AB370" s="17"/>
      <c r="AC370" s="239" t="s">
        <v>174</v>
      </c>
      <c r="AD370" s="239" t="s">
        <v>174</v>
      </c>
      <c r="AE370" s="239" t="s">
        <v>174</v>
      </c>
      <c r="AF370" s="239" t="s">
        <v>174</v>
      </c>
      <c r="AG370" s="239" t="s">
        <v>174</v>
      </c>
      <c r="AH370" s="239" t="s">
        <v>174</v>
      </c>
      <c r="AI370" s="239" t="s">
        <v>174</v>
      </c>
      <c r="AJ370" s="239" t="s">
        <v>174</v>
      </c>
      <c r="AK370" s="239" t="s">
        <v>174</v>
      </c>
      <c r="AL370" s="239" t="s">
        <v>174</v>
      </c>
      <c r="AM370" s="239" t="s">
        <v>174</v>
      </c>
      <c r="AN370" s="239" t="s">
        <v>174</v>
      </c>
      <c r="AO370" s="239" t="s">
        <v>174</v>
      </c>
      <c r="AP370" s="239" t="s">
        <v>174</v>
      </c>
      <c r="AQ370" s="239" t="s">
        <v>174</v>
      </c>
      <c r="AR370" s="16">
        <v>0.05</v>
      </c>
      <c r="AS370" s="16">
        <v>0.69</v>
      </c>
      <c r="AT370" s="16">
        <v>0</v>
      </c>
      <c r="AU370" s="16">
        <v>0</v>
      </c>
      <c r="AV370" s="16">
        <v>0</v>
      </c>
      <c r="AW370" s="16">
        <v>0</v>
      </c>
      <c r="AX370" s="16">
        <v>0</v>
      </c>
      <c r="AY370" s="16">
        <v>0</v>
      </c>
      <c r="AZ370" s="16">
        <v>0</v>
      </c>
      <c r="BA370" s="16">
        <v>0</v>
      </c>
      <c r="BB370" s="16">
        <v>0</v>
      </c>
      <c r="BC370" s="16">
        <v>0</v>
      </c>
      <c r="BD370" s="2"/>
      <c r="BE370" s="2"/>
      <c r="BF370" s="2"/>
      <c r="BG370" s="84">
        <f t="shared" si="1080"/>
        <v>0</v>
      </c>
      <c r="BH370" s="84">
        <f t="shared" si="1081"/>
        <v>0</v>
      </c>
      <c r="BI370" s="84">
        <f t="shared" si="1082"/>
        <v>0</v>
      </c>
      <c r="BJ370" s="84">
        <f t="shared" si="1083"/>
        <v>0</v>
      </c>
      <c r="BK370" s="84"/>
    </row>
    <row r="371" spans="1:63" ht="11.25" customHeight="1">
      <c r="A371" s="2"/>
      <c r="B371" s="13" t="s">
        <v>196</v>
      </c>
      <c r="C371" s="2"/>
      <c r="D371" s="16">
        <v>0</v>
      </c>
      <c r="E371" s="16">
        <v>0</v>
      </c>
      <c r="F371" s="16">
        <v>0</v>
      </c>
      <c r="G371" s="16">
        <v>0</v>
      </c>
      <c r="H371" s="16">
        <v>0</v>
      </c>
      <c r="I371" s="16">
        <v>0</v>
      </c>
      <c r="J371" s="16">
        <v>0</v>
      </c>
      <c r="K371" s="16">
        <v>0</v>
      </c>
      <c r="L371" s="16">
        <v>0</v>
      </c>
      <c r="M371" s="16">
        <v>0</v>
      </c>
      <c r="N371" s="16">
        <v>0</v>
      </c>
      <c r="O371" s="16">
        <v>-0.16700000000000001</v>
      </c>
      <c r="P371" s="16">
        <v>-0.33</v>
      </c>
      <c r="Q371" s="16">
        <v>-0.45700000000000002</v>
      </c>
      <c r="R371" s="16">
        <v>-0.45700000000000002</v>
      </c>
      <c r="S371" s="16">
        <v>-0.51300000000000001</v>
      </c>
      <c r="T371" s="16">
        <v>-0.51300000000000001</v>
      </c>
      <c r="U371" s="16">
        <v>-0.54300000000000004</v>
      </c>
      <c r="V371" s="16">
        <v>-0.60399999999999998</v>
      </c>
      <c r="W371" s="16"/>
      <c r="X371" s="16"/>
      <c r="Y371" s="16"/>
      <c r="Z371" s="16"/>
      <c r="AA371" s="16"/>
      <c r="AB371" s="16"/>
      <c r="AC371" s="239" t="s">
        <v>174</v>
      </c>
      <c r="AD371" s="239" t="s">
        <v>174</v>
      </c>
      <c r="AE371" s="239" t="s">
        <v>174</v>
      </c>
      <c r="AF371" s="239" t="s">
        <v>174</v>
      </c>
      <c r="AG371" s="239" t="s">
        <v>174</v>
      </c>
      <c r="AH371" s="239" t="s">
        <v>174</v>
      </c>
      <c r="AI371" s="239" t="s">
        <v>174</v>
      </c>
      <c r="AJ371" s="239" t="s">
        <v>174</v>
      </c>
      <c r="AK371" s="239" t="s">
        <v>174</v>
      </c>
      <c r="AL371" s="239" t="s">
        <v>174</v>
      </c>
      <c r="AM371" s="239" t="s">
        <v>174</v>
      </c>
      <c r="AN371" s="239" t="s">
        <v>174</v>
      </c>
      <c r="AO371" s="239" t="s">
        <v>174</v>
      </c>
      <c r="AP371" s="239" t="s">
        <v>174</v>
      </c>
      <c r="AQ371" s="239" t="s">
        <v>174</v>
      </c>
      <c r="AR371" s="16">
        <v>-0.21199999999999999</v>
      </c>
      <c r="AS371" s="16">
        <v>-6.3E-2</v>
      </c>
      <c r="AT371" s="16">
        <v>0</v>
      </c>
      <c r="AU371" s="16">
        <v>0</v>
      </c>
      <c r="AV371" s="16">
        <v>-8.9999999999999993E-3</v>
      </c>
      <c r="AW371" s="16">
        <v>-3.1E-2</v>
      </c>
      <c r="AX371" s="16">
        <v>0</v>
      </c>
      <c r="AY371" s="16">
        <v>0</v>
      </c>
      <c r="AZ371" s="16">
        <v>0</v>
      </c>
      <c r="BA371" s="16">
        <v>0</v>
      </c>
      <c r="BB371" s="16">
        <v>-0.16700000000000001</v>
      </c>
      <c r="BC371" s="16">
        <v>-1.7569999999999999</v>
      </c>
      <c r="BD371" s="2"/>
      <c r="BE371" s="2"/>
      <c r="BF371" s="2"/>
      <c r="BG371" s="84">
        <f t="shared" si="1080"/>
        <v>0</v>
      </c>
      <c r="BH371" s="84">
        <f t="shared" si="1081"/>
        <v>0</v>
      </c>
      <c r="BI371" s="84">
        <f t="shared" si="1082"/>
        <v>0</v>
      </c>
      <c r="BJ371" s="84">
        <f t="shared" si="1083"/>
        <v>0</v>
      </c>
      <c r="BK371" s="84"/>
    </row>
    <row r="372" spans="1:63" ht="11.25" customHeight="1">
      <c r="A372" s="2"/>
      <c r="B372" s="13" t="s">
        <v>197</v>
      </c>
      <c r="C372" s="2"/>
      <c r="D372" s="16">
        <v>-0.97699999999999998</v>
      </c>
      <c r="E372" s="16">
        <v>-0.219</v>
      </c>
      <c r="F372" s="16">
        <v>-0.42899999999999999</v>
      </c>
      <c r="G372" s="16">
        <v>-0.156</v>
      </c>
      <c r="H372" s="16">
        <v>-0.77300000000000002</v>
      </c>
      <c r="I372" s="16">
        <v>-0.27300000000000002</v>
      </c>
      <c r="J372" s="16">
        <v>-1.649</v>
      </c>
      <c r="K372" s="16">
        <v>-1.139</v>
      </c>
      <c r="L372" s="16">
        <v>-1.1040000000000001</v>
      </c>
      <c r="M372" s="16">
        <v>-3.5529999999999999</v>
      </c>
      <c r="N372" s="16">
        <v>-1.841</v>
      </c>
      <c r="O372" s="16">
        <v>-5.7210000000000001</v>
      </c>
      <c r="P372" s="16">
        <v>-1.871</v>
      </c>
      <c r="Q372" s="16">
        <v>-5.55</v>
      </c>
      <c r="R372" s="16">
        <v>-3.9430000000000001</v>
      </c>
      <c r="S372" s="16">
        <v>-5.9950000000000001</v>
      </c>
      <c r="T372" s="16">
        <v>-1.7789999999999999</v>
      </c>
      <c r="U372" s="16">
        <v>-6.641</v>
      </c>
      <c r="V372" s="16">
        <v>-4.3849999999999998</v>
      </c>
      <c r="W372" s="16"/>
      <c r="X372" s="16"/>
      <c r="Y372" s="16"/>
      <c r="Z372" s="16"/>
      <c r="AA372" s="16"/>
      <c r="AB372" s="16"/>
      <c r="AC372" s="239" t="s">
        <v>174</v>
      </c>
      <c r="AD372" s="239" t="s">
        <v>174</v>
      </c>
      <c r="AE372" s="239" t="s">
        <v>174</v>
      </c>
      <c r="AF372" s="239" t="s">
        <v>174</v>
      </c>
      <c r="AG372" s="239" t="s">
        <v>174</v>
      </c>
      <c r="AH372" s="239" t="s">
        <v>174</v>
      </c>
      <c r="AI372" s="239" t="s">
        <v>174</v>
      </c>
      <c r="AJ372" s="239" t="s">
        <v>174</v>
      </c>
      <c r="AK372" s="239" t="s">
        <v>174</v>
      </c>
      <c r="AL372" s="239" t="s">
        <v>174</v>
      </c>
      <c r="AM372" s="239" t="s">
        <v>174</v>
      </c>
      <c r="AN372" s="239" t="s">
        <v>174</v>
      </c>
      <c r="AO372" s="239" t="s">
        <v>174</v>
      </c>
      <c r="AP372" s="239" t="s">
        <v>174</v>
      </c>
      <c r="AQ372" s="239" t="s">
        <v>174</v>
      </c>
      <c r="AR372" s="16">
        <v>-0.73599999999999999</v>
      </c>
      <c r="AS372" s="16">
        <v>-1.331</v>
      </c>
      <c r="AT372" s="16">
        <v>-3.1930000000000001</v>
      </c>
      <c r="AU372" s="16">
        <v>-3.1560000000000001</v>
      </c>
      <c r="AV372" s="16">
        <v>-3.302</v>
      </c>
      <c r="AW372" s="16">
        <v>-3.4830000000000001</v>
      </c>
      <c r="AX372" s="16">
        <v>-3.2330000000000001</v>
      </c>
      <c r="AY372" s="16">
        <v>-3.597</v>
      </c>
      <c r="AZ372" s="16">
        <v>-1.7809999999999999</v>
      </c>
      <c r="BA372" s="16">
        <v>-3.8340000000000001</v>
      </c>
      <c r="BB372" s="16">
        <v>-12.218999999999999</v>
      </c>
      <c r="BC372" s="16">
        <v>-17.359000000000002</v>
      </c>
      <c r="BD372" s="2"/>
      <c r="BE372" s="2"/>
      <c r="BF372" s="2"/>
      <c r="BG372" s="84">
        <f t="shared" si="1080"/>
        <v>0</v>
      </c>
      <c r="BH372" s="84">
        <f t="shared" si="1081"/>
        <v>0</v>
      </c>
      <c r="BI372" s="84">
        <f t="shared" si="1082"/>
        <v>0</v>
      </c>
      <c r="BJ372" s="84">
        <f t="shared" si="1083"/>
        <v>0</v>
      </c>
      <c r="BK372" s="84"/>
    </row>
    <row r="373" spans="1:63" ht="11.25" customHeight="1">
      <c r="A373" s="2"/>
      <c r="B373" s="2" t="s">
        <v>198</v>
      </c>
      <c r="C373" s="2"/>
      <c r="D373" s="16">
        <v>-64.825999999999993</v>
      </c>
      <c r="E373" s="16">
        <v>-64.825999999999993</v>
      </c>
      <c r="F373" s="16">
        <v>-64.825999999999993</v>
      </c>
      <c r="G373" s="16">
        <v>-64.825999999999993</v>
      </c>
      <c r="H373" s="16">
        <v>-64.825999999999993</v>
      </c>
      <c r="I373" s="16">
        <v>-64.825999999999993</v>
      </c>
      <c r="J373" s="16">
        <v>-64.825999999999993</v>
      </c>
      <c r="K373" s="16">
        <v>-71.308000000000007</v>
      </c>
      <c r="L373" s="16">
        <v>-71.308000000000007</v>
      </c>
      <c r="M373" s="16">
        <v>-71.308999999999997</v>
      </c>
      <c r="N373" s="16">
        <v>-71.308999999999997</v>
      </c>
      <c r="O373" s="16">
        <v>-71.308000000000007</v>
      </c>
      <c r="P373" s="16">
        <v>-71.308000000000007</v>
      </c>
      <c r="Q373" s="16">
        <v>-71.308999999999997</v>
      </c>
      <c r="R373" s="16">
        <v>-71.308999999999997</v>
      </c>
      <c r="S373" s="16">
        <v>-77.796000000000006</v>
      </c>
      <c r="T373" s="16">
        <v>-77.796000000000006</v>
      </c>
      <c r="U373" s="16">
        <v>-90.762</v>
      </c>
      <c r="V373" s="16">
        <v>-90.763000000000005</v>
      </c>
      <c r="W373" s="16"/>
      <c r="X373" s="16"/>
      <c r="Y373" s="16"/>
      <c r="Z373" s="16"/>
      <c r="AA373" s="16"/>
      <c r="AB373" s="16"/>
      <c r="AC373" s="16">
        <v>0</v>
      </c>
      <c r="AD373" s="16">
        <v>0</v>
      </c>
      <c r="AE373" s="16">
        <v>0</v>
      </c>
      <c r="AF373" s="16">
        <v>0</v>
      </c>
      <c r="AG373" s="16">
        <v>0</v>
      </c>
      <c r="AH373" s="16">
        <v>0</v>
      </c>
      <c r="AI373" s="16">
        <v>0</v>
      </c>
      <c r="AJ373" s="16">
        <v>-12.137</v>
      </c>
      <c r="AK373" s="16">
        <v>-46.42</v>
      </c>
      <c r="AL373" s="16">
        <v>-61.743000000000002</v>
      </c>
      <c r="AM373" s="16">
        <v>-77.387</v>
      </c>
      <c r="AN373" s="16">
        <v>-76.778999999999996</v>
      </c>
      <c r="AO373" s="16">
        <v>-76.876000000000005</v>
      </c>
      <c r="AP373" s="16">
        <v>-77.707999999999998</v>
      </c>
      <c r="AQ373" s="16">
        <v>-77.73</v>
      </c>
      <c r="AR373" s="16">
        <v>-77.748999999999995</v>
      </c>
      <c r="AS373" s="16">
        <v>-77.772999999999996</v>
      </c>
      <c r="AT373" s="16">
        <v>-77.786000000000001</v>
      </c>
      <c r="AU373" s="16">
        <v>-116.68300000000001</v>
      </c>
      <c r="AV373" s="16">
        <v>-155.58199999999999</v>
      </c>
      <c r="AW373" s="16">
        <v>-181.51300000000001</v>
      </c>
      <c r="AX373" s="16">
        <v>-207.44300000000001</v>
      </c>
      <c r="AY373" s="16">
        <v>-259.30399999999997</v>
      </c>
      <c r="AZ373" s="16">
        <v>-259.30399999999997</v>
      </c>
      <c r="BA373" s="16">
        <v>-265.786</v>
      </c>
      <c r="BB373" s="16">
        <v>-285.23399999999998</v>
      </c>
      <c r="BC373" s="16">
        <v>-291.72199999999998</v>
      </c>
      <c r="BD373" s="2"/>
      <c r="BE373" s="2"/>
      <c r="BF373" s="2"/>
      <c r="BG373" s="84">
        <f t="shared" si="1080"/>
        <v>0</v>
      </c>
      <c r="BH373" s="84">
        <f t="shared" si="1081"/>
        <v>0</v>
      </c>
      <c r="BI373" s="84">
        <f t="shared" si="1082"/>
        <v>0</v>
      </c>
      <c r="BJ373" s="84">
        <f t="shared" si="1083"/>
        <v>0</v>
      </c>
      <c r="BK373" s="84"/>
    </row>
    <row r="374" spans="1:63" ht="11.25" customHeight="1">
      <c r="A374" s="2"/>
      <c r="B374" s="2" t="s">
        <v>199</v>
      </c>
      <c r="C374" s="2"/>
      <c r="D374" s="16">
        <v>0</v>
      </c>
      <c r="E374" s="16">
        <v>0</v>
      </c>
      <c r="F374" s="16">
        <v>0</v>
      </c>
      <c r="G374" s="16">
        <v>0</v>
      </c>
      <c r="H374" s="16">
        <v>0</v>
      </c>
      <c r="I374" s="16">
        <v>0</v>
      </c>
      <c r="J374" s="16">
        <v>0</v>
      </c>
      <c r="K374" s="16">
        <v>0</v>
      </c>
      <c r="L374" s="16">
        <v>0</v>
      </c>
      <c r="M374" s="16">
        <v>0</v>
      </c>
      <c r="N374" s="16">
        <v>0</v>
      </c>
      <c r="O374" s="16">
        <v>0</v>
      </c>
      <c r="P374" s="16">
        <v>0</v>
      </c>
      <c r="Q374" s="16">
        <v>0</v>
      </c>
      <c r="R374" s="16">
        <v>0</v>
      </c>
      <c r="S374" s="16">
        <v>0</v>
      </c>
      <c r="T374" s="16">
        <v>0</v>
      </c>
      <c r="U374" s="16">
        <v>0</v>
      </c>
      <c r="V374" s="16">
        <v>0</v>
      </c>
      <c r="W374" s="16"/>
      <c r="X374" s="16"/>
      <c r="Y374" s="16"/>
      <c r="Z374" s="16"/>
      <c r="AA374" s="16"/>
      <c r="AB374" s="16"/>
      <c r="AC374" s="16">
        <v>0</v>
      </c>
      <c r="AD374" s="16">
        <v>0</v>
      </c>
      <c r="AE374" s="16">
        <v>0</v>
      </c>
      <c r="AF374" s="16">
        <v>0</v>
      </c>
      <c r="AG374" s="16">
        <v>0</v>
      </c>
      <c r="AH374" s="16">
        <v>0</v>
      </c>
      <c r="AI374" s="16">
        <v>0</v>
      </c>
      <c r="AJ374" s="16">
        <v>4.0000000000000001E-3</v>
      </c>
      <c r="AK374" s="16">
        <v>0.27100000000000002</v>
      </c>
      <c r="AL374" s="16">
        <v>0.57499999999999996</v>
      </c>
      <c r="AM374" s="16">
        <v>0.437</v>
      </c>
      <c r="AN374" s="16">
        <v>0.22700000000000001</v>
      </c>
      <c r="AO374" s="16">
        <v>0.26100000000000001</v>
      </c>
      <c r="AP374" s="16">
        <v>0.245</v>
      </c>
      <c r="AQ374" s="16">
        <v>0.218</v>
      </c>
      <c r="AR374" s="16">
        <v>0.24199999999999999</v>
      </c>
      <c r="AS374" s="16">
        <v>0.125</v>
      </c>
      <c r="AT374" s="16">
        <v>4.7E-2</v>
      </c>
      <c r="AU374" s="16">
        <v>3.4000000000000002E-2</v>
      </c>
      <c r="AV374" s="16">
        <v>0</v>
      </c>
      <c r="AW374" s="16">
        <v>0</v>
      </c>
      <c r="AX374" s="16">
        <v>0</v>
      </c>
      <c r="AY374" s="16">
        <v>0</v>
      </c>
      <c r="AZ374" s="16">
        <v>0</v>
      </c>
      <c r="BA374" s="16">
        <v>0</v>
      </c>
      <c r="BB374" s="16">
        <v>0</v>
      </c>
      <c r="BC374" s="16">
        <v>0</v>
      </c>
      <c r="BD374" s="2"/>
      <c r="BE374" s="2"/>
      <c r="BF374" s="2"/>
      <c r="BG374" s="84">
        <f t="shared" si="1080"/>
        <v>0</v>
      </c>
      <c r="BH374" s="84">
        <f t="shared" si="1081"/>
        <v>0</v>
      </c>
      <c r="BI374" s="84">
        <f t="shared" si="1082"/>
        <v>0</v>
      </c>
      <c r="BJ374" s="84">
        <f t="shared" si="1083"/>
        <v>0</v>
      </c>
      <c r="BK374" s="84"/>
    </row>
    <row r="375" spans="1:63" ht="11.25" customHeight="1">
      <c r="A375" s="2"/>
      <c r="B375" s="2" t="s">
        <v>200</v>
      </c>
      <c r="C375" s="2"/>
      <c r="D375" s="16">
        <v>0</v>
      </c>
      <c r="E375" s="16">
        <v>0</v>
      </c>
      <c r="F375" s="16">
        <v>0</v>
      </c>
      <c r="G375" s="16">
        <v>0</v>
      </c>
      <c r="H375" s="16">
        <v>0</v>
      </c>
      <c r="I375" s="16">
        <v>0</v>
      </c>
      <c r="J375" s="16">
        <v>0</v>
      </c>
      <c r="K375" s="16">
        <v>0</v>
      </c>
      <c r="L375" s="16">
        <v>-0.872</v>
      </c>
      <c r="M375" s="16">
        <v>0</v>
      </c>
      <c r="N375" s="16">
        <v>0</v>
      </c>
      <c r="O375" s="16">
        <v>0</v>
      </c>
      <c r="P375" s="16">
        <v>0</v>
      </c>
      <c r="Q375" s="16">
        <v>0</v>
      </c>
      <c r="R375" s="16">
        <v>0</v>
      </c>
      <c r="S375" s="16">
        <v>0</v>
      </c>
      <c r="T375" s="16">
        <v>0</v>
      </c>
      <c r="U375" s="16">
        <v>-3.089</v>
      </c>
      <c r="V375" s="16">
        <v>0</v>
      </c>
      <c r="W375" s="16"/>
      <c r="X375" s="16"/>
      <c r="Y375" s="16"/>
      <c r="Z375" s="16"/>
      <c r="AA375" s="16"/>
      <c r="AB375" s="16"/>
      <c r="AC375" s="16">
        <v>0</v>
      </c>
      <c r="AD375" s="16">
        <v>0</v>
      </c>
      <c r="AE375" s="16">
        <v>0</v>
      </c>
      <c r="AF375" s="16">
        <v>0</v>
      </c>
      <c r="AG375" s="16">
        <v>0</v>
      </c>
      <c r="AH375" s="16">
        <v>0</v>
      </c>
      <c r="AI375" s="16">
        <v>0</v>
      </c>
      <c r="AJ375" s="16">
        <v>-7.06</v>
      </c>
      <c r="AK375" s="16">
        <v>0</v>
      </c>
      <c r="AL375" s="16">
        <v>0</v>
      </c>
      <c r="AM375" s="16">
        <v>-45.412999999999997</v>
      </c>
      <c r="AN375" s="16">
        <v>-33.481000000000002</v>
      </c>
      <c r="AO375" s="16">
        <v>0</v>
      </c>
      <c r="AP375" s="16">
        <v>0</v>
      </c>
      <c r="AQ375" s="16">
        <v>-7.1999999999999995E-2</v>
      </c>
      <c r="AR375" s="16">
        <v>0</v>
      </c>
      <c r="AS375" s="16">
        <v>0</v>
      </c>
      <c r="AT375" s="16">
        <v>0</v>
      </c>
      <c r="AU375" s="16">
        <v>0</v>
      </c>
      <c r="AV375" s="16">
        <v>0</v>
      </c>
      <c r="AW375" s="16">
        <v>0</v>
      </c>
      <c r="AX375" s="16">
        <v>0</v>
      </c>
      <c r="AY375" s="16">
        <v>0</v>
      </c>
      <c r="AZ375" s="16">
        <v>0</v>
      </c>
      <c r="BA375" s="16">
        <v>0</v>
      </c>
      <c r="BB375" s="16">
        <v>-0.872</v>
      </c>
      <c r="BC375" s="16">
        <v>0</v>
      </c>
      <c r="BD375" s="2"/>
      <c r="BE375" s="2"/>
      <c r="BF375" s="2"/>
      <c r="BG375" s="84">
        <f t="shared" si="1080"/>
        <v>0</v>
      </c>
      <c r="BH375" s="84">
        <f t="shared" si="1081"/>
        <v>0</v>
      </c>
      <c r="BI375" s="84">
        <f t="shared" si="1082"/>
        <v>0</v>
      </c>
      <c r="BJ375" s="84">
        <f t="shared" si="1083"/>
        <v>0</v>
      </c>
      <c r="BK375" s="84"/>
    </row>
    <row r="376" spans="1:63" ht="13.5" customHeight="1">
      <c r="A376" s="2"/>
      <c r="B376" s="2" t="s">
        <v>188</v>
      </c>
      <c r="C376" s="2"/>
      <c r="D376" s="17">
        <v>2.298</v>
      </c>
      <c r="E376" s="17">
        <v>2.726</v>
      </c>
      <c r="F376" s="17">
        <v>-6.5330000000000004</v>
      </c>
      <c r="G376" s="17">
        <v>0.625</v>
      </c>
      <c r="H376" s="17">
        <v>9.6449999999999996</v>
      </c>
      <c r="I376" s="17">
        <v>-0.13200000000000001</v>
      </c>
      <c r="J376" s="17">
        <v>-7.2999999999999995E-2</v>
      </c>
      <c r="K376" s="17">
        <v>-0.873</v>
      </c>
      <c r="L376" s="17">
        <v>4.069</v>
      </c>
      <c r="M376" s="17">
        <v>11.579000000000001</v>
      </c>
      <c r="N376" s="17">
        <v>-0.89800000000000002</v>
      </c>
      <c r="O376" s="17">
        <v>1.5649999999999999</v>
      </c>
      <c r="P376" s="17">
        <v>1.722</v>
      </c>
      <c r="Q376" s="17">
        <v>2.3530000000000002</v>
      </c>
      <c r="R376" s="17">
        <v>7.2229999999999999</v>
      </c>
      <c r="S376" s="17">
        <v>-0.86299999999999999</v>
      </c>
      <c r="T376" s="17">
        <v>5.7210000000000001</v>
      </c>
      <c r="U376" s="17">
        <v>-0.71</v>
      </c>
      <c r="V376" s="17">
        <v>0.29899999999999999</v>
      </c>
      <c r="W376" s="16"/>
      <c r="X376" s="16"/>
      <c r="Y376" s="16"/>
      <c r="Z376" s="16"/>
      <c r="AA376" s="16"/>
      <c r="AB376" s="16"/>
      <c r="AC376" s="17">
        <v>2.6869999999999998</v>
      </c>
      <c r="AD376" s="17">
        <v>0.55400000000000005</v>
      </c>
      <c r="AE376" s="17">
        <v>4.08</v>
      </c>
      <c r="AF376" s="17">
        <v>23.602</v>
      </c>
      <c r="AG376" s="17">
        <v>1.3959999999999999</v>
      </c>
      <c r="AH376" s="17">
        <v>-9.9390000000000001</v>
      </c>
      <c r="AI376" s="17">
        <v>-22.225999999999999</v>
      </c>
      <c r="AJ376" s="17">
        <v>-6.617</v>
      </c>
      <c r="AK376" s="17">
        <v>-0.48699999999999999</v>
      </c>
      <c r="AL376" s="17">
        <v>0.153</v>
      </c>
      <c r="AM376" s="17">
        <v>0.38600000000000001</v>
      </c>
      <c r="AN376" s="17">
        <v>-0.48399999999999999</v>
      </c>
      <c r="AO376" s="17">
        <v>-0.378</v>
      </c>
      <c r="AP376" s="17">
        <v>-2.1560000000000001</v>
      </c>
      <c r="AQ376" s="17">
        <v>-2.645</v>
      </c>
      <c r="AR376" s="17">
        <v>-2.4300000000000002</v>
      </c>
      <c r="AS376" s="17">
        <v>-0.752</v>
      </c>
      <c r="AT376" s="17">
        <v>30.04</v>
      </c>
      <c r="AU376" s="17">
        <v>-6.8000000000000005E-2</v>
      </c>
      <c r="AV376" s="17">
        <v>5.5960000000000001</v>
      </c>
      <c r="AW376" s="17">
        <v>-2.964</v>
      </c>
      <c r="AX376" s="17">
        <v>-0.34599999999999997</v>
      </c>
      <c r="AY376" s="17">
        <v>-3.6419999999999999</v>
      </c>
      <c r="AZ376" s="17">
        <v>-0.88400000000000001</v>
      </c>
      <c r="BA376" s="17">
        <v>8.5670000000000002</v>
      </c>
      <c r="BB376" s="17">
        <v>16.315000000000001</v>
      </c>
      <c r="BC376" s="17">
        <v>10.435</v>
      </c>
      <c r="BD376" s="2"/>
      <c r="BE376" s="2"/>
      <c r="BF376" s="2"/>
      <c r="BG376" s="84">
        <f t="shared" si="1080"/>
        <v>0</v>
      </c>
      <c r="BH376" s="84">
        <f t="shared" si="1081"/>
        <v>0</v>
      </c>
      <c r="BI376" s="84">
        <f t="shared" si="1082"/>
        <v>0</v>
      </c>
      <c r="BJ376" s="84">
        <f t="shared" si="1083"/>
        <v>0</v>
      </c>
      <c r="BK376" s="84"/>
    </row>
    <row r="377" spans="1:63" ht="11.25" customHeight="1">
      <c r="A377" s="2"/>
      <c r="B377" s="31" t="s">
        <v>201</v>
      </c>
      <c r="C377" s="2"/>
      <c r="D377" s="20">
        <f t="shared" ref="D377:T377" si="1084">SUM(D365:D376)</f>
        <v>-40.756999999999991</v>
      </c>
      <c r="E377" s="20">
        <f t="shared" si="1084"/>
        <v>5.912000000000007</v>
      </c>
      <c r="F377" s="20">
        <f t="shared" si="1084"/>
        <v>47.433999999999997</v>
      </c>
      <c r="G377" s="20">
        <f t="shared" si="1084"/>
        <v>-101.20399999999998</v>
      </c>
      <c r="H377" s="20">
        <f t="shared" si="1084"/>
        <v>14.618000000000013</v>
      </c>
      <c r="I377" s="20">
        <f t="shared" si="1084"/>
        <v>75.031000000000006</v>
      </c>
      <c r="J377" s="20">
        <f t="shared" si="1084"/>
        <v>-35.323999999999998</v>
      </c>
      <c r="K377" s="20">
        <f t="shared" si="1084"/>
        <v>82.282999999999987</v>
      </c>
      <c r="L377" s="20">
        <f t="shared" si="1084"/>
        <v>-19.086000000000002</v>
      </c>
      <c r="M377" s="20">
        <f t="shared" si="1084"/>
        <v>19.080000000000005</v>
      </c>
      <c r="N377" s="20">
        <f t="shared" si="1084"/>
        <v>-130.40599999999998</v>
      </c>
      <c r="O377" s="20">
        <f t="shared" si="1084"/>
        <v>-69.832000000000008</v>
      </c>
      <c r="P377" s="20">
        <f t="shared" si="1084"/>
        <v>-64.487000000000009</v>
      </c>
      <c r="Q377" s="20">
        <f t="shared" si="1084"/>
        <v>-26.588999999999992</v>
      </c>
      <c r="R377" s="20">
        <f t="shared" si="1084"/>
        <v>-38.451000000000008</v>
      </c>
      <c r="S377" s="20">
        <f t="shared" si="1084"/>
        <v>-75.367000000000004</v>
      </c>
      <c r="T377" s="20">
        <f t="shared" si="1084"/>
        <v>-71.685000000000002</v>
      </c>
      <c r="U377" s="20">
        <f t="shared" ref="U377:V377" si="1085">SUM(U365:U376)</f>
        <v>-90.24499999999999</v>
      </c>
      <c r="V377" s="20">
        <f t="shared" si="1085"/>
        <v>-83.638999999999996</v>
      </c>
      <c r="W377" s="17"/>
      <c r="X377" s="17"/>
      <c r="Y377" s="17"/>
      <c r="Z377" s="17"/>
      <c r="AA377" s="17"/>
      <c r="AB377" s="17"/>
      <c r="AC377" s="16">
        <v>13.365</v>
      </c>
      <c r="AD377" s="16">
        <v>7.7720000000000002</v>
      </c>
      <c r="AE377" s="16">
        <v>12.455</v>
      </c>
      <c r="AF377" s="16">
        <v>35.366</v>
      </c>
      <c r="AG377" s="16">
        <v>0.89700000000000002</v>
      </c>
      <c r="AH377" s="16">
        <v>-6.3460000000000001</v>
      </c>
      <c r="AI377" s="16">
        <v>-27.37</v>
      </c>
      <c r="AJ377" s="16">
        <v>-32.155000000000001</v>
      </c>
      <c r="AK377" s="16">
        <v>-57.969000000000001</v>
      </c>
      <c r="AL377" s="16">
        <v>-63.783000000000001</v>
      </c>
      <c r="AM377" s="16">
        <v>-135.41</v>
      </c>
      <c r="AN377" s="16">
        <v>-115.393</v>
      </c>
      <c r="AO377" s="16">
        <v>-85.471000000000004</v>
      </c>
      <c r="AP377" s="16">
        <v>-48.637999999999998</v>
      </c>
      <c r="AQ377" s="16">
        <v>-67.858000000000004</v>
      </c>
      <c r="AR377" s="20">
        <f t="shared" ref="AR377" si="1086">SUM(AR365:AR376)</f>
        <v>-13.588000000000005</v>
      </c>
      <c r="AS377" s="20">
        <f t="shared" ref="AS377" si="1087">SUM(AS365:AS376)</f>
        <v>32.104999999999997</v>
      </c>
      <c r="AT377" s="20">
        <f t="shared" ref="AT377" si="1088">SUM(AT365:AT376)</f>
        <v>-32.328000000000003</v>
      </c>
      <c r="AU377" s="20">
        <f t="shared" ref="AU377" si="1089">SUM(AU365:AU376)</f>
        <v>-116.73399999999999</v>
      </c>
      <c r="AV377" s="20">
        <f t="shared" ref="AV377" si="1090">SUM(AV365:AV376)</f>
        <v>-157.79999999999998</v>
      </c>
      <c r="AW377" s="20">
        <f t="shared" ref="AW377" si="1091">SUM(AW365:AW376)</f>
        <v>-215.697</v>
      </c>
      <c r="AX377" s="20">
        <f t="shared" ref="AX377" si="1092">SUM(AX365:AX376)</f>
        <v>-245.12400000000002</v>
      </c>
      <c r="AY377" s="20">
        <f t="shared" ref="AY377" si="1093">SUM(AY365:AY376)</f>
        <v>-269.63899999999995</v>
      </c>
      <c r="AZ377" s="20">
        <f t="shared" ref="AZ377" si="1094">SUM(AZ365:AZ376)</f>
        <v>-88.614999999999995</v>
      </c>
      <c r="BA377" s="20">
        <f t="shared" ref="BA377" si="1095">SUM(BA365:BA376)</f>
        <v>136.608</v>
      </c>
      <c r="BB377" s="20">
        <f t="shared" ref="BB377" si="1096">SUM(BB365:BB376)</f>
        <v>-200.24399999999997</v>
      </c>
      <c r="BC377" s="20">
        <f t="shared" ref="BC377" si="1097">SUM(BC365:BC376)</f>
        <v>-204.89399999999998</v>
      </c>
      <c r="BD377" s="2"/>
      <c r="BE377" s="2"/>
      <c r="BF377" s="2"/>
      <c r="BG377" s="84">
        <f t="shared" si="1080"/>
        <v>0</v>
      </c>
      <c r="BH377" s="84">
        <f t="shared" si="1081"/>
        <v>0</v>
      </c>
      <c r="BI377" s="84">
        <f t="shared" si="1082"/>
        <v>0</v>
      </c>
      <c r="BJ377" s="84">
        <f t="shared" si="1083"/>
        <v>0</v>
      </c>
      <c r="BK377" s="84"/>
    </row>
    <row r="378" spans="1:63" ht="11.25" customHeight="1">
      <c r="A378" s="2"/>
      <c r="B378" s="12"/>
      <c r="C378" s="2"/>
      <c r="D378" s="210"/>
      <c r="E378" s="210"/>
      <c r="F378" s="210"/>
      <c r="G378" s="210"/>
      <c r="H378" s="210"/>
      <c r="I378" s="210"/>
      <c r="J378" s="210"/>
      <c r="K378" s="210"/>
      <c r="L378" s="210"/>
      <c r="M378" s="210"/>
      <c r="N378" s="210"/>
      <c r="O378" s="210"/>
      <c r="P378" s="210"/>
      <c r="Q378" s="210"/>
      <c r="R378" s="210"/>
      <c r="S378" s="210"/>
      <c r="T378" s="210"/>
      <c r="U378" s="21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16"/>
      <c r="AS378" s="16"/>
      <c r="AT378" s="16"/>
      <c r="AU378" s="16"/>
      <c r="AV378" s="16"/>
      <c r="AW378" s="16"/>
      <c r="AX378" s="16"/>
      <c r="AY378" s="16"/>
      <c r="AZ378" s="16"/>
      <c r="BA378" s="16"/>
      <c r="BB378" s="16"/>
      <c r="BC378" s="16"/>
      <c r="BD378" s="2"/>
      <c r="BE378" s="2"/>
      <c r="BF378" s="2"/>
      <c r="BG378" s="84"/>
      <c r="BH378" s="84"/>
      <c r="BI378" s="84"/>
      <c r="BJ378" s="84"/>
      <c r="BK378" s="84"/>
    </row>
    <row r="379" spans="1:63" ht="11.25" customHeight="1">
      <c r="A379" s="2"/>
      <c r="B379" s="13" t="s">
        <v>176</v>
      </c>
      <c r="C379" s="2"/>
      <c r="D379" s="16">
        <v>2.0990000000000002</v>
      </c>
      <c r="E379" s="16">
        <v>-9.66</v>
      </c>
      <c r="F379" s="16">
        <v>-4.9450000000000003</v>
      </c>
      <c r="G379" s="16">
        <v>-10.992000000000001</v>
      </c>
      <c r="H379" s="16">
        <v>6.3739999999999997</v>
      </c>
      <c r="I379" s="16">
        <v>-9.4640000000000004</v>
      </c>
      <c r="J379" s="16">
        <v>-0.53200000000000003</v>
      </c>
      <c r="K379" s="16">
        <v>-3.9620000000000002</v>
      </c>
      <c r="L379" s="16">
        <v>21.59</v>
      </c>
      <c r="M379" s="16">
        <v>19.602</v>
      </c>
      <c r="N379" s="16">
        <v>44.921999999999997</v>
      </c>
      <c r="O379" s="16">
        <v>-27.718</v>
      </c>
      <c r="P379" s="16">
        <v>-6.1070000000000002</v>
      </c>
      <c r="Q379" s="16">
        <v>10.157999999999999</v>
      </c>
      <c r="R379" s="16">
        <v>21.132000000000001</v>
      </c>
      <c r="S379" s="16">
        <v>-33.521999999999998</v>
      </c>
      <c r="T379" s="16">
        <v>27.949000000000002</v>
      </c>
      <c r="U379" s="16">
        <v>11.116</v>
      </c>
      <c r="V379" s="16">
        <v>-25.190999999999999</v>
      </c>
      <c r="W379" s="16"/>
      <c r="X379" s="16"/>
      <c r="Y379" s="16"/>
      <c r="Z379" s="16"/>
      <c r="AA379" s="16"/>
      <c r="AB379" s="16"/>
      <c r="AC379" s="16">
        <v>0.59299999999999997</v>
      </c>
      <c r="AD379" s="16">
        <v>-0.65800000000000003</v>
      </c>
      <c r="AE379" s="16">
        <v>-0.17299999999999999</v>
      </c>
      <c r="AF379" s="16">
        <v>0.11799999999999999</v>
      </c>
      <c r="AG379" s="16">
        <v>-0.76700000000000002</v>
      </c>
      <c r="AH379" s="16">
        <v>0.26200000000000001</v>
      </c>
      <c r="AI379" s="16">
        <v>-6.3E-2</v>
      </c>
      <c r="AJ379" s="16">
        <v>-1.67</v>
      </c>
      <c r="AK379" s="16">
        <v>0.57799999999999996</v>
      </c>
      <c r="AL379" s="16">
        <v>-0.13700000000000001</v>
      </c>
      <c r="AM379" s="16">
        <v>-0.51800000000000002</v>
      </c>
      <c r="AN379" s="16">
        <v>1.569</v>
      </c>
      <c r="AO379" s="16">
        <v>-1.365</v>
      </c>
      <c r="AP379" s="16">
        <v>-2.141</v>
      </c>
      <c r="AQ379" s="16">
        <v>-0.14799999999999999</v>
      </c>
      <c r="AR379" s="16">
        <v>-2.1179999999999999</v>
      </c>
      <c r="AS379" s="16">
        <v>0.85</v>
      </c>
      <c r="AT379" s="16">
        <v>8.9789999999999992</v>
      </c>
      <c r="AU379" s="16">
        <v>8.3409999999999993</v>
      </c>
      <c r="AV379" s="16">
        <v>-8.0299999999999994</v>
      </c>
      <c r="AW379" s="16">
        <v>-21.318000000000001</v>
      </c>
      <c r="AX379" s="16">
        <v>9.8620000000000001</v>
      </c>
      <c r="AY379" s="16">
        <v>-9.1140000000000008</v>
      </c>
      <c r="AZ379" s="16">
        <v>-23.498000000000001</v>
      </c>
      <c r="BA379" s="16">
        <v>-7.5839999999999996</v>
      </c>
      <c r="BB379" s="16">
        <v>58.396999999999998</v>
      </c>
      <c r="BC379" s="16">
        <v>-8.3390000000000004</v>
      </c>
      <c r="BD379" s="2"/>
      <c r="BE379" s="2"/>
      <c r="BF379" s="2"/>
      <c r="BG379" s="84">
        <f>ROUND(AZ379-SUM(D379:G379),1)</f>
        <v>0</v>
      </c>
      <c r="BH379" s="84">
        <f>ROUND(BA379-SUM(H379:K379),1)</f>
        <v>0</v>
      </c>
      <c r="BI379" s="84">
        <f>ROUND(BB379-SUM(L379:O379),1)</f>
        <v>0</v>
      </c>
      <c r="BJ379" s="84">
        <f>ROUND(BC379-SUM(P379:S379),1)</f>
        <v>0</v>
      </c>
      <c r="BK379" s="84"/>
    </row>
    <row r="380" spans="1:63" ht="11.25" customHeight="1">
      <c r="A380" s="2"/>
      <c r="B380" s="25"/>
      <c r="C380" s="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2"/>
      <c r="BE380" s="2"/>
      <c r="BF380" s="2"/>
      <c r="BG380" s="84"/>
      <c r="BH380" s="84"/>
      <c r="BI380" s="84"/>
      <c r="BJ380" s="84"/>
      <c r="BK380" s="84"/>
    </row>
    <row r="381" spans="1:63" ht="11.25" customHeight="1">
      <c r="A381" s="2"/>
      <c r="B381" s="2" t="s">
        <v>157</v>
      </c>
      <c r="C381" s="2"/>
      <c r="D381" s="20">
        <f>D346+D362+D377+D379</f>
        <v>-24.621999999999989</v>
      </c>
      <c r="E381" s="20">
        <f t="shared" ref="E381:T381" si="1098">E346+E362+E377+E379</f>
        <v>36.837000000000046</v>
      </c>
      <c r="F381" s="20">
        <f t="shared" si="1098"/>
        <v>136.58100000000002</v>
      </c>
      <c r="G381" s="20">
        <f t="shared" si="1098"/>
        <v>55.975999999999985</v>
      </c>
      <c r="H381" s="20">
        <f t="shared" si="1098"/>
        <v>4.5570000000000102</v>
      </c>
      <c r="I381" s="20">
        <f t="shared" si="1098"/>
        <v>83.253999999999991</v>
      </c>
      <c r="J381" s="20">
        <f t="shared" si="1098"/>
        <v>105.83000000000004</v>
      </c>
      <c r="K381" s="20">
        <f t="shared" si="1098"/>
        <v>211.17799999999991</v>
      </c>
      <c r="L381" s="20">
        <f t="shared" si="1098"/>
        <v>86.599999999999952</v>
      </c>
      <c r="M381" s="20">
        <f t="shared" si="1098"/>
        <v>101.59899999999993</v>
      </c>
      <c r="N381" s="20">
        <f t="shared" si="1098"/>
        <v>42.823999999999955</v>
      </c>
      <c r="O381" s="20">
        <f t="shared" si="1098"/>
        <v>46.801000000000045</v>
      </c>
      <c r="P381" s="20">
        <f t="shared" si="1098"/>
        <v>42.419000000000025</v>
      </c>
      <c r="Q381" s="20">
        <f t="shared" si="1098"/>
        <v>-108.50899999999994</v>
      </c>
      <c r="R381" s="20">
        <f t="shared" si="1098"/>
        <v>35.082999999999984</v>
      </c>
      <c r="S381" s="20">
        <f t="shared" si="1098"/>
        <v>153.62099999999998</v>
      </c>
      <c r="T381" s="20">
        <f t="shared" si="1098"/>
        <v>232.76800000000003</v>
      </c>
      <c r="U381" s="20">
        <f t="shared" ref="U381:V381" si="1099">U346+U362+U377+U379</f>
        <v>100.93100000000001</v>
      </c>
      <c r="V381" s="20">
        <f t="shared" si="1099"/>
        <v>87.653999999999954</v>
      </c>
      <c r="W381" s="16"/>
      <c r="X381" s="16"/>
      <c r="Y381" s="16"/>
      <c r="Z381" s="16"/>
      <c r="AA381" s="16"/>
      <c r="AB381" s="16"/>
      <c r="AC381" s="16">
        <v>-5.93</v>
      </c>
      <c r="AD381" s="16">
        <v>-3.137</v>
      </c>
      <c r="AE381" s="16">
        <v>7.9649999999999999</v>
      </c>
      <c r="AF381" s="16">
        <v>9.3219999999999992</v>
      </c>
      <c r="AG381" s="16">
        <v>-1.284</v>
      </c>
      <c r="AH381" s="16">
        <v>30.234000000000002</v>
      </c>
      <c r="AI381" s="16">
        <v>35.198999999999998</v>
      </c>
      <c r="AJ381" s="16">
        <v>-28.687000000000001</v>
      </c>
      <c r="AK381" s="16">
        <v>22.181999999999999</v>
      </c>
      <c r="AL381" s="16">
        <v>21.353000000000002</v>
      </c>
      <c r="AM381" s="16">
        <v>-22.850999999999999</v>
      </c>
      <c r="AN381" s="16">
        <v>99.628</v>
      </c>
      <c r="AO381" s="16">
        <v>-23.338000000000001</v>
      </c>
      <c r="AP381" s="16">
        <v>-23.388999999999999</v>
      </c>
      <c r="AQ381" s="16">
        <v>-4.415</v>
      </c>
      <c r="AR381" s="20">
        <f>AR346+AR362+AR377+AR379</f>
        <v>-6.1000000000136279E-2</v>
      </c>
      <c r="AS381" s="20">
        <f t="shared" ref="AS381:BC381" si="1100">AS346+AS362+AS377+AS379</f>
        <v>99.283999999999935</v>
      </c>
      <c r="AT381" s="20">
        <f t="shared" si="1100"/>
        <v>115.75399999999995</v>
      </c>
      <c r="AU381" s="20">
        <f t="shared" si="1100"/>
        <v>204.24000000000007</v>
      </c>
      <c r="AV381" s="20">
        <f t="shared" si="1100"/>
        <v>-21.434999999999889</v>
      </c>
      <c r="AW381" s="20">
        <f t="shared" si="1100"/>
        <v>12.138000000000016</v>
      </c>
      <c r="AX381" s="20">
        <f t="shared" si="1100"/>
        <v>24.422999999999924</v>
      </c>
      <c r="AY381" s="20">
        <f t="shared" si="1100"/>
        <v>-122.41600000000003</v>
      </c>
      <c r="AZ381" s="20">
        <f t="shared" si="1100"/>
        <v>204.77200000000022</v>
      </c>
      <c r="BA381" s="20">
        <f t="shared" si="1100"/>
        <v>404.81899999999985</v>
      </c>
      <c r="BB381" s="20">
        <f t="shared" si="1100"/>
        <v>277.82400000000007</v>
      </c>
      <c r="BC381" s="20">
        <f t="shared" si="1100"/>
        <v>122.61400000000012</v>
      </c>
      <c r="BD381" s="2"/>
      <c r="BE381" s="2"/>
      <c r="BF381" s="2"/>
      <c r="BG381" s="84">
        <f>ROUND(AZ381-SUM(D381:G381),1)</f>
        <v>0</v>
      </c>
      <c r="BH381" s="84">
        <f>ROUND(BA381-SUM(H381:K381),1)</f>
        <v>0</v>
      </c>
      <c r="BI381" s="84">
        <f>ROUND(BB381-SUM(L381:O381),1)</f>
        <v>0</v>
      </c>
      <c r="BJ381" s="84">
        <f>ROUND(BC381-SUM(P381:S381),1)</f>
        <v>0</v>
      </c>
      <c r="BK381" s="84"/>
    </row>
    <row r="382" spans="1:63" ht="11.25" customHeight="1">
      <c r="A382" s="2"/>
      <c r="B382" s="2"/>
      <c r="C382" s="2"/>
      <c r="D382" s="57"/>
      <c r="E382" s="57"/>
      <c r="F382" s="57"/>
      <c r="G382" s="57"/>
      <c r="H382" s="57"/>
      <c r="I382" s="57"/>
      <c r="J382" s="57"/>
      <c r="K382" s="57"/>
      <c r="L382" s="57"/>
      <c r="M382" s="57"/>
      <c r="N382" s="57"/>
      <c r="O382" s="57"/>
      <c r="P382" s="57"/>
      <c r="Q382" s="57"/>
      <c r="R382" s="57"/>
      <c r="S382" s="57"/>
      <c r="T382" s="57"/>
      <c r="U382" s="57"/>
      <c r="V382" s="57"/>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57"/>
      <c r="AS382" s="57"/>
      <c r="AT382" s="57"/>
      <c r="AU382" s="57"/>
      <c r="AV382" s="57"/>
      <c r="AW382" s="57"/>
      <c r="AX382" s="57"/>
      <c r="AY382" s="57"/>
      <c r="AZ382" s="57"/>
      <c r="BA382" s="57"/>
      <c r="BB382" s="57"/>
      <c r="BC382" s="57"/>
      <c r="BD382" s="2"/>
      <c r="BE382" s="2"/>
      <c r="BF382" s="2"/>
      <c r="BG382" s="84"/>
      <c r="BH382" s="84"/>
      <c r="BI382" s="84"/>
      <c r="BJ382" s="84"/>
      <c r="BK382" s="84"/>
    </row>
    <row r="383" spans="1:63" ht="11.25" customHeight="1">
      <c r="A383" s="2"/>
      <c r="B383" s="2" t="s">
        <v>130</v>
      </c>
      <c r="C383" s="2"/>
      <c r="D383" s="16">
        <v>455.399</v>
      </c>
      <c r="E383" s="20">
        <f>D385</f>
        <v>430.77699999999999</v>
      </c>
      <c r="F383" s="20">
        <f t="shared" ref="F383:V383" si="1101">E385</f>
        <v>467.61400000000003</v>
      </c>
      <c r="G383" s="20">
        <f t="shared" si="1101"/>
        <v>604.19500000000005</v>
      </c>
      <c r="H383" s="20">
        <f t="shared" si="1101"/>
        <v>660.17100000000005</v>
      </c>
      <c r="I383" s="20">
        <f t="shared" si="1101"/>
        <v>664.72800000000007</v>
      </c>
      <c r="J383" s="20">
        <f t="shared" si="1101"/>
        <v>747.98200000000008</v>
      </c>
      <c r="K383" s="20">
        <f t="shared" si="1101"/>
        <v>853.81200000000013</v>
      </c>
      <c r="L383" s="20">
        <f t="shared" si="1101"/>
        <v>1064.99</v>
      </c>
      <c r="M383" s="20">
        <f t="shared" si="1101"/>
        <v>1151.5899999999999</v>
      </c>
      <c r="N383" s="20">
        <f t="shared" si="1101"/>
        <v>1253.1889999999999</v>
      </c>
      <c r="O383" s="20">
        <f t="shared" si="1101"/>
        <v>1296.0129999999999</v>
      </c>
      <c r="P383" s="20">
        <f t="shared" si="1101"/>
        <v>1342.8139999999999</v>
      </c>
      <c r="Q383" s="20">
        <f t="shared" si="1101"/>
        <v>1385.2329999999999</v>
      </c>
      <c r="R383" s="20">
        <f t="shared" si="1101"/>
        <v>1276.7239999999999</v>
      </c>
      <c r="S383" s="20">
        <f t="shared" si="1101"/>
        <v>1311.807</v>
      </c>
      <c r="T383" s="20">
        <f t="shared" si="1101"/>
        <v>1465.4279999999999</v>
      </c>
      <c r="U383" s="20">
        <f t="shared" si="1101"/>
        <v>1698.1959999999999</v>
      </c>
      <c r="V383" s="20">
        <f t="shared" si="1101"/>
        <v>1799.127</v>
      </c>
      <c r="W383" s="16"/>
      <c r="X383" s="16"/>
      <c r="Y383" s="16"/>
      <c r="Z383" s="16"/>
      <c r="AA383" s="16"/>
      <c r="AB383" s="16"/>
      <c r="AC383" s="16">
        <v>18.745999999999999</v>
      </c>
      <c r="AD383" s="16">
        <v>12.816000000000001</v>
      </c>
      <c r="AE383" s="16">
        <v>9.6790000000000003</v>
      </c>
      <c r="AF383" s="16">
        <v>29.518000000000001</v>
      </c>
      <c r="AG383" s="16">
        <v>38.840000000000003</v>
      </c>
      <c r="AH383" s="16">
        <v>37.555999999999997</v>
      </c>
      <c r="AI383" s="16">
        <v>67.790000000000006</v>
      </c>
      <c r="AJ383" s="16">
        <v>102.989</v>
      </c>
      <c r="AK383" s="16">
        <v>74.302000000000007</v>
      </c>
      <c r="AL383" s="16">
        <v>96.483999999999995</v>
      </c>
      <c r="AM383" s="16">
        <v>117.837</v>
      </c>
      <c r="AN383" s="16">
        <v>94.986000000000004</v>
      </c>
      <c r="AO383" s="16">
        <v>194.614</v>
      </c>
      <c r="AP383" s="16">
        <v>171.27600000000001</v>
      </c>
      <c r="AQ383" s="16">
        <v>147.887</v>
      </c>
      <c r="AR383" s="16">
        <v>143.47200000000001</v>
      </c>
      <c r="AS383" s="16">
        <v>143.411</v>
      </c>
      <c r="AT383" s="16">
        <v>242.69499999999999</v>
      </c>
      <c r="AU383" s="16">
        <v>358.44900000000001</v>
      </c>
      <c r="AV383" s="16">
        <v>562.68899999999996</v>
      </c>
      <c r="AW383" s="16">
        <v>541.25400000000002</v>
      </c>
      <c r="AX383" s="16">
        <v>553.39200000000005</v>
      </c>
      <c r="AY383" s="16">
        <v>577.81500000000005</v>
      </c>
      <c r="AZ383" s="16">
        <v>455.399</v>
      </c>
      <c r="BA383" s="16">
        <v>660.17100000000005</v>
      </c>
      <c r="BB383" s="16">
        <v>1064.99</v>
      </c>
      <c r="BC383" s="16">
        <v>1342.8140000000001</v>
      </c>
      <c r="BD383" s="2"/>
      <c r="BE383" s="2"/>
      <c r="BF383" s="2"/>
      <c r="BG383" s="84"/>
      <c r="BH383" s="84"/>
      <c r="BI383" s="84"/>
      <c r="BJ383" s="84"/>
      <c r="BK383" s="84"/>
    </row>
    <row r="384" spans="1:63" ht="11.25" customHeight="1">
      <c r="A384" s="2"/>
      <c r="B384" s="2"/>
      <c r="C384" s="2"/>
      <c r="D384" s="57"/>
      <c r="E384" s="57"/>
      <c r="F384" s="57"/>
      <c r="G384" s="57"/>
      <c r="H384" s="57"/>
      <c r="I384" s="57"/>
      <c r="J384" s="57"/>
      <c r="K384" s="57"/>
      <c r="L384" s="57"/>
      <c r="M384" s="57"/>
      <c r="N384" s="57"/>
      <c r="O384" s="57"/>
      <c r="P384" s="57"/>
      <c r="Q384" s="57"/>
      <c r="R384" s="57"/>
      <c r="S384" s="57"/>
      <c r="T384" s="57"/>
      <c r="U384" s="57"/>
      <c r="V384" s="57"/>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57"/>
      <c r="AS384" s="57"/>
      <c r="AT384" s="57"/>
      <c r="AU384" s="57"/>
      <c r="AV384" s="57"/>
      <c r="AW384" s="57"/>
      <c r="AX384" s="57"/>
      <c r="AY384" s="57"/>
      <c r="AZ384" s="57"/>
      <c r="BA384" s="57"/>
      <c r="BB384" s="57"/>
      <c r="BC384" s="57"/>
      <c r="BD384" s="2"/>
      <c r="BE384" s="2"/>
      <c r="BF384" s="2"/>
      <c r="BG384" s="84"/>
      <c r="BH384" s="84"/>
      <c r="BI384" s="84"/>
      <c r="BJ384" s="84"/>
      <c r="BK384" s="84"/>
    </row>
    <row r="385" spans="1:63" ht="11.25" customHeight="1">
      <c r="A385" s="2"/>
      <c r="B385" s="2" t="s">
        <v>131</v>
      </c>
      <c r="C385" s="2"/>
      <c r="D385" s="20">
        <f>D381+D383</f>
        <v>430.77699999999999</v>
      </c>
      <c r="E385" s="20">
        <f t="shared" ref="E385:T385" si="1102">E381+E383</f>
        <v>467.61400000000003</v>
      </c>
      <c r="F385" s="20">
        <f t="shared" si="1102"/>
        <v>604.19500000000005</v>
      </c>
      <c r="G385" s="20">
        <f t="shared" si="1102"/>
        <v>660.17100000000005</v>
      </c>
      <c r="H385" s="20">
        <f t="shared" si="1102"/>
        <v>664.72800000000007</v>
      </c>
      <c r="I385" s="20">
        <f t="shared" si="1102"/>
        <v>747.98200000000008</v>
      </c>
      <c r="J385" s="20">
        <f t="shared" si="1102"/>
        <v>853.81200000000013</v>
      </c>
      <c r="K385" s="20">
        <f t="shared" si="1102"/>
        <v>1064.99</v>
      </c>
      <c r="L385" s="20">
        <f t="shared" si="1102"/>
        <v>1151.5899999999999</v>
      </c>
      <c r="M385" s="20">
        <f t="shared" si="1102"/>
        <v>1253.1889999999999</v>
      </c>
      <c r="N385" s="20">
        <f t="shared" si="1102"/>
        <v>1296.0129999999999</v>
      </c>
      <c r="O385" s="20">
        <f t="shared" si="1102"/>
        <v>1342.8139999999999</v>
      </c>
      <c r="P385" s="20">
        <f t="shared" si="1102"/>
        <v>1385.2329999999999</v>
      </c>
      <c r="Q385" s="20">
        <f t="shared" si="1102"/>
        <v>1276.7239999999999</v>
      </c>
      <c r="R385" s="20">
        <f t="shared" si="1102"/>
        <v>1311.807</v>
      </c>
      <c r="S385" s="20">
        <f t="shared" si="1102"/>
        <v>1465.4279999999999</v>
      </c>
      <c r="T385" s="20">
        <f t="shared" si="1102"/>
        <v>1698.1959999999999</v>
      </c>
      <c r="U385" s="20">
        <f t="shared" ref="U385:V385" si="1103">U381+U383</f>
        <v>1799.127</v>
      </c>
      <c r="V385" s="20">
        <f t="shared" si="1103"/>
        <v>1886.7809999999999</v>
      </c>
      <c r="W385" s="16"/>
      <c r="X385" s="16"/>
      <c r="Y385" s="16"/>
      <c r="Z385" s="16"/>
      <c r="AA385" s="16"/>
      <c r="AB385" s="16"/>
      <c r="AC385" s="20">
        <f t="shared" ref="AC385:AP385" si="1104">AC381+AC383</f>
        <v>12.815999999999999</v>
      </c>
      <c r="AD385" s="20">
        <f t="shared" si="1104"/>
        <v>9.6790000000000003</v>
      </c>
      <c r="AE385" s="20">
        <f t="shared" si="1104"/>
        <v>17.643999999999998</v>
      </c>
      <c r="AF385" s="20">
        <f t="shared" si="1104"/>
        <v>38.840000000000003</v>
      </c>
      <c r="AG385" s="20">
        <f t="shared" si="1104"/>
        <v>37.556000000000004</v>
      </c>
      <c r="AH385" s="20">
        <f t="shared" si="1104"/>
        <v>67.789999999999992</v>
      </c>
      <c r="AI385" s="20">
        <f t="shared" si="1104"/>
        <v>102.989</v>
      </c>
      <c r="AJ385" s="20">
        <f t="shared" si="1104"/>
        <v>74.302000000000007</v>
      </c>
      <c r="AK385" s="20">
        <f t="shared" si="1104"/>
        <v>96.484000000000009</v>
      </c>
      <c r="AL385" s="20">
        <f t="shared" si="1104"/>
        <v>117.83699999999999</v>
      </c>
      <c r="AM385" s="20">
        <f t="shared" si="1104"/>
        <v>94.986000000000004</v>
      </c>
      <c r="AN385" s="20">
        <f t="shared" si="1104"/>
        <v>194.614</v>
      </c>
      <c r="AO385" s="20">
        <f t="shared" si="1104"/>
        <v>171.27600000000001</v>
      </c>
      <c r="AP385" s="20">
        <f t="shared" si="1104"/>
        <v>147.887</v>
      </c>
      <c r="AQ385" s="20">
        <f t="shared" ref="AQ385:BC385" si="1105">AQ381+AQ383</f>
        <v>143.47200000000001</v>
      </c>
      <c r="AR385" s="20">
        <f t="shared" si="1105"/>
        <v>143.41099999999986</v>
      </c>
      <c r="AS385" s="20">
        <f t="shared" si="1105"/>
        <v>242.69499999999994</v>
      </c>
      <c r="AT385" s="20">
        <f t="shared" si="1105"/>
        <v>358.44899999999996</v>
      </c>
      <c r="AU385" s="20">
        <f t="shared" si="1105"/>
        <v>562.68900000000008</v>
      </c>
      <c r="AV385" s="20">
        <f t="shared" si="1105"/>
        <v>541.25400000000013</v>
      </c>
      <c r="AW385" s="20">
        <f t="shared" si="1105"/>
        <v>553.39200000000005</v>
      </c>
      <c r="AX385" s="20">
        <f t="shared" si="1105"/>
        <v>577.81499999999994</v>
      </c>
      <c r="AY385" s="20">
        <f t="shared" si="1105"/>
        <v>455.399</v>
      </c>
      <c r="AZ385" s="20">
        <f t="shared" si="1105"/>
        <v>660.17100000000028</v>
      </c>
      <c r="BA385" s="20">
        <f t="shared" si="1105"/>
        <v>1064.9899999999998</v>
      </c>
      <c r="BB385" s="20">
        <f t="shared" si="1105"/>
        <v>1342.8140000000001</v>
      </c>
      <c r="BC385" s="20">
        <f t="shared" si="1105"/>
        <v>1465.4280000000001</v>
      </c>
      <c r="BD385" s="2"/>
      <c r="BE385" s="2"/>
      <c r="BF385" s="2"/>
      <c r="BG385" s="84">
        <f>AZ385-G385</f>
        <v>0</v>
      </c>
      <c r="BH385" s="84">
        <f>BA385-K385</f>
        <v>0</v>
      </c>
      <c r="BI385" s="84">
        <f>BB385-O385</f>
        <v>0</v>
      </c>
      <c r="BJ385" s="84">
        <f>BC385-S385</f>
        <v>0</v>
      </c>
      <c r="BK385" s="84"/>
    </row>
    <row r="386" spans="1:63" ht="11.25" customHeight="1">
      <c r="A386" s="2"/>
      <c r="B386" s="12"/>
      <c r="C386" s="2"/>
      <c r="D386" s="26"/>
      <c r="E386" s="26"/>
      <c r="F386" s="26"/>
      <c r="G386" s="26"/>
      <c r="H386" s="33"/>
      <c r="I386" s="33"/>
      <c r="J386" s="33"/>
      <c r="K386" s="33"/>
      <c r="L386" s="33"/>
      <c r="M386" s="33"/>
      <c r="N386" s="33"/>
      <c r="O386" s="33"/>
      <c r="P386" s="33"/>
      <c r="Q386" s="33"/>
      <c r="R386" s="33"/>
      <c r="S386" s="33"/>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6"/>
      <c r="AW386" s="26"/>
      <c r="AX386" s="26"/>
      <c r="AY386" s="26"/>
      <c r="AZ386" s="26"/>
      <c r="BA386" s="26"/>
      <c r="BB386" s="26"/>
      <c r="BC386" s="26"/>
      <c r="BD386" s="2"/>
      <c r="BE386" s="2"/>
      <c r="BF386" s="2"/>
      <c r="BG386" s="86"/>
      <c r="BH386" s="86"/>
      <c r="BI386" s="86"/>
      <c r="BJ386" s="86"/>
      <c r="BK386" s="86"/>
    </row>
    <row r="387" spans="1:63" ht="11.25" customHeight="1">
      <c r="A387" s="2"/>
      <c r="B387" s="5" t="s">
        <v>9</v>
      </c>
      <c r="C387" s="2"/>
      <c r="D387" s="2"/>
      <c r="E387" s="19"/>
      <c r="F387" s="19"/>
      <c r="G387" s="19"/>
      <c r="H387" s="28"/>
      <c r="I387" s="28"/>
      <c r="J387" s="28"/>
      <c r="K387" s="28"/>
      <c r="L387" s="28"/>
      <c r="M387" s="28"/>
      <c r="N387" s="28"/>
      <c r="O387" s="28"/>
      <c r="P387" s="28"/>
      <c r="Q387" s="28"/>
      <c r="R387" s="28"/>
      <c r="S387" s="28"/>
      <c r="T387" s="47"/>
      <c r="U387" s="47"/>
      <c r="V387" s="47"/>
      <c r="W387" s="47"/>
      <c r="X387" s="47"/>
      <c r="Y387" s="47"/>
      <c r="Z387" s="47"/>
      <c r="AA387" s="47"/>
      <c r="AB387" s="2"/>
      <c r="AC387" s="2"/>
      <c r="AD387" s="2"/>
      <c r="AE387" s="2"/>
      <c r="AF387" s="2"/>
      <c r="AG387" s="2"/>
      <c r="AH387" s="2"/>
      <c r="AI387" s="2"/>
      <c r="AJ387" s="2"/>
      <c r="AK387" s="2"/>
      <c r="AL387" s="2"/>
      <c r="AM387" s="2"/>
      <c r="AN387" s="2"/>
      <c r="AO387" s="2"/>
      <c r="AP387" s="2"/>
      <c r="AQ387" s="2"/>
      <c r="AR387" s="19"/>
      <c r="AS387" s="19"/>
      <c r="AT387" s="19"/>
      <c r="AU387" s="19"/>
      <c r="AV387" s="19"/>
      <c r="AW387" s="19"/>
      <c r="AX387" s="19"/>
      <c r="AY387" s="19"/>
      <c r="AZ387" s="19"/>
      <c r="BA387" s="19"/>
      <c r="BB387" s="19"/>
      <c r="BC387" s="19"/>
      <c r="BD387" s="47"/>
      <c r="BE387" s="47"/>
      <c r="BF387" s="2"/>
      <c r="BG387" s="86"/>
      <c r="BH387" s="86"/>
      <c r="BI387" s="86"/>
      <c r="BJ387" s="86"/>
      <c r="BK387" s="86"/>
    </row>
    <row r="388" spans="1:63" ht="11.25" customHeight="1">
      <c r="A388" s="2"/>
      <c r="B388" s="75" t="s">
        <v>425</v>
      </c>
      <c r="C388" s="123"/>
      <c r="D388" s="123"/>
      <c r="E388" s="123"/>
      <c r="F388" s="73"/>
      <c r="G388" s="73"/>
      <c r="H388" s="73"/>
      <c r="I388" s="73"/>
      <c r="J388" s="73"/>
      <c r="K388" s="73"/>
      <c r="L388" s="73"/>
      <c r="M388" s="73"/>
      <c r="N388" s="73"/>
      <c r="O388" s="73"/>
      <c r="P388" s="73"/>
      <c r="Q388" s="73"/>
      <c r="R388" s="73"/>
      <c r="S388" s="73"/>
      <c r="T388" s="73"/>
      <c r="U388" s="73"/>
      <c r="V388" s="73"/>
      <c r="W388" s="73"/>
      <c r="X388" s="73"/>
      <c r="Y388" s="73"/>
      <c r="Z388" s="73"/>
      <c r="AA388" s="73"/>
      <c r="AB388" s="123"/>
      <c r="AC388" s="123"/>
      <c r="AD388" s="123"/>
      <c r="AE388" s="123"/>
      <c r="AF388" s="123"/>
      <c r="AG388" s="123"/>
      <c r="AH388" s="123"/>
      <c r="AI388" s="123"/>
      <c r="AJ388" s="123"/>
      <c r="AK388" s="123"/>
      <c r="AL388" s="123"/>
      <c r="AM388" s="123"/>
      <c r="AN388" s="123"/>
      <c r="AO388" s="123"/>
      <c r="AP388" s="123"/>
      <c r="AQ388" s="123"/>
      <c r="AR388" s="123"/>
      <c r="AS388" s="123"/>
      <c r="AT388" s="123"/>
      <c r="AU388" s="123"/>
      <c r="AV388" s="73"/>
      <c r="AW388" s="73"/>
      <c r="AX388" s="73"/>
      <c r="AY388" s="73"/>
      <c r="AZ388" s="74"/>
      <c r="BA388" s="74"/>
      <c r="BB388" s="74"/>
      <c r="BC388" s="74"/>
      <c r="BD388" s="73"/>
      <c r="BE388" s="47"/>
      <c r="BF388" s="2"/>
      <c r="BG388" s="2"/>
      <c r="BH388" s="2"/>
      <c r="BI388" s="2"/>
      <c r="BJ388" s="2"/>
      <c r="BK388" s="2"/>
    </row>
    <row r="389" spans="1:63" ht="11.25" customHeight="1">
      <c r="A389" s="2"/>
      <c r="B389" s="116" t="s">
        <v>427</v>
      </c>
      <c r="C389" s="4"/>
      <c r="D389" s="4"/>
      <c r="E389" s="4"/>
      <c r="F389" s="47"/>
      <c r="G389" s="47"/>
      <c r="H389" s="47"/>
      <c r="I389" s="47"/>
      <c r="J389" s="47"/>
      <c r="K389" s="47"/>
      <c r="L389" s="47"/>
      <c r="M389" s="47"/>
      <c r="N389" s="47"/>
      <c r="O389" s="47"/>
      <c r="P389" s="47"/>
      <c r="Q389" s="47"/>
      <c r="R389" s="47"/>
      <c r="S389" s="47"/>
      <c r="T389" s="47"/>
      <c r="U389" s="47"/>
      <c r="V389" s="47"/>
      <c r="W389" s="47"/>
      <c r="X389" s="47"/>
      <c r="Y389" s="47"/>
      <c r="Z389" s="47"/>
      <c r="AA389" s="47"/>
      <c r="AB389" s="4"/>
      <c r="AC389" s="4"/>
      <c r="AD389" s="4"/>
      <c r="AE389" s="4"/>
      <c r="AF389" s="4"/>
      <c r="AG389" s="4"/>
      <c r="AH389" s="4"/>
      <c r="AI389" s="4"/>
      <c r="AJ389" s="4"/>
      <c r="AK389" s="4"/>
      <c r="AL389" s="4"/>
      <c r="AM389" s="4"/>
      <c r="AN389" s="4"/>
      <c r="AO389" s="4"/>
      <c r="AP389" s="4"/>
      <c r="AQ389" s="4"/>
      <c r="AR389" s="4"/>
      <c r="AS389" s="4"/>
      <c r="AT389" s="4"/>
      <c r="AU389" s="4"/>
      <c r="AV389" s="47"/>
      <c r="AW389" s="47"/>
      <c r="AX389" s="47"/>
      <c r="AY389" s="47"/>
      <c r="BD389" s="47"/>
      <c r="BE389" s="47"/>
      <c r="BF389" s="2"/>
      <c r="BG389" s="2"/>
      <c r="BH389" s="2"/>
      <c r="BI389" s="2"/>
      <c r="BJ389" s="2"/>
      <c r="BK389" s="2"/>
    </row>
    <row r="390" spans="1:63" ht="11.25" customHeight="1">
      <c r="A390" s="2"/>
      <c r="B390" s="116"/>
      <c r="C390" s="2"/>
      <c r="D390" s="2"/>
      <c r="E390" s="2"/>
      <c r="F390" s="47"/>
      <c r="G390" s="47"/>
      <c r="H390" s="47"/>
      <c r="I390" s="47"/>
      <c r="J390" s="47"/>
      <c r="K390" s="47"/>
      <c r="L390" s="47"/>
      <c r="M390" s="47"/>
      <c r="N390" s="47"/>
      <c r="O390" s="47"/>
      <c r="P390" s="47"/>
      <c r="Q390" s="47"/>
      <c r="R390" s="47"/>
      <c r="S390" s="47"/>
      <c r="T390" s="47"/>
      <c r="U390" s="47"/>
      <c r="V390" s="47"/>
      <c r="W390" s="47"/>
      <c r="X390" s="47"/>
      <c r="Y390" s="47"/>
      <c r="Z390" s="47"/>
      <c r="AA390" s="47"/>
      <c r="AB390" s="2"/>
      <c r="AC390" s="2"/>
      <c r="AD390" s="2"/>
      <c r="AE390" s="2"/>
      <c r="AF390" s="2"/>
      <c r="AG390" s="2"/>
      <c r="AH390" s="2"/>
      <c r="AI390" s="2"/>
      <c r="AJ390" s="2"/>
      <c r="AK390" s="2"/>
      <c r="AL390" s="2"/>
      <c r="AM390" s="2"/>
      <c r="AN390" s="2"/>
      <c r="AO390" s="2"/>
      <c r="AP390" s="2"/>
      <c r="AQ390" s="2"/>
      <c r="AR390" s="2"/>
      <c r="AS390" s="2"/>
      <c r="AT390" s="2"/>
      <c r="AU390" s="2"/>
      <c r="AV390" s="47"/>
      <c r="AW390" s="47"/>
      <c r="AX390" s="47"/>
      <c r="AY390" s="47"/>
      <c r="BD390" s="47"/>
      <c r="BE390" s="47"/>
      <c r="BF390" s="2"/>
      <c r="BG390" s="2"/>
      <c r="BH390" s="2"/>
      <c r="BI390" s="2"/>
      <c r="BJ390" s="2"/>
      <c r="BK390" s="2"/>
    </row>
    <row r="391" spans="1:63" ht="11.25" customHeight="1">
      <c r="A391" s="2"/>
      <c r="B391" s="11" t="s">
        <v>14</v>
      </c>
      <c r="C391" s="10"/>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7"/>
      <c r="AW391" s="27"/>
      <c r="AX391" s="27"/>
      <c r="AY391" s="27"/>
      <c r="AZ391" s="27"/>
      <c r="BA391" s="27"/>
      <c r="BB391" s="27"/>
      <c r="BC391" s="2"/>
      <c r="BD391" s="2"/>
      <c r="BE391" s="2"/>
      <c r="BF391" s="2"/>
      <c r="BG391" s="2"/>
      <c r="BH391" s="2"/>
      <c r="BI391" s="2"/>
      <c r="BJ391" s="2"/>
      <c r="BK391" s="2"/>
    </row>
    <row r="392" spans="1:63" ht="11.25" customHeight="1">
      <c r="A392" s="2"/>
      <c r="B392" s="2"/>
      <c r="C392" s="2"/>
      <c r="D392" s="2"/>
      <c r="E392" s="2"/>
      <c r="F392" s="2"/>
      <c r="G392" s="2"/>
      <c r="H392" s="19"/>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19"/>
      <c r="AW392" s="19"/>
      <c r="AX392" s="19"/>
      <c r="AY392" s="19"/>
      <c r="AZ392" s="19"/>
      <c r="BA392" s="19"/>
      <c r="BB392" s="19"/>
      <c r="BC392" s="2"/>
      <c r="BD392" s="2"/>
      <c r="BE392" s="2"/>
      <c r="BF392" s="2"/>
      <c r="BG392" s="2"/>
      <c r="BH392" s="2"/>
      <c r="BI392" s="2"/>
      <c r="BJ392" s="2"/>
      <c r="BK392" s="2"/>
    </row>
    <row r="393" spans="1:63" ht="11.25" customHeight="1">
      <c r="A393" s="2"/>
      <c r="B393" s="65" t="s">
        <v>99</v>
      </c>
      <c r="C393" s="2"/>
      <c r="D393" s="2"/>
      <c r="E393" s="2"/>
      <c r="F393" s="2"/>
      <c r="G393" s="2"/>
      <c r="H393" s="39"/>
      <c r="I393" s="19"/>
      <c r="J393" s="19"/>
      <c r="K393" s="19"/>
      <c r="L393" s="19"/>
      <c r="M393" s="19"/>
      <c r="N393" s="19"/>
      <c r="O393" s="19"/>
      <c r="P393" s="19"/>
      <c r="Q393" s="19"/>
      <c r="R393" s="19"/>
      <c r="S393" s="2"/>
      <c r="T393" s="2"/>
      <c r="U393" s="2"/>
      <c r="V393" s="2"/>
      <c r="W393" s="2"/>
      <c r="X393" s="2"/>
      <c r="Y393" s="2"/>
      <c r="Z393" s="2"/>
      <c r="AA393" s="2"/>
      <c r="AB393" s="2"/>
      <c r="BD393" s="2"/>
      <c r="BE393" s="2"/>
      <c r="BF393" s="2"/>
      <c r="BG393" s="2"/>
      <c r="BH393" s="2"/>
      <c r="BI393" s="2"/>
      <c r="BJ393" s="2"/>
      <c r="BK393" s="2"/>
    </row>
    <row r="394" spans="1:63" ht="11.25" customHeight="1">
      <c r="A394" s="2"/>
      <c r="B394" s="237" t="s">
        <v>116</v>
      </c>
      <c r="C394" s="2"/>
      <c r="D394" s="435" t="s">
        <v>845</v>
      </c>
      <c r="E394" s="435" t="s">
        <v>845</v>
      </c>
      <c r="F394" s="435" t="s">
        <v>845</v>
      </c>
      <c r="G394" s="435" t="s">
        <v>845</v>
      </c>
      <c r="H394" s="435" t="s">
        <v>845</v>
      </c>
      <c r="I394" s="435" t="s">
        <v>845</v>
      </c>
      <c r="J394" s="435" t="s">
        <v>845</v>
      </c>
      <c r="K394" s="435" t="s">
        <v>845</v>
      </c>
      <c r="L394" s="435" t="s">
        <v>845</v>
      </c>
      <c r="M394" s="435" t="s">
        <v>845</v>
      </c>
      <c r="N394" s="435" t="s">
        <v>845</v>
      </c>
      <c r="O394" s="435" t="s">
        <v>845</v>
      </c>
      <c r="P394" s="435" t="s">
        <v>845</v>
      </c>
      <c r="Q394" s="435" t="s">
        <v>845</v>
      </c>
      <c r="R394" s="435" t="s">
        <v>845</v>
      </c>
      <c r="S394" s="435" t="s">
        <v>845</v>
      </c>
      <c r="T394" s="435" t="s">
        <v>845</v>
      </c>
      <c r="U394" s="435" t="s">
        <v>845</v>
      </c>
      <c r="V394" s="435" t="s">
        <v>845</v>
      </c>
      <c r="W394" s="16"/>
      <c r="X394" s="16"/>
      <c r="Y394" s="16"/>
      <c r="Z394" s="16"/>
      <c r="AA394" s="16"/>
      <c r="AB394" s="16"/>
      <c r="AC394" s="435" t="s">
        <v>844</v>
      </c>
      <c r="AD394" s="435" t="s">
        <v>844</v>
      </c>
      <c r="AE394" s="435" t="s">
        <v>844</v>
      </c>
      <c r="AF394" s="435" t="s">
        <v>844</v>
      </c>
      <c r="AG394" s="435" t="s">
        <v>844</v>
      </c>
      <c r="AH394" s="435" t="s">
        <v>844</v>
      </c>
      <c r="AI394" s="435" t="s">
        <v>844</v>
      </c>
      <c r="AJ394" s="435" t="s">
        <v>844</v>
      </c>
      <c r="AK394" s="435" t="s">
        <v>844</v>
      </c>
      <c r="AL394" s="435" t="s">
        <v>844</v>
      </c>
      <c r="AM394" s="435" t="s">
        <v>844</v>
      </c>
      <c r="AN394" s="435" t="s">
        <v>844</v>
      </c>
      <c r="AO394" s="435" t="s">
        <v>844</v>
      </c>
      <c r="AP394" s="435" t="s">
        <v>844</v>
      </c>
      <c r="AQ394" s="435" t="s">
        <v>844</v>
      </c>
      <c r="AR394" s="435" t="s">
        <v>845</v>
      </c>
      <c r="AS394" s="435" t="s">
        <v>845</v>
      </c>
      <c r="AT394" s="435" t="s">
        <v>853</v>
      </c>
      <c r="AU394" s="435" t="s">
        <v>845</v>
      </c>
      <c r="AV394" s="435" t="s">
        <v>845</v>
      </c>
      <c r="AW394" s="435" t="s">
        <v>845</v>
      </c>
      <c r="AX394" s="435" t="s">
        <v>845</v>
      </c>
      <c r="AY394" s="435" t="s">
        <v>845</v>
      </c>
      <c r="AZ394" s="435" t="s">
        <v>845</v>
      </c>
      <c r="BA394" s="435" t="s">
        <v>845</v>
      </c>
      <c r="BB394" s="435" t="s">
        <v>845</v>
      </c>
      <c r="BC394" s="435" t="s">
        <v>845</v>
      </c>
      <c r="BD394" s="14"/>
      <c r="BE394" s="14"/>
      <c r="BF394" s="2"/>
      <c r="BG394" s="86"/>
      <c r="BH394" s="86"/>
      <c r="BI394" s="86"/>
      <c r="BJ394" s="86"/>
      <c r="BK394" s="86"/>
    </row>
    <row r="395" spans="1:63" ht="11.25" customHeight="1">
      <c r="A395" s="2"/>
      <c r="B395" s="13" t="s">
        <v>204</v>
      </c>
      <c r="C395" s="2"/>
      <c r="D395" s="16">
        <v>430.77699999999999</v>
      </c>
      <c r="E395" s="16">
        <v>467.61399999999998</v>
      </c>
      <c r="F395" s="16">
        <v>604.19500000000005</v>
      </c>
      <c r="G395" s="16">
        <v>660.17100000000005</v>
      </c>
      <c r="H395" s="16">
        <v>664.72799999999995</v>
      </c>
      <c r="I395" s="16">
        <v>747.98199999999997</v>
      </c>
      <c r="J395" s="16">
        <v>853.81200000000001</v>
      </c>
      <c r="K395" s="16">
        <v>1064.99</v>
      </c>
      <c r="L395" s="16">
        <v>1151.5899999999999</v>
      </c>
      <c r="M395" s="16">
        <v>1253.1890000000001</v>
      </c>
      <c r="N395" s="16">
        <v>1296.0129999999999</v>
      </c>
      <c r="O395" s="16">
        <v>1342.8140000000001</v>
      </c>
      <c r="P395" s="16">
        <v>1385.2329999999999</v>
      </c>
      <c r="Q395" s="16">
        <v>1276.7239999999999</v>
      </c>
      <c r="R395" s="16">
        <v>1311.807</v>
      </c>
      <c r="S395" s="16">
        <v>1465.4280000000001</v>
      </c>
      <c r="T395" s="16">
        <v>1698.1959999999999</v>
      </c>
      <c r="U395" s="16">
        <v>1799.127</v>
      </c>
      <c r="V395" s="16">
        <v>1886.7809999999999</v>
      </c>
      <c r="W395" s="16"/>
      <c r="X395" s="16"/>
      <c r="Y395" s="16"/>
      <c r="Z395" s="16"/>
      <c r="AA395" s="16"/>
      <c r="AB395" s="16"/>
      <c r="AC395" s="16">
        <v>12.816000000000001</v>
      </c>
      <c r="AD395" s="16">
        <v>9.6790000000000003</v>
      </c>
      <c r="AE395" s="16">
        <v>17.643999999999998</v>
      </c>
      <c r="AF395" s="16">
        <v>38.840000000000003</v>
      </c>
      <c r="AG395" s="16">
        <v>37.555999999999997</v>
      </c>
      <c r="AH395" s="16">
        <v>67.790000000000006</v>
      </c>
      <c r="AI395" s="16">
        <v>102.989</v>
      </c>
      <c r="AJ395" s="16">
        <v>74.302000000000007</v>
      </c>
      <c r="AK395" s="16">
        <v>96.483999999999995</v>
      </c>
      <c r="AL395" s="16">
        <v>117.837</v>
      </c>
      <c r="AM395" s="16">
        <v>94.986000000000004</v>
      </c>
      <c r="AN395" s="16">
        <v>194.614</v>
      </c>
      <c r="AO395" s="16">
        <v>171.27600000000001</v>
      </c>
      <c r="AP395" s="16">
        <v>147.887</v>
      </c>
      <c r="AQ395" s="16">
        <v>143.47200000000001</v>
      </c>
      <c r="AR395" s="16">
        <v>143.411</v>
      </c>
      <c r="AS395" s="16">
        <v>242.69499999999999</v>
      </c>
      <c r="AT395" s="16">
        <v>358.44900000000001</v>
      </c>
      <c r="AU395" s="16">
        <v>562.68899999999996</v>
      </c>
      <c r="AV395" s="16">
        <v>541.25400000000002</v>
      </c>
      <c r="AW395" s="16">
        <v>553.39200000000005</v>
      </c>
      <c r="AX395" s="16">
        <v>577.81500000000005</v>
      </c>
      <c r="AY395" s="16">
        <v>455.399</v>
      </c>
      <c r="AZ395" s="16">
        <v>660.17100000000005</v>
      </c>
      <c r="BA395" s="16">
        <v>1064.99</v>
      </c>
      <c r="BB395" s="16">
        <v>1342.8140000000001</v>
      </c>
      <c r="BC395" s="16">
        <v>1465.4280000000001</v>
      </c>
      <c r="BD395" s="14"/>
      <c r="BE395" s="14"/>
      <c r="BF395" s="2"/>
      <c r="BG395" s="86"/>
      <c r="BH395" s="86"/>
      <c r="BI395" s="86"/>
      <c r="BJ395" s="86"/>
      <c r="BK395" s="86"/>
    </row>
    <row r="396" spans="1:63" ht="11.25" customHeight="1">
      <c r="A396" s="2"/>
      <c r="B396" s="13" t="s">
        <v>205</v>
      </c>
      <c r="C396" s="2"/>
      <c r="D396" s="16">
        <v>130.77600000000001</v>
      </c>
      <c r="E396" s="16">
        <v>137.40199999999999</v>
      </c>
      <c r="F396" s="16">
        <v>138.22499999999999</v>
      </c>
      <c r="G396" s="16">
        <v>131.30600000000001</v>
      </c>
      <c r="H396" s="16">
        <v>131.994</v>
      </c>
      <c r="I396" s="16">
        <v>122.85299999999999</v>
      </c>
      <c r="J396" s="16">
        <v>122.00700000000001</v>
      </c>
      <c r="K396" s="16">
        <v>123.465</v>
      </c>
      <c r="L396" s="16">
        <v>130.46600000000001</v>
      </c>
      <c r="M396" s="16">
        <v>172.37899999999999</v>
      </c>
      <c r="N396" s="16">
        <v>202.86099999999999</v>
      </c>
      <c r="O396" s="16">
        <v>218.672</v>
      </c>
      <c r="P396" s="16">
        <v>203.952</v>
      </c>
      <c r="Q396" s="16">
        <v>213.232</v>
      </c>
      <c r="R396" s="16">
        <v>239.51499999999999</v>
      </c>
      <c r="S396" s="16">
        <v>222.21700000000001</v>
      </c>
      <c r="T396" s="16">
        <v>224.46</v>
      </c>
      <c r="U396" s="16">
        <v>249.50800000000001</v>
      </c>
      <c r="V396" s="16">
        <v>280.81900000000002</v>
      </c>
      <c r="W396" s="16"/>
      <c r="X396" s="16"/>
      <c r="Y396" s="16"/>
      <c r="Z396" s="16"/>
      <c r="AA396" s="16"/>
      <c r="AB396" s="16"/>
      <c r="AC396" s="16">
        <v>5.0460000000000003</v>
      </c>
      <c r="AD396" s="16">
        <v>5.9059999999999997</v>
      </c>
      <c r="AE396" s="16">
        <v>0.92700000000000005</v>
      </c>
      <c r="AF396" s="16">
        <v>2.3519999999999999</v>
      </c>
      <c r="AG396" s="16">
        <v>1.3979999999999999</v>
      </c>
      <c r="AH396" s="16">
        <v>0.17</v>
      </c>
      <c r="AI396" s="16">
        <v>13.612</v>
      </c>
      <c r="AJ396" s="16">
        <v>54.107999999999997</v>
      </c>
      <c r="AK396" s="16">
        <v>47.399000000000001</v>
      </c>
      <c r="AL396" s="16">
        <v>77.242000000000004</v>
      </c>
      <c r="AM396" s="16">
        <v>79.847999999999999</v>
      </c>
      <c r="AN396" s="16">
        <v>16.835999999999999</v>
      </c>
      <c r="AO396" s="16">
        <v>24.521000000000001</v>
      </c>
      <c r="AP396" s="16">
        <v>33.686999999999998</v>
      </c>
      <c r="AQ396" s="16">
        <v>7.15</v>
      </c>
      <c r="AR396" s="16">
        <v>7.5069999999999997</v>
      </c>
      <c r="AS396" s="16">
        <v>2.6469999999999998</v>
      </c>
      <c r="AT396" s="16">
        <v>78.474999999999994</v>
      </c>
      <c r="AU396" s="16">
        <v>23.474</v>
      </c>
      <c r="AV396" s="16">
        <v>90.855000000000004</v>
      </c>
      <c r="AW396" s="16">
        <v>95.966999999999999</v>
      </c>
      <c r="AX396" s="16">
        <v>117.367</v>
      </c>
      <c r="AY396" s="16">
        <v>128.04900000000001</v>
      </c>
      <c r="AZ396" s="16">
        <v>131.30600000000001</v>
      </c>
      <c r="BA396" s="16">
        <v>123.465</v>
      </c>
      <c r="BB396" s="16">
        <v>218.672</v>
      </c>
      <c r="BC396" s="16">
        <v>222.21700000000001</v>
      </c>
      <c r="BD396" s="14"/>
      <c r="BE396" s="14"/>
      <c r="BF396" s="2"/>
      <c r="BG396" s="86"/>
      <c r="BH396" s="86"/>
      <c r="BI396" s="86"/>
      <c r="BJ396" s="86"/>
      <c r="BK396" s="86"/>
    </row>
    <row r="397" spans="1:63" ht="11.25" customHeight="1">
      <c r="A397" s="2"/>
      <c r="B397" s="13" t="s">
        <v>206</v>
      </c>
      <c r="C397" s="2"/>
      <c r="D397" s="16">
        <v>146.42099999999999</v>
      </c>
      <c r="E397" s="16">
        <v>149.6</v>
      </c>
      <c r="F397" s="16">
        <v>162.578</v>
      </c>
      <c r="G397" s="16">
        <v>146.03800000000001</v>
      </c>
      <c r="H397" s="16">
        <v>167.47900000000001</v>
      </c>
      <c r="I397" s="16">
        <v>178.26</v>
      </c>
      <c r="J397" s="16">
        <v>187.16800000000001</v>
      </c>
      <c r="K397" s="16">
        <v>198.30199999999999</v>
      </c>
      <c r="L397" s="16">
        <v>213.428</v>
      </c>
      <c r="M397" s="16">
        <v>222.06899999999999</v>
      </c>
      <c r="N397" s="16">
        <v>261.53800000000001</v>
      </c>
      <c r="O397" s="16">
        <v>231.34</v>
      </c>
      <c r="P397" s="16">
        <v>148.047</v>
      </c>
      <c r="Q397" s="16">
        <v>191.02699999999999</v>
      </c>
      <c r="R397" s="16">
        <v>222.82400000000001</v>
      </c>
      <c r="S397" s="16">
        <v>201.93799999999999</v>
      </c>
      <c r="T397" s="16">
        <v>201.98</v>
      </c>
      <c r="U397" s="16">
        <v>210.21</v>
      </c>
      <c r="V397" s="16">
        <v>249.97399999999999</v>
      </c>
      <c r="W397" s="16"/>
      <c r="X397" s="16"/>
      <c r="Y397" s="16"/>
      <c r="Z397" s="16"/>
      <c r="AA397" s="16"/>
      <c r="AB397" s="16"/>
      <c r="AC397" s="16">
        <v>9.3019999999999996</v>
      </c>
      <c r="AD397" s="16">
        <v>7.4509999999999996</v>
      </c>
      <c r="AE397" s="16">
        <v>12.621</v>
      </c>
      <c r="AF397" s="16">
        <v>28.004000000000001</v>
      </c>
      <c r="AG397" s="16">
        <v>16.946999999999999</v>
      </c>
      <c r="AH397" s="16">
        <v>16.725000000000001</v>
      </c>
      <c r="AI397" s="16">
        <v>26.401</v>
      </c>
      <c r="AJ397" s="16">
        <v>27.544</v>
      </c>
      <c r="AK397" s="16">
        <v>38.478000000000002</v>
      </c>
      <c r="AL397" s="16">
        <v>31.588999999999999</v>
      </c>
      <c r="AM397" s="16">
        <v>42.423999999999999</v>
      </c>
      <c r="AN397" s="16">
        <v>18.497</v>
      </c>
      <c r="AO397" s="16">
        <v>35.381999999999998</v>
      </c>
      <c r="AP397" s="16">
        <v>42.981999999999999</v>
      </c>
      <c r="AQ397" s="16">
        <v>40.948</v>
      </c>
      <c r="AR397" s="16">
        <v>58.131</v>
      </c>
      <c r="AS397" s="16">
        <v>71.941999999999993</v>
      </c>
      <c r="AT397" s="16">
        <v>115.048</v>
      </c>
      <c r="AU397" s="16">
        <v>85.564999999999998</v>
      </c>
      <c r="AV397" s="16">
        <v>129.30500000000001</v>
      </c>
      <c r="AW397" s="16">
        <v>122.31699999999999</v>
      </c>
      <c r="AX397" s="16">
        <v>129.19800000000001</v>
      </c>
      <c r="AY397" s="16">
        <v>139.77099999999999</v>
      </c>
      <c r="AZ397" s="16">
        <v>146.03800000000001</v>
      </c>
      <c r="BA397" s="16">
        <v>198.30199999999999</v>
      </c>
      <c r="BB397" s="16">
        <v>231.34</v>
      </c>
      <c r="BC397" s="16">
        <v>201.93799999999999</v>
      </c>
      <c r="BD397" s="14"/>
      <c r="BE397" s="14"/>
      <c r="BF397" s="2"/>
      <c r="BG397" s="86"/>
      <c r="BH397" s="86"/>
      <c r="BI397" s="86"/>
      <c r="BJ397" s="86"/>
      <c r="BK397" s="86"/>
    </row>
    <row r="398" spans="1:63" ht="11.25" customHeight="1">
      <c r="A398" s="2"/>
      <c r="B398" s="30" t="s">
        <v>13</v>
      </c>
      <c r="C398" s="2"/>
      <c r="D398" s="16">
        <v>78.278000000000006</v>
      </c>
      <c r="E398" s="16">
        <v>85.787999999999997</v>
      </c>
      <c r="F398" s="16">
        <v>109.51</v>
      </c>
      <c r="G398" s="16">
        <v>137.35300000000001</v>
      </c>
      <c r="H398" s="16">
        <v>154.56800000000001</v>
      </c>
      <c r="I398" s="16">
        <v>170.43899999999999</v>
      </c>
      <c r="J398" s="16">
        <v>182.23400000000001</v>
      </c>
      <c r="K398" s="16">
        <v>193.102</v>
      </c>
      <c r="L398" s="16">
        <v>200.119</v>
      </c>
      <c r="M398" s="16">
        <v>217.43799999999999</v>
      </c>
      <c r="N398" s="16">
        <v>218.33600000000001</v>
      </c>
      <c r="O398" s="16">
        <v>221.149</v>
      </c>
      <c r="P398" s="16">
        <v>216.06800000000001</v>
      </c>
      <c r="Q398" s="16">
        <v>234.333</v>
      </c>
      <c r="R398" s="16">
        <v>262.08999999999997</v>
      </c>
      <c r="S398" s="16">
        <v>250.99700000000001</v>
      </c>
      <c r="T398" s="16">
        <v>267.12299999999999</v>
      </c>
      <c r="U398" s="16">
        <v>272.49099999999999</v>
      </c>
      <c r="V398" s="16">
        <v>292.88400000000001</v>
      </c>
      <c r="W398" s="17"/>
      <c r="X398" s="17"/>
      <c r="Y398" s="17"/>
      <c r="Z398" s="17"/>
      <c r="AA398" s="17"/>
      <c r="AB398" s="17"/>
      <c r="AC398" s="16">
        <v>4.8760000000000003</v>
      </c>
      <c r="AD398" s="16">
        <v>4.0570000000000004</v>
      </c>
      <c r="AE398" s="16">
        <v>5.8419999999999996</v>
      </c>
      <c r="AF398" s="16">
        <v>12.786</v>
      </c>
      <c r="AG398" s="16">
        <v>9.8279999999999994</v>
      </c>
      <c r="AH398" s="16">
        <v>11.201000000000001</v>
      </c>
      <c r="AI398" s="16">
        <v>12.135</v>
      </c>
      <c r="AJ398" s="16">
        <v>15.555999999999999</v>
      </c>
      <c r="AK398" s="16">
        <v>17.728000000000002</v>
      </c>
      <c r="AL398" s="16">
        <v>21.431000000000001</v>
      </c>
      <c r="AM398" s="16">
        <v>23.861999999999998</v>
      </c>
      <c r="AN398" s="16">
        <v>14.877000000000001</v>
      </c>
      <c r="AO398" s="16">
        <v>20.914000000000001</v>
      </c>
      <c r="AP398" s="16">
        <v>28.405999999999999</v>
      </c>
      <c r="AQ398" s="16">
        <v>24.841000000000001</v>
      </c>
      <c r="AR398" s="16">
        <v>37.831000000000003</v>
      </c>
      <c r="AS398" s="16">
        <v>37.494999999999997</v>
      </c>
      <c r="AT398" s="16">
        <v>66.337999999999994</v>
      </c>
      <c r="AU398" s="16">
        <v>67.052000000000007</v>
      </c>
      <c r="AV398" s="16">
        <v>48.682000000000002</v>
      </c>
      <c r="AW398" s="16">
        <v>73.881</v>
      </c>
      <c r="AX398" s="16">
        <v>103.23099999999999</v>
      </c>
      <c r="AY398" s="16">
        <v>82.980999999999995</v>
      </c>
      <c r="AZ398" s="16">
        <v>137.35300000000001</v>
      </c>
      <c r="BA398" s="16">
        <v>193.102</v>
      </c>
      <c r="BB398" s="16">
        <v>221.149</v>
      </c>
      <c r="BC398" s="16">
        <v>250.99700000000001</v>
      </c>
      <c r="BD398" s="15"/>
      <c r="BE398" s="15"/>
      <c r="BF398" s="2"/>
      <c r="BG398" s="86"/>
      <c r="BH398" s="86"/>
      <c r="BI398" s="86"/>
      <c r="BJ398" s="86"/>
      <c r="BK398" s="86"/>
    </row>
    <row r="399" spans="1:63" ht="13.5" customHeight="1">
      <c r="A399" s="2"/>
      <c r="B399" s="30" t="s">
        <v>207</v>
      </c>
      <c r="C399" s="2"/>
      <c r="D399" s="17">
        <v>16.218</v>
      </c>
      <c r="E399" s="17">
        <v>19.628</v>
      </c>
      <c r="F399" s="17">
        <v>15.166</v>
      </c>
      <c r="G399" s="17">
        <v>17.317</v>
      </c>
      <c r="H399" s="17">
        <v>21.018000000000001</v>
      </c>
      <c r="I399" s="17">
        <v>21.57</v>
      </c>
      <c r="J399" s="17">
        <v>25.417999999999999</v>
      </c>
      <c r="K399" s="17">
        <v>27.213999999999999</v>
      </c>
      <c r="L399" s="17">
        <v>26.635000000000002</v>
      </c>
      <c r="M399" s="17">
        <v>40.790999999999997</v>
      </c>
      <c r="N399" s="17">
        <v>35.484000000000002</v>
      </c>
      <c r="O399" s="17">
        <v>38.921999999999997</v>
      </c>
      <c r="P399" s="17">
        <v>42.427</v>
      </c>
      <c r="Q399" s="17">
        <v>44.648000000000003</v>
      </c>
      <c r="R399" s="17">
        <v>46.241</v>
      </c>
      <c r="S399" s="17">
        <v>53.453000000000003</v>
      </c>
      <c r="T399" s="17">
        <v>61.008000000000003</v>
      </c>
      <c r="U399" s="17">
        <v>60.322000000000003</v>
      </c>
      <c r="V399" s="17">
        <v>63.456000000000003</v>
      </c>
      <c r="W399" s="16"/>
      <c r="X399" s="16"/>
      <c r="Y399" s="16"/>
      <c r="Z399" s="16"/>
      <c r="AA399" s="16"/>
      <c r="AB399" s="16"/>
      <c r="AC399" s="17">
        <v>2.2810000000000001</v>
      </c>
      <c r="AD399" s="17">
        <v>1.448</v>
      </c>
      <c r="AE399" s="17">
        <v>4.6500000000000004</v>
      </c>
      <c r="AF399" s="17">
        <v>11.212</v>
      </c>
      <c r="AG399" s="17">
        <v>5.0720000000000001</v>
      </c>
      <c r="AH399" s="17">
        <v>6.6509999999999998</v>
      </c>
      <c r="AI399" s="17">
        <v>11.404999999999999</v>
      </c>
      <c r="AJ399" s="17">
        <v>12.939</v>
      </c>
      <c r="AK399" s="17">
        <v>12.166</v>
      </c>
      <c r="AL399" s="17">
        <v>12.218</v>
      </c>
      <c r="AM399" s="17">
        <v>8.702</v>
      </c>
      <c r="AN399" s="17">
        <v>7.7949999999999999</v>
      </c>
      <c r="AO399" s="17">
        <v>7.7110000000000003</v>
      </c>
      <c r="AP399" s="17">
        <v>8.5570000000000004</v>
      </c>
      <c r="AQ399" s="17">
        <v>8.8490000000000002</v>
      </c>
      <c r="AR399" s="17">
        <v>3.4460000000000002</v>
      </c>
      <c r="AS399" s="17">
        <v>3.7080000000000002</v>
      </c>
      <c r="AT399" s="17">
        <v>8.2560000000000002</v>
      </c>
      <c r="AU399" s="17">
        <v>7.9640000000000004</v>
      </c>
      <c r="AV399" s="17">
        <v>7.633</v>
      </c>
      <c r="AW399" s="17">
        <v>11.646000000000001</v>
      </c>
      <c r="AX399" s="17">
        <v>24.068999999999999</v>
      </c>
      <c r="AY399" s="17">
        <v>16.414000000000001</v>
      </c>
      <c r="AZ399" s="17">
        <v>17.317</v>
      </c>
      <c r="BA399" s="17">
        <v>27.213999999999999</v>
      </c>
      <c r="BB399" s="17">
        <v>38.921999999999997</v>
      </c>
      <c r="BC399" s="17">
        <v>53.453000000000003</v>
      </c>
      <c r="BD399" s="53"/>
      <c r="BE399" s="53"/>
      <c r="BF399" s="2"/>
      <c r="BG399" s="86"/>
      <c r="BH399" s="86"/>
      <c r="BI399" s="86"/>
      <c r="BJ399" s="86"/>
      <c r="BK399" s="86"/>
    </row>
    <row r="400" spans="1:63" ht="11.25" customHeight="1">
      <c r="A400" s="2"/>
      <c r="B400" s="31" t="s">
        <v>208</v>
      </c>
      <c r="C400" s="2"/>
      <c r="D400" s="20">
        <f>SUM(D395:D399)</f>
        <v>802.46999999999991</v>
      </c>
      <c r="E400" s="20">
        <f t="shared" ref="E400:T400" si="1106">SUM(E395:E399)</f>
        <v>860.03200000000004</v>
      </c>
      <c r="F400" s="20">
        <f t="shared" si="1106"/>
        <v>1029.674</v>
      </c>
      <c r="G400" s="20">
        <f t="shared" si="1106"/>
        <v>1092.1850000000002</v>
      </c>
      <c r="H400" s="20">
        <f t="shared" si="1106"/>
        <v>1139.787</v>
      </c>
      <c r="I400" s="20">
        <f t="shared" si="1106"/>
        <v>1241.1039999999998</v>
      </c>
      <c r="J400" s="20">
        <f t="shared" si="1106"/>
        <v>1370.6389999999999</v>
      </c>
      <c r="K400" s="20">
        <f t="shared" si="1106"/>
        <v>1607.0729999999999</v>
      </c>
      <c r="L400" s="20">
        <f t="shared" si="1106"/>
        <v>1722.2379999999998</v>
      </c>
      <c r="M400" s="20">
        <f t="shared" si="1106"/>
        <v>1905.8659999999998</v>
      </c>
      <c r="N400" s="20">
        <f t="shared" si="1106"/>
        <v>2014.2319999999997</v>
      </c>
      <c r="O400" s="20">
        <f t="shared" si="1106"/>
        <v>2052.8969999999999</v>
      </c>
      <c r="P400" s="20">
        <f t="shared" si="1106"/>
        <v>1995.7269999999999</v>
      </c>
      <c r="Q400" s="20">
        <f t="shared" si="1106"/>
        <v>1959.9639999999999</v>
      </c>
      <c r="R400" s="20">
        <f t="shared" si="1106"/>
        <v>2082.4770000000003</v>
      </c>
      <c r="S400" s="20">
        <f t="shared" si="1106"/>
        <v>2194.0329999999999</v>
      </c>
      <c r="T400" s="20">
        <f t="shared" si="1106"/>
        <v>2452.7669999999998</v>
      </c>
      <c r="U400" s="20">
        <f t="shared" ref="U400:V400" si="1107">SUM(U395:U399)</f>
        <v>2591.6579999999999</v>
      </c>
      <c r="V400" s="20">
        <f t="shared" si="1107"/>
        <v>2773.9140000000002</v>
      </c>
      <c r="W400" s="16"/>
      <c r="X400" s="16"/>
      <c r="Y400" s="16"/>
      <c r="Z400" s="16"/>
      <c r="AA400" s="16"/>
      <c r="AB400" s="16"/>
      <c r="AC400" s="20">
        <f>SUM(AC395:AC399)</f>
        <v>34.320999999999998</v>
      </c>
      <c r="AD400" s="20">
        <f t="shared" ref="AD400:AQ400" si="1108">SUM(AD395:AD399)</f>
        <v>28.541000000000004</v>
      </c>
      <c r="AE400" s="20">
        <f t="shared" si="1108"/>
        <v>41.683999999999997</v>
      </c>
      <c r="AF400" s="20">
        <f t="shared" si="1108"/>
        <v>93.194000000000003</v>
      </c>
      <c r="AG400" s="20">
        <f t="shared" si="1108"/>
        <v>70.801000000000002</v>
      </c>
      <c r="AH400" s="20">
        <f t="shared" si="1108"/>
        <v>102.53699999999999</v>
      </c>
      <c r="AI400" s="20">
        <f t="shared" si="1108"/>
        <v>166.542</v>
      </c>
      <c r="AJ400" s="20">
        <f t="shared" si="1108"/>
        <v>184.44900000000001</v>
      </c>
      <c r="AK400" s="20">
        <f t="shared" si="1108"/>
        <v>212.255</v>
      </c>
      <c r="AL400" s="20">
        <f t="shared" si="1108"/>
        <v>260.31700000000001</v>
      </c>
      <c r="AM400" s="20">
        <f t="shared" si="1108"/>
        <v>249.822</v>
      </c>
      <c r="AN400" s="20">
        <f t="shared" si="1108"/>
        <v>252.619</v>
      </c>
      <c r="AO400" s="20">
        <f t="shared" si="1108"/>
        <v>259.80400000000003</v>
      </c>
      <c r="AP400" s="20">
        <f t="shared" si="1108"/>
        <v>261.51900000000001</v>
      </c>
      <c r="AQ400" s="20">
        <f t="shared" si="1108"/>
        <v>225.26000000000002</v>
      </c>
      <c r="AR400" s="20">
        <f>SUM(AR395:AR399)</f>
        <v>250.32599999999999</v>
      </c>
      <c r="AS400" s="20">
        <f t="shared" ref="AS400:BC400" si="1109">SUM(AS395:AS399)</f>
        <v>358.48700000000002</v>
      </c>
      <c r="AT400" s="20">
        <f t="shared" si="1109"/>
        <v>626.56599999999992</v>
      </c>
      <c r="AU400" s="20">
        <f t="shared" si="1109"/>
        <v>746.74400000000014</v>
      </c>
      <c r="AV400" s="20">
        <f t="shared" si="1109"/>
        <v>817.72900000000004</v>
      </c>
      <c r="AW400" s="20">
        <f t="shared" si="1109"/>
        <v>857.20299999999997</v>
      </c>
      <c r="AX400" s="20">
        <f t="shared" si="1109"/>
        <v>951.68</v>
      </c>
      <c r="AY400" s="20">
        <f t="shared" si="1109"/>
        <v>822.61399999999992</v>
      </c>
      <c r="AZ400" s="20">
        <f t="shared" si="1109"/>
        <v>1092.1850000000002</v>
      </c>
      <c r="BA400" s="20">
        <f t="shared" si="1109"/>
        <v>1607.0729999999999</v>
      </c>
      <c r="BB400" s="20">
        <f t="shared" si="1109"/>
        <v>2052.8969999999999</v>
      </c>
      <c r="BC400" s="20">
        <f t="shared" si="1109"/>
        <v>2194.0329999999999</v>
      </c>
      <c r="BD400" s="14"/>
      <c r="BE400" s="14"/>
      <c r="BF400" s="2"/>
      <c r="BG400" s="86"/>
      <c r="BH400" s="86"/>
      <c r="BI400" s="86"/>
      <c r="BJ400" s="86"/>
      <c r="BK400" s="86"/>
    </row>
    <row r="401" spans="1:63" ht="11.25" customHeight="1">
      <c r="A401" s="2"/>
      <c r="B401" s="30"/>
      <c r="C401" s="2"/>
      <c r="D401" s="20"/>
      <c r="E401" s="20"/>
      <c r="F401" s="20"/>
      <c r="G401" s="20"/>
      <c r="H401" s="20"/>
      <c r="I401" s="20"/>
      <c r="J401" s="20"/>
      <c r="K401" s="20"/>
      <c r="L401" s="20"/>
      <c r="M401" s="20"/>
      <c r="N401" s="20"/>
      <c r="O401" s="20"/>
      <c r="P401" s="20"/>
      <c r="Q401" s="20"/>
      <c r="R401" s="20"/>
      <c r="S401" s="20"/>
      <c r="T401" s="20"/>
      <c r="U401" s="20"/>
      <c r="V401" s="20"/>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4"/>
      <c r="BE401" s="14"/>
      <c r="BF401" s="2"/>
      <c r="BG401" s="86"/>
      <c r="BH401" s="86"/>
      <c r="BI401" s="86"/>
      <c r="BJ401" s="86"/>
      <c r="BK401" s="86"/>
    </row>
    <row r="402" spans="1:63" ht="11.25" customHeight="1">
      <c r="A402" s="2"/>
      <c r="B402" s="238" t="s">
        <v>117</v>
      </c>
      <c r="C402" s="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4"/>
      <c r="BE402" s="14"/>
      <c r="BF402" s="2"/>
      <c r="BG402" s="86"/>
      <c r="BH402" s="86"/>
      <c r="BI402" s="86"/>
      <c r="BJ402" s="86"/>
      <c r="BK402" s="86"/>
    </row>
    <row r="403" spans="1:63" ht="11.25" customHeight="1">
      <c r="A403" s="2"/>
      <c r="B403" s="30" t="s">
        <v>154</v>
      </c>
      <c r="C403" s="2"/>
      <c r="D403" s="16">
        <v>31.033000000000001</v>
      </c>
      <c r="E403" s="16">
        <v>22.917000000000002</v>
      </c>
      <c r="F403" s="16">
        <v>26.515000000000001</v>
      </c>
      <c r="G403" s="16">
        <v>27.728000000000002</v>
      </c>
      <c r="H403" s="16">
        <v>29.13</v>
      </c>
      <c r="I403" s="16">
        <v>29.062999999999999</v>
      </c>
      <c r="J403" s="16">
        <v>27.73</v>
      </c>
      <c r="K403" s="16">
        <v>29.384</v>
      </c>
      <c r="L403" s="16">
        <v>45.737000000000002</v>
      </c>
      <c r="M403" s="16">
        <v>64.44</v>
      </c>
      <c r="N403" s="16">
        <v>75.796000000000006</v>
      </c>
      <c r="O403" s="16">
        <v>68.927999999999997</v>
      </c>
      <c r="P403" s="16">
        <v>69.914000000000001</v>
      </c>
      <c r="Q403" s="16">
        <v>94.61</v>
      </c>
      <c r="R403" s="16">
        <v>116.34699999999999</v>
      </c>
      <c r="S403" s="16">
        <v>129.44200000000001</v>
      </c>
      <c r="T403" s="16">
        <v>138.46899999999999</v>
      </c>
      <c r="U403" s="16">
        <v>140.22</v>
      </c>
      <c r="V403" s="16">
        <v>127.33199999999999</v>
      </c>
      <c r="W403" s="16"/>
      <c r="X403" s="16"/>
      <c r="Y403" s="16"/>
      <c r="Z403" s="16"/>
      <c r="AA403" s="16"/>
      <c r="AB403" s="16"/>
      <c r="AC403" s="16">
        <v>7.1619999999999999</v>
      </c>
      <c r="AD403" s="16">
        <v>6.6589999999999998</v>
      </c>
      <c r="AE403" s="16">
        <v>16.164999999999999</v>
      </c>
      <c r="AF403" s="16">
        <v>9.8140000000000001</v>
      </c>
      <c r="AG403" s="16">
        <v>11.599</v>
      </c>
      <c r="AH403" s="16">
        <v>10.635</v>
      </c>
      <c r="AI403" s="16">
        <v>10.747999999999999</v>
      </c>
      <c r="AJ403" s="16">
        <v>38.101999999999997</v>
      </c>
      <c r="AK403" s="16">
        <v>42.427999999999997</v>
      </c>
      <c r="AL403" s="16">
        <v>53.895000000000003</v>
      </c>
      <c r="AM403" s="16">
        <v>36.460999999999999</v>
      </c>
      <c r="AN403" s="16">
        <v>39.981999999999999</v>
      </c>
      <c r="AO403" s="16">
        <v>37.844999999999999</v>
      </c>
      <c r="AP403" s="16">
        <v>39.776000000000003</v>
      </c>
      <c r="AQ403" s="16">
        <v>34.459000000000003</v>
      </c>
      <c r="AR403" s="16">
        <v>65.716999999999999</v>
      </c>
      <c r="AS403" s="16">
        <v>89.183999999999997</v>
      </c>
      <c r="AT403" s="16">
        <v>30.056000000000001</v>
      </c>
      <c r="AU403" s="16">
        <v>34.994</v>
      </c>
      <c r="AV403" s="16">
        <v>46.154000000000003</v>
      </c>
      <c r="AW403" s="16">
        <v>41.569000000000003</v>
      </c>
      <c r="AX403" s="16">
        <v>29.305</v>
      </c>
      <c r="AY403" s="16">
        <v>30.172000000000001</v>
      </c>
      <c r="AZ403" s="16">
        <v>27.728000000000002</v>
      </c>
      <c r="BA403" s="16">
        <v>29.384</v>
      </c>
      <c r="BB403" s="16">
        <v>68.927999999999997</v>
      </c>
      <c r="BC403" s="16">
        <v>129.44200000000001</v>
      </c>
      <c r="BD403" s="14"/>
      <c r="BE403" s="14"/>
      <c r="BF403" s="2"/>
      <c r="BG403" s="86"/>
      <c r="BH403" s="86"/>
      <c r="BI403" s="86"/>
      <c r="BJ403" s="86"/>
      <c r="BK403" s="86"/>
    </row>
    <row r="404" spans="1:63" ht="11.25" customHeight="1">
      <c r="A404" s="2"/>
      <c r="B404" s="30" t="s">
        <v>155</v>
      </c>
      <c r="C404" s="2"/>
      <c r="D404" s="16">
        <v>1438.2159999999999</v>
      </c>
      <c r="E404" s="16">
        <v>1493.5609999999999</v>
      </c>
      <c r="F404" s="16">
        <v>1504.4380000000001</v>
      </c>
      <c r="G404" s="16">
        <v>1555.5889999999999</v>
      </c>
      <c r="H404" s="16">
        <v>1658.5509999999999</v>
      </c>
      <c r="I404" s="16">
        <v>1722.6790000000001</v>
      </c>
      <c r="J404" s="16">
        <v>1828.895</v>
      </c>
      <c r="K404" s="16">
        <v>1975.1189999999999</v>
      </c>
      <c r="L404" s="16">
        <v>2104.3310000000001</v>
      </c>
      <c r="M404" s="16">
        <v>2248.319</v>
      </c>
      <c r="N404" s="16">
        <v>2411.4899999999998</v>
      </c>
      <c r="O404" s="16">
        <v>2693.837</v>
      </c>
      <c r="P404" s="16">
        <v>2833.3969999999999</v>
      </c>
      <c r="Q404" s="16">
        <v>2947.2339999999999</v>
      </c>
      <c r="R404" s="16">
        <v>3132.6640000000002</v>
      </c>
      <c r="S404" s="16">
        <v>3064.4749999999999</v>
      </c>
      <c r="T404" s="16">
        <v>3051.848</v>
      </c>
      <c r="U404" s="16">
        <v>3105.86</v>
      </c>
      <c r="V404" s="16">
        <v>3071.5990000000002</v>
      </c>
      <c r="W404" s="17"/>
      <c r="X404" s="17"/>
      <c r="Y404" s="17"/>
      <c r="Z404" s="17"/>
      <c r="AA404" s="17"/>
      <c r="AB404" s="17"/>
      <c r="AC404" s="16">
        <v>79.105000000000004</v>
      </c>
      <c r="AD404" s="16">
        <v>98.700999999999993</v>
      </c>
      <c r="AE404" s="16">
        <v>120.68</v>
      </c>
      <c r="AF404" s="16">
        <v>244.74799999999999</v>
      </c>
      <c r="AG404" s="16">
        <v>251.28800000000001</v>
      </c>
      <c r="AH404" s="16">
        <v>246.49799999999999</v>
      </c>
      <c r="AI404" s="16">
        <v>211.85400000000001</v>
      </c>
      <c r="AJ404" s="16">
        <v>258.911</v>
      </c>
      <c r="AK404" s="16">
        <v>244.82300000000001</v>
      </c>
      <c r="AL404" s="16">
        <v>254.09399999999999</v>
      </c>
      <c r="AM404" s="16">
        <v>260.25200000000001</v>
      </c>
      <c r="AN404" s="16">
        <v>243.64500000000001</v>
      </c>
      <c r="AO404" s="16">
        <v>273.67500000000001</v>
      </c>
      <c r="AP404" s="16">
        <v>388.44400000000002</v>
      </c>
      <c r="AQ404" s="16">
        <v>490.375</v>
      </c>
      <c r="AR404" s="16">
        <v>617.56200000000001</v>
      </c>
      <c r="AS404" s="16">
        <v>792.66600000000005</v>
      </c>
      <c r="AT404" s="16">
        <v>818.19899999999996</v>
      </c>
      <c r="AU404" s="16">
        <v>853.47</v>
      </c>
      <c r="AV404" s="16">
        <v>997.77800000000002</v>
      </c>
      <c r="AW404" s="16">
        <v>1062.5429999999999</v>
      </c>
      <c r="AX404" s="16">
        <v>1072.05</v>
      </c>
      <c r="AY404" s="16">
        <v>1352.377</v>
      </c>
      <c r="AZ404" s="16">
        <v>1555.5889999999999</v>
      </c>
      <c r="BA404" s="16">
        <v>1975.1189999999999</v>
      </c>
      <c r="BB404" s="16">
        <v>2693.837</v>
      </c>
      <c r="BC404" s="16">
        <v>3064.4749999999999</v>
      </c>
      <c r="BD404" s="15"/>
      <c r="BE404" s="15"/>
      <c r="BF404" s="2"/>
      <c r="BG404" s="86"/>
      <c r="BH404" s="86"/>
      <c r="BI404" s="86"/>
      <c r="BJ404" s="86"/>
      <c r="BK404" s="86"/>
    </row>
    <row r="405" spans="1:63" ht="13.5" customHeight="1">
      <c r="A405" s="2"/>
      <c r="B405" s="30" t="s">
        <v>209</v>
      </c>
      <c r="C405" s="2"/>
      <c r="D405" s="17">
        <v>71.576999999999998</v>
      </c>
      <c r="E405" s="17">
        <v>72.155000000000001</v>
      </c>
      <c r="F405" s="17">
        <v>74.944999999999993</v>
      </c>
      <c r="G405" s="17">
        <v>85.209000000000003</v>
      </c>
      <c r="H405" s="17">
        <v>91.662999999999997</v>
      </c>
      <c r="I405" s="17">
        <v>99.968999999999994</v>
      </c>
      <c r="J405" s="17">
        <v>105.048</v>
      </c>
      <c r="K405" s="17">
        <v>113.92700000000001</v>
      </c>
      <c r="L405" s="17">
        <v>120.371</v>
      </c>
      <c r="M405" s="17">
        <v>127.316</v>
      </c>
      <c r="N405" s="17">
        <v>141.78399999999999</v>
      </c>
      <c r="O405" s="17">
        <v>149.11699999999999</v>
      </c>
      <c r="P405" s="17">
        <v>146.80600000000001</v>
      </c>
      <c r="Q405" s="17">
        <v>147.65700000000001</v>
      </c>
      <c r="R405" s="17">
        <v>153.06800000000001</v>
      </c>
      <c r="S405" s="17">
        <v>144.42099999999999</v>
      </c>
      <c r="T405" s="17">
        <v>144.80699999999999</v>
      </c>
      <c r="U405" s="17">
        <v>144.626</v>
      </c>
      <c r="V405" s="17">
        <v>192.81299999999999</v>
      </c>
      <c r="W405" s="16"/>
      <c r="X405" s="16"/>
      <c r="Y405" s="16"/>
      <c r="Z405" s="16"/>
      <c r="AA405" s="16"/>
      <c r="AB405" s="16"/>
      <c r="AC405" s="17">
        <v>4.0140000000000002</v>
      </c>
      <c r="AD405" s="17">
        <v>6.86</v>
      </c>
      <c r="AE405" s="17">
        <v>5.1580000000000004</v>
      </c>
      <c r="AF405" s="17">
        <v>23.13</v>
      </c>
      <c r="AG405" s="17">
        <v>32.83</v>
      </c>
      <c r="AH405" s="17">
        <v>30.872</v>
      </c>
      <c r="AI405" s="17">
        <v>18.257000000000001</v>
      </c>
      <c r="AJ405" s="17">
        <v>17.992000000000001</v>
      </c>
      <c r="AK405" s="17">
        <v>20.004000000000001</v>
      </c>
      <c r="AL405" s="17">
        <v>19.178999999999998</v>
      </c>
      <c r="AM405" s="17">
        <v>24.33</v>
      </c>
      <c r="AN405" s="17">
        <v>22.670999999999999</v>
      </c>
      <c r="AO405" s="17">
        <v>23.372</v>
      </c>
      <c r="AP405" s="17">
        <v>29.19</v>
      </c>
      <c r="AQ405" s="17">
        <v>24.170999999999999</v>
      </c>
      <c r="AR405" s="17">
        <v>27.75</v>
      </c>
      <c r="AS405" s="17">
        <v>22.718</v>
      </c>
      <c r="AT405" s="17">
        <v>20.228000000000002</v>
      </c>
      <c r="AU405" s="17">
        <v>22.31</v>
      </c>
      <c r="AV405" s="17">
        <v>24.794</v>
      </c>
      <c r="AW405" s="17">
        <v>30.547000000000001</v>
      </c>
      <c r="AX405" s="17">
        <v>37.093000000000004</v>
      </c>
      <c r="AY405" s="17">
        <v>59.642000000000003</v>
      </c>
      <c r="AZ405" s="17">
        <v>85.209000000000003</v>
      </c>
      <c r="BA405" s="17">
        <v>113.92700000000001</v>
      </c>
      <c r="BB405" s="17">
        <v>149.11699999999999</v>
      </c>
      <c r="BC405" s="17">
        <v>144.42099999999999</v>
      </c>
      <c r="BD405" s="53"/>
      <c r="BE405" s="53"/>
      <c r="BF405" s="2"/>
      <c r="BG405" s="86"/>
      <c r="BH405" s="86"/>
      <c r="BI405" s="86"/>
      <c r="BJ405" s="86"/>
      <c r="BK405" s="86"/>
    </row>
    <row r="406" spans="1:63" ht="11.25" customHeight="1">
      <c r="A406" s="2"/>
      <c r="B406" s="31" t="s">
        <v>210</v>
      </c>
      <c r="C406" s="2"/>
      <c r="D406" s="20">
        <f>SUM(D403:D405)</f>
        <v>1540.8259999999998</v>
      </c>
      <c r="E406" s="20">
        <f t="shared" ref="E406:T406" si="1110">SUM(E403:E405)</f>
        <v>1588.6329999999998</v>
      </c>
      <c r="F406" s="20">
        <f t="shared" si="1110"/>
        <v>1605.8980000000001</v>
      </c>
      <c r="G406" s="20">
        <f t="shared" si="1110"/>
        <v>1668.5260000000001</v>
      </c>
      <c r="H406" s="20">
        <f t="shared" si="1110"/>
        <v>1779.3440000000001</v>
      </c>
      <c r="I406" s="20">
        <f t="shared" si="1110"/>
        <v>1851.7110000000002</v>
      </c>
      <c r="J406" s="20">
        <f t="shared" si="1110"/>
        <v>1961.673</v>
      </c>
      <c r="K406" s="20">
        <f t="shared" si="1110"/>
        <v>2118.4299999999998</v>
      </c>
      <c r="L406" s="20">
        <f t="shared" si="1110"/>
        <v>2270.4390000000003</v>
      </c>
      <c r="M406" s="20">
        <f t="shared" si="1110"/>
        <v>2440.0749999999998</v>
      </c>
      <c r="N406" s="20">
        <f t="shared" si="1110"/>
        <v>2629.0699999999997</v>
      </c>
      <c r="O406" s="20">
        <f t="shared" si="1110"/>
        <v>2911.8820000000001</v>
      </c>
      <c r="P406" s="20">
        <f t="shared" si="1110"/>
        <v>3050.1170000000002</v>
      </c>
      <c r="Q406" s="20">
        <f t="shared" si="1110"/>
        <v>3189.5010000000002</v>
      </c>
      <c r="R406" s="20">
        <f t="shared" si="1110"/>
        <v>3402.0790000000006</v>
      </c>
      <c r="S406" s="20">
        <f t="shared" si="1110"/>
        <v>3338.3379999999997</v>
      </c>
      <c r="T406" s="20">
        <f t="shared" si="1110"/>
        <v>3335.1239999999998</v>
      </c>
      <c r="U406" s="20">
        <f t="shared" ref="U406:V406" si="1111">SUM(U403:U405)</f>
        <v>3390.7060000000001</v>
      </c>
      <c r="V406" s="20">
        <f t="shared" si="1111"/>
        <v>3391.7440000000001</v>
      </c>
      <c r="W406" s="20"/>
      <c r="X406" s="20"/>
      <c r="Y406" s="20"/>
      <c r="Z406" s="20"/>
      <c r="AA406" s="20"/>
      <c r="AB406" s="20"/>
      <c r="AC406" s="20">
        <f>SUM(AC403:AC405)</f>
        <v>90.281000000000006</v>
      </c>
      <c r="AD406" s="20">
        <f t="shared" ref="AD406:AQ406" si="1112">SUM(AD403:AD405)</f>
        <v>112.22</v>
      </c>
      <c r="AE406" s="20">
        <f t="shared" si="1112"/>
        <v>142.00299999999999</v>
      </c>
      <c r="AF406" s="20">
        <f t="shared" si="1112"/>
        <v>277.69200000000001</v>
      </c>
      <c r="AG406" s="20">
        <f t="shared" si="1112"/>
        <v>295.71699999999998</v>
      </c>
      <c r="AH406" s="20">
        <f t="shared" si="1112"/>
        <v>288.005</v>
      </c>
      <c r="AI406" s="20">
        <f t="shared" si="1112"/>
        <v>240.85900000000001</v>
      </c>
      <c r="AJ406" s="20">
        <f t="shared" si="1112"/>
        <v>315.005</v>
      </c>
      <c r="AK406" s="20">
        <f t="shared" si="1112"/>
        <v>307.255</v>
      </c>
      <c r="AL406" s="20">
        <f t="shared" si="1112"/>
        <v>327.16799999999995</v>
      </c>
      <c r="AM406" s="20">
        <f t="shared" si="1112"/>
        <v>321.04300000000001</v>
      </c>
      <c r="AN406" s="20">
        <f t="shared" si="1112"/>
        <v>306.298</v>
      </c>
      <c r="AO406" s="20">
        <f t="shared" si="1112"/>
        <v>334.892</v>
      </c>
      <c r="AP406" s="20">
        <f t="shared" si="1112"/>
        <v>457.41</v>
      </c>
      <c r="AQ406" s="20">
        <f t="shared" si="1112"/>
        <v>549.00500000000011</v>
      </c>
      <c r="AR406" s="20">
        <f>SUM(AR403:AR405)</f>
        <v>711.029</v>
      </c>
      <c r="AS406" s="20">
        <f t="shared" ref="AS406:BC406" si="1113">SUM(AS403:AS405)</f>
        <v>904.56799999999998</v>
      </c>
      <c r="AT406" s="20">
        <f t="shared" si="1113"/>
        <v>868.48299999999995</v>
      </c>
      <c r="AU406" s="20">
        <f t="shared" si="1113"/>
        <v>910.774</v>
      </c>
      <c r="AV406" s="20">
        <f t="shared" si="1113"/>
        <v>1068.7260000000001</v>
      </c>
      <c r="AW406" s="20">
        <f t="shared" si="1113"/>
        <v>1134.6589999999999</v>
      </c>
      <c r="AX406" s="20">
        <f t="shared" si="1113"/>
        <v>1138.4480000000001</v>
      </c>
      <c r="AY406" s="20">
        <f t="shared" si="1113"/>
        <v>1442.191</v>
      </c>
      <c r="AZ406" s="20">
        <f t="shared" si="1113"/>
        <v>1668.5260000000001</v>
      </c>
      <c r="BA406" s="20">
        <f t="shared" si="1113"/>
        <v>2118.4299999999998</v>
      </c>
      <c r="BB406" s="20">
        <f t="shared" si="1113"/>
        <v>2911.8820000000001</v>
      </c>
      <c r="BC406" s="20">
        <f t="shared" si="1113"/>
        <v>3338.3379999999997</v>
      </c>
      <c r="BD406" s="53"/>
      <c r="BE406" s="53"/>
      <c r="BF406" s="2"/>
      <c r="BG406" s="208"/>
      <c r="BH406" s="208"/>
      <c r="BI406" s="208"/>
      <c r="BJ406" s="208"/>
      <c r="BK406" s="208"/>
    </row>
    <row r="407" spans="1:63" ht="11.25" customHeight="1">
      <c r="A407" s="2"/>
      <c r="B407" s="25"/>
      <c r="C407" s="2"/>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53"/>
      <c r="BE407" s="53"/>
      <c r="BF407" s="2"/>
      <c r="BG407" s="208"/>
      <c r="BH407" s="208"/>
      <c r="BI407" s="208"/>
      <c r="BJ407" s="208"/>
      <c r="BK407" s="208"/>
    </row>
    <row r="408" spans="1:63" ht="11.25" customHeight="1">
      <c r="A408" s="2"/>
      <c r="B408" s="2" t="s">
        <v>118</v>
      </c>
      <c r="C408" s="2"/>
      <c r="D408" s="20">
        <f>D400+D406</f>
        <v>2343.2959999999998</v>
      </c>
      <c r="E408" s="20">
        <f t="shared" ref="E408:T408" si="1114">E400+E406</f>
        <v>2448.665</v>
      </c>
      <c r="F408" s="20">
        <f t="shared" si="1114"/>
        <v>2635.5720000000001</v>
      </c>
      <c r="G408" s="20">
        <f t="shared" si="1114"/>
        <v>2760.7110000000002</v>
      </c>
      <c r="H408" s="20">
        <f t="shared" si="1114"/>
        <v>2919.1310000000003</v>
      </c>
      <c r="I408" s="20">
        <f t="shared" si="1114"/>
        <v>3092.8150000000001</v>
      </c>
      <c r="J408" s="20">
        <f t="shared" si="1114"/>
        <v>3332.3119999999999</v>
      </c>
      <c r="K408" s="20">
        <f t="shared" si="1114"/>
        <v>3725.5029999999997</v>
      </c>
      <c r="L408" s="20">
        <f t="shared" si="1114"/>
        <v>3992.6770000000001</v>
      </c>
      <c r="M408" s="20">
        <f t="shared" si="1114"/>
        <v>4345.9409999999998</v>
      </c>
      <c r="N408" s="20">
        <f t="shared" si="1114"/>
        <v>4643.3019999999997</v>
      </c>
      <c r="O408" s="20">
        <f t="shared" si="1114"/>
        <v>4964.7790000000005</v>
      </c>
      <c r="P408" s="20">
        <f t="shared" si="1114"/>
        <v>5045.8440000000001</v>
      </c>
      <c r="Q408" s="20">
        <f t="shared" si="1114"/>
        <v>5149.4650000000001</v>
      </c>
      <c r="R408" s="20">
        <f t="shared" si="1114"/>
        <v>5484.5560000000005</v>
      </c>
      <c r="S408" s="20">
        <f t="shared" si="1114"/>
        <v>5532.3709999999992</v>
      </c>
      <c r="T408" s="20">
        <f t="shared" si="1114"/>
        <v>5787.8909999999996</v>
      </c>
      <c r="U408" s="20">
        <f t="shared" ref="U408:V408" si="1115">U400+U406</f>
        <v>5982.3639999999996</v>
      </c>
      <c r="V408" s="20">
        <f t="shared" si="1115"/>
        <v>6165.6580000000004</v>
      </c>
      <c r="W408" s="16"/>
      <c r="X408" s="16"/>
      <c r="Y408" s="16"/>
      <c r="Z408" s="16"/>
      <c r="AA408" s="16"/>
      <c r="AB408" s="16"/>
      <c r="AC408" s="20">
        <f>AC400+AC406</f>
        <v>124.602</v>
      </c>
      <c r="AD408" s="20">
        <f t="shared" ref="AD408:AQ408" si="1116">AD400+AD406</f>
        <v>140.761</v>
      </c>
      <c r="AE408" s="20">
        <f t="shared" si="1116"/>
        <v>183.68699999999998</v>
      </c>
      <c r="AF408" s="20">
        <f t="shared" si="1116"/>
        <v>370.88600000000002</v>
      </c>
      <c r="AG408" s="20">
        <f t="shared" si="1116"/>
        <v>366.51799999999997</v>
      </c>
      <c r="AH408" s="20">
        <f t="shared" si="1116"/>
        <v>390.54199999999997</v>
      </c>
      <c r="AI408" s="20">
        <f t="shared" si="1116"/>
        <v>407.40100000000001</v>
      </c>
      <c r="AJ408" s="20">
        <f t="shared" si="1116"/>
        <v>499.45400000000001</v>
      </c>
      <c r="AK408" s="20">
        <f t="shared" si="1116"/>
        <v>519.51</v>
      </c>
      <c r="AL408" s="20">
        <f t="shared" si="1116"/>
        <v>587.4849999999999</v>
      </c>
      <c r="AM408" s="20">
        <f t="shared" si="1116"/>
        <v>570.86500000000001</v>
      </c>
      <c r="AN408" s="20">
        <f t="shared" si="1116"/>
        <v>558.91700000000003</v>
      </c>
      <c r="AO408" s="20">
        <f t="shared" si="1116"/>
        <v>594.69600000000003</v>
      </c>
      <c r="AP408" s="20">
        <f t="shared" si="1116"/>
        <v>718.92900000000009</v>
      </c>
      <c r="AQ408" s="20">
        <f t="shared" si="1116"/>
        <v>774.2650000000001</v>
      </c>
      <c r="AR408" s="20">
        <f>AR400+AR406</f>
        <v>961.35500000000002</v>
      </c>
      <c r="AS408" s="20">
        <f t="shared" ref="AS408:BC408" si="1117">AS400+AS406</f>
        <v>1263.0550000000001</v>
      </c>
      <c r="AT408" s="20">
        <f t="shared" si="1117"/>
        <v>1495.049</v>
      </c>
      <c r="AU408" s="20">
        <f t="shared" si="1117"/>
        <v>1657.518</v>
      </c>
      <c r="AV408" s="20">
        <f t="shared" si="1117"/>
        <v>1886.4550000000002</v>
      </c>
      <c r="AW408" s="20">
        <f t="shared" si="1117"/>
        <v>1991.8619999999999</v>
      </c>
      <c r="AX408" s="20">
        <f t="shared" si="1117"/>
        <v>2090.1280000000002</v>
      </c>
      <c r="AY408" s="20">
        <f t="shared" si="1117"/>
        <v>2264.8049999999998</v>
      </c>
      <c r="AZ408" s="20">
        <f t="shared" si="1117"/>
        <v>2760.7110000000002</v>
      </c>
      <c r="BA408" s="20">
        <f t="shared" si="1117"/>
        <v>3725.5029999999997</v>
      </c>
      <c r="BB408" s="20">
        <f t="shared" si="1117"/>
        <v>4964.7790000000005</v>
      </c>
      <c r="BC408" s="20">
        <f t="shared" si="1117"/>
        <v>5532.3709999999992</v>
      </c>
      <c r="BD408" s="14"/>
      <c r="BE408" s="14"/>
      <c r="BF408" s="2"/>
      <c r="BG408" s="86"/>
      <c r="BH408" s="86"/>
      <c r="BI408" s="86"/>
      <c r="BJ408" s="86"/>
      <c r="BK408" s="86"/>
    </row>
    <row r="409" spans="1:63" ht="11.25" customHeight="1">
      <c r="A409" s="2"/>
      <c r="B409" s="2"/>
      <c r="C409" s="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4"/>
      <c r="BE409" s="14"/>
      <c r="BF409" s="2"/>
      <c r="BG409" s="86"/>
      <c r="BH409" s="86"/>
      <c r="BI409" s="86"/>
      <c r="BJ409" s="86"/>
      <c r="BK409" s="86"/>
    </row>
    <row r="410" spans="1:63" ht="11.25" customHeight="1">
      <c r="A410" s="2"/>
      <c r="B410" s="65" t="s">
        <v>218</v>
      </c>
      <c r="C410" s="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4"/>
      <c r="BE410" s="14"/>
      <c r="BF410" s="2"/>
      <c r="BG410" s="86"/>
      <c r="BH410" s="86"/>
      <c r="BI410" s="86"/>
      <c r="BJ410" s="86"/>
      <c r="BK410" s="86"/>
    </row>
    <row r="411" spans="1:63" ht="11.25" customHeight="1">
      <c r="A411" s="2"/>
      <c r="B411" s="25" t="s">
        <v>119</v>
      </c>
      <c r="C411" s="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4"/>
      <c r="BE411" s="14"/>
      <c r="BF411" s="2"/>
      <c r="BG411" s="86"/>
      <c r="BH411" s="86"/>
      <c r="BI411" s="86"/>
      <c r="BJ411" s="86"/>
      <c r="BK411" s="86"/>
    </row>
    <row r="412" spans="1:63" ht="11.25" customHeight="1">
      <c r="A412" s="2"/>
      <c r="B412" s="2" t="s">
        <v>211</v>
      </c>
      <c r="C412" s="2"/>
      <c r="D412" s="16">
        <v>139.31</v>
      </c>
      <c r="E412" s="16">
        <v>169.547</v>
      </c>
      <c r="F412" s="16">
        <v>155.37799999999999</v>
      </c>
      <c r="G412" s="16">
        <v>88.558999999999997</v>
      </c>
      <c r="H412" s="16">
        <v>137.124</v>
      </c>
      <c r="I412" s="16">
        <v>139.381</v>
      </c>
      <c r="J412" s="16">
        <v>118.84399999999999</v>
      </c>
      <c r="K412" s="16">
        <v>114.92100000000001</v>
      </c>
      <c r="L412" s="16">
        <v>144.55099999999999</v>
      </c>
      <c r="M412" s="16">
        <v>115.58499999999999</v>
      </c>
      <c r="N412" s="16">
        <v>0</v>
      </c>
      <c r="O412" s="16">
        <v>0</v>
      </c>
      <c r="P412" s="16">
        <v>0</v>
      </c>
      <c r="Q412" s="16">
        <v>0</v>
      </c>
      <c r="R412" s="16">
        <v>0</v>
      </c>
      <c r="S412" s="16">
        <v>0</v>
      </c>
      <c r="T412" s="16">
        <v>0</v>
      </c>
      <c r="U412" s="16">
        <v>0</v>
      </c>
      <c r="V412" s="16">
        <v>0</v>
      </c>
      <c r="W412" s="16"/>
      <c r="X412" s="16"/>
      <c r="Y412" s="16"/>
      <c r="Z412" s="16"/>
      <c r="AA412" s="16"/>
      <c r="AB412" s="16"/>
      <c r="AC412" s="16">
        <v>0.25</v>
      </c>
      <c r="AD412" s="16">
        <v>0</v>
      </c>
      <c r="AE412" s="16">
        <v>0</v>
      </c>
      <c r="AF412" s="16">
        <v>3.8340000000000001</v>
      </c>
      <c r="AG412" s="16">
        <v>6.2690000000000001</v>
      </c>
      <c r="AH412" s="16">
        <v>0.73</v>
      </c>
      <c r="AI412" s="16">
        <v>0.40799999999999997</v>
      </c>
      <c r="AJ412" s="16">
        <v>0.38300000000000001</v>
      </c>
      <c r="AK412" s="16">
        <v>0.32800000000000001</v>
      </c>
      <c r="AL412" s="16">
        <v>0</v>
      </c>
      <c r="AM412" s="16">
        <v>0</v>
      </c>
      <c r="AN412" s="16">
        <v>0</v>
      </c>
      <c r="AO412" s="16">
        <v>0</v>
      </c>
      <c r="AP412" s="16">
        <v>31.213999999999999</v>
      </c>
      <c r="AQ412" s="16">
        <v>25.927</v>
      </c>
      <c r="AR412" s="16">
        <v>34.715000000000003</v>
      </c>
      <c r="AS412" s="16">
        <v>15.645</v>
      </c>
      <c r="AT412" s="16">
        <v>36.158999999999999</v>
      </c>
      <c r="AU412" s="16">
        <v>39.473999999999997</v>
      </c>
      <c r="AV412" s="16">
        <v>57.957999999999998</v>
      </c>
      <c r="AW412" s="16">
        <v>63.767000000000003</v>
      </c>
      <c r="AX412" s="16">
        <v>88.754999999999995</v>
      </c>
      <c r="AY412" s="16">
        <v>118.52200000000001</v>
      </c>
      <c r="AZ412" s="16">
        <v>88.558999999999997</v>
      </c>
      <c r="BA412" s="16">
        <v>114.92100000000001</v>
      </c>
      <c r="BB412" s="16">
        <v>0</v>
      </c>
      <c r="BC412" s="16">
        <v>0</v>
      </c>
      <c r="BD412" s="14"/>
      <c r="BE412" s="14"/>
      <c r="BF412" s="2"/>
      <c r="BG412" s="86"/>
      <c r="BH412" s="86"/>
      <c r="BI412" s="86"/>
      <c r="BJ412" s="86"/>
      <c r="BK412" s="86"/>
    </row>
    <row r="413" spans="1:63" ht="11.25" customHeight="1">
      <c r="A413" s="2"/>
      <c r="B413" s="2" t="s">
        <v>212</v>
      </c>
      <c r="C413" s="2"/>
      <c r="D413" s="16">
        <v>39.774000000000001</v>
      </c>
      <c r="E413" s="16">
        <v>39.533999999999999</v>
      </c>
      <c r="F413" s="16">
        <v>40.892000000000003</v>
      </c>
      <c r="G413" s="16">
        <v>41.094999999999999</v>
      </c>
      <c r="H413" s="16">
        <v>38.597999999999999</v>
      </c>
      <c r="I413" s="16">
        <v>41.23</v>
      </c>
      <c r="J413" s="16">
        <v>43.889000000000003</v>
      </c>
      <c r="K413" s="16">
        <v>48.722999999999999</v>
      </c>
      <c r="L413" s="16">
        <v>50.103999999999999</v>
      </c>
      <c r="M413" s="16">
        <v>59.817999999999998</v>
      </c>
      <c r="N413" s="16">
        <v>62.018000000000001</v>
      </c>
      <c r="O413" s="16">
        <v>56.521999999999998</v>
      </c>
      <c r="P413" s="16">
        <v>47.381999999999998</v>
      </c>
      <c r="Q413" s="16">
        <v>48.972999999999999</v>
      </c>
      <c r="R413" s="16">
        <v>53.771999999999998</v>
      </c>
      <c r="S413" s="16">
        <v>57.292999999999999</v>
      </c>
      <c r="T413" s="16">
        <v>57.61</v>
      </c>
      <c r="U413" s="16">
        <v>63.947000000000003</v>
      </c>
      <c r="V413" s="16">
        <v>70.819999999999993</v>
      </c>
      <c r="W413" s="16"/>
      <c r="X413" s="16"/>
      <c r="Y413" s="16"/>
      <c r="Z413" s="16"/>
      <c r="AA413" s="16"/>
      <c r="AB413" s="16"/>
      <c r="AC413" s="16">
        <v>3.339</v>
      </c>
      <c r="AD413" s="16">
        <v>2.331</v>
      </c>
      <c r="AE413" s="16">
        <v>3.9580000000000002</v>
      </c>
      <c r="AF413" s="16">
        <v>11.114000000000001</v>
      </c>
      <c r="AG413" s="16">
        <v>2.4460000000000002</v>
      </c>
      <c r="AH413" s="16">
        <v>6.915</v>
      </c>
      <c r="AI413" s="16">
        <v>9.6869999999999994</v>
      </c>
      <c r="AJ413" s="16">
        <v>9.4819999999999993</v>
      </c>
      <c r="AK413" s="16">
        <v>11.164999999999999</v>
      </c>
      <c r="AL413" s="16">
        <v>9.8019999999999996</v>
      </c>
      <c r="AM413" s="16">
        <v>13.077999999999999</v>
      </c>
      <c r="AN413" s="16">
        <v>6.0430000000000001</v>
      </c>
      <c r="AO413" s="16">
        <v>11.689</v>
      </c>
      <c r="AP413" s="16">
        <v>12.971</v>
      </c>
      <c r="AQ413" s="16">
        <v>11.859</v>
      </c>
      <c r="AR413" s="16">
        <v>15.239000000000001</v>
      </c>
      <c r="AS413" s="16">
        <v>16.359000000000002</v>
      </c>
      <c r="AT413" s="16">
        <v>23.37</v>
      </c>
      <c r="AU413" s="16">
        <v>19.725000000000001</v>
      </c>
      <c r="AV413" s="16">
        <v>27.324999999999999</v>
      </c>
      <c r="AW413" s="16">
        <v>30.068999999999999</v>
      </c>
      <c r="AX413" s="16">
        <v>34.356999999999999</v>
      </c>
      <c r="AY413" s="16">
        <v>40.206000000000003</v>
      </c>
      <c r="AZ413" s="16">
        <v>41.094999999999999</v>
      </c>
      <c r="BA413" s="16">
        <v>48.722999999999999</v>
      </c>
      <c r="BB413" s="16">
        <v>56.521999999999998</v>
      </c>
      <c r="BC413" s="16">
        <v>57.292999999999999</v>
      </c>
      <c r="BD413" s="14"/>
      <c r="BE413" s="14"/>
      <c r="BF413" s="2"/>
      <c r="BG413" s="86"/>
      <c r="BH413" s="86"/>
      <c r="BI413" s="86"/>
      <c r="BJ413" s="86"/>
      <c r="BK413" s="86"/>
    </row>
    <row r="414" spans="1:63" ht="11.25" customHeight="1">
      <c r="A414" s="2"/>
      <c r="B414" s="18" t="s">
        <v>213</v>
      </c>
      <c r="C414" s="2"/>
      <c r="D414" s="16">
        <v>101.46599999999999</v>
      </c>
      <c r="E414" s="16">
        <v>97.739000000000004</v>
      </c>
      <c r="F414" s="16">
        <v>100.637</v>
      </c>
      <c r="G414" s="16">
        <v>157.80500000000001</v>
      </c>
      <c r="H414" s="16">
        <v>109.03700000000001</v>
      </c>
      <c r="I414" s="16">
        <v>107.146</v>
      </c>
      <c r="J414" s="16">
        <v>128.36799999999999</v>
      </c>
      <c r="K414" s="16">
        <v>145.74199999999999</v>
      </c>
      <c r="L414" s="16">
        <v>122.916</v>
      </c>
      <c r="M414" s="16">
        <v>160.489</v>
      </c>
      <c r="N414" s="16">
        <v>159.78</v>
      </c>
      <c r="O414" s="16">
        <v>213.5</v>
      </c>
      <c r="P414" s="16">
        <v>157.375</v>
      </c>
      <c r="Q414" s="16">
        <v>140.75299999999999</v>
      </c>
      <c r="R414" s="16">
        <v>230.84899999999999</v>
      </c>
      <c r="S414" s="16">
        <v>171.48500000000001</v>
      </c>
      <c r="T414" s="16">
        <v>127.179</v>
      </c>
      <c r="U414" s="16">
        <v>136.744</v>
      </c>
      <c r="V414" s="16">
        <v>125.13200000000001</v>
      </c>
      <c r="W414" s="17"/>
      <c r="X414" s="17"/>
      <c r="Y414" s="17"/>
      <c r="Z414" s="17"/>
      <c r="AA414" s="17"/>
      <c r="AB414" s="17"/>
      <c r="AC414" s="16">
        <v>10.099</v>
      </c>
      <c r="AD414" s="16">
        <v>3.6019999999999999</v>
      </c>
      <c r="AE414" s="16">
        <v>8.6630000000000003</v>
      </c>
      <c r="AF414" s="16">
        <v>25.55</v>
      </c>
      <c r="AG414" s="16">
        <v>12.867000000000001</v>
      </c>
      <c r="AH414" s="16">
        <v>14.132</v>
      </c>
      <c r="AI414" s="16">
        <v>7.2320000000000002</v>
      </c>
      <c r="AJ414" s="16">
        <v>33.427999999999997</v>
      </c>
      <c r="AK414" s="16">
        <v>9.0660000000000007</v>
      </c>
      <c r="AL414" s="16">
        <v>10.769</v>
      </c>
      <c r="AM414" s="16">
        <v>6.2569999999999997</v>
      </c>
      <c r="AN414" s="16">
        <v>7.9989999999999997</v>
      </c>
      <c r="AO414" s="16">
        <v>28.923999999999999</v>
      </c>
      <c r="AP414" s="16">
        <v>43.26</v>
      </c>
      <c r="AQ414" s="16">
        <v>35.540999999999997</v>
      </c>
      <c r="AR414" s="16">
        <v>44.832000000000001</v>
      </c>
      <c r="AS414" s="16">
        <v>89.81</v>
      </c>
      <c r="AT414" s="16">
        <v>26.98</v>
      </c>
      <c r="AU414" s="16">
        <v>26.012</v>
      </c>
      <c r="AV414" s="16">
        <v>63.154000000000003</v>
      </c>
      <c r="AW414" s="16">
        <v>55.723999999999997</v>
      </c>
      <c r="AX414" s="16">
        <v>43.134</v>
      </c>
      <c r="AY414" s="16">
        <v>140.81100000000001</v>
      </c>
      <c r="AZ414" s="16">
        <v>157.80500000000001</v>
      </c>
      <c r="BA414" s="16">
        <v>145.74199999999999</v>
      </c>
      <c r="BB414" s="16">
        <v>213.5</v>
      </c>
      <c r="BC414" s="16">
        <v>171.48500000000001</v>
      </c>
      <c r="BD414" s="15"/>
      <c r="BE414" s="15"/>
      <c r="BF414" s="2"/>
      <c r="BG414" s="86"/>
      <c r="BH414" s="86"/>
      <c r="BI414" s="86"/>
      <c r="BJ414" s="86"/>
      <c r="BK414" s="86"/>
    </row>
    <row r="415" spans="1:63" ht="11.25" customHeight="1">
      <c r="A415" s="2"/>
      <c r="B415" s="13" t="s">
        <v>214</v>
      </c>
      <c r="C415" s="2"/>
      <c r="D415" s="16">
        <v>129.65199999999999</v>
      </c>
      <c r="E415" s="16">
        <v>129.65199999999999</v>
      </c>
      <c r="F415" s="16">
        <v>129.65199999999999</v>
      </c>
      <c r="G415" s="16">
        <v>129.65199999999999</v>
      </c>
      <c r="H415" s="16">
        <v>129.65199999999999</v>
      </c>
      <c r="I415" s="16">
        <v>136.13499999999999</v>
      </c>
      <c r="J415" s="16">
        <v>142.61699999999999</v>
      </c>
      <c r="K415" s="16">
        <v>142.61699999999999</v>
      </c>
      <c r="L415" s="16">
        <v>142.61699999999999</v>
      </c>
      <c r="M415" s="16">
        <v>142.80600000000001</v>
      </c>
      <c r="N415" s="16">
        <v>142.61699999999999</v>
      </c>
      <c r="O415" s="16">
        <v>142.61699999999999</v>
      </c>
      <c r="P415" s="16">
        <v>142.61699999999999</v>
      </c>
      <c r="Q415" s="16">
        <v>149.309</v>
      </c>
      <c r="R415" s="16">
        <v>155.59200000000001</v>
      </c>
      <c r="S415" s="16">
        <v>168.55799999999999</v>
      </c>
      <c r="T415" s="16">
        <v>181.52500000000001</v>
      </c>
      <c r="U415" s="16">
        <v>194.6</v>
      </c>
      <c r="V415" s="16">
        <v>207.45599999999999</v>
      </c>
      <c r="W415" s="16"/>
      <c r="X415" s="16"/>
      <c r="Y415" s="16"/>
      <c r="Z415" s="16"/>
      <c r="AA415" s="16"/>
      <c r="AB415" s="16"/>
      <c r="AC415" s="16">
        <v>0</v>
      </c>
      <c r="AD415" s="16">
        <v>0</v>
      </c>
      <c r="AE415" s="16">
        <v>0</v>
      </c>
      <c r="AF415" s="16">
        <v>0</v>
      </c>
      <c r="AG415" s="16">
        <v>0</v>
      </c>
      <c r="AH415" s="16">
        <v>0</v>
      </c>
      <c r="AI415" s="16">
        <v>0</v>
      </c>
      <c r="AJ415" s="16">
        <v>0</v>
      </c>
      <c r="AK415" s="16">
        <v>0</v>
      </c>
      <c r="AL415" s="16">
        <v>0</v>
      </c>
      <c r="AM415" s="16">
        <v>0</v>
      </c>
      <c r="AN415" s="16">
        <v>0</v>
      </c>
      <c r="AO415" s="16">
        <v>0</v>
      </c>
      <c r="AP415" s="16">
        <v>0</v>
      </c>
      <c r="AQ415" s="16">
        <v>0</v>
      </c>
      <c r="AR415" s="16">
        <v>0</v>
      </c>
      <c r="AS415" s="16">
        <v>0</v>
      </c>
      <c r="AT415" s="16">
        <v>0</v>
      </c>
      <c r="AU415" s="16">
        <v>0</v>
      </c>
      <c r="AV415" s="16">
        <v>0</v>
      </c>
      <c r="AW415" s="16">
        <v>0</v>
      </c>
      <c r="AX415" s="16">
        <v>0</v>
      </c>
      <c r="AY415" s="16">
        <v>129.65199999999999</v>
      </c>
      <c r="AZ415" s="16">
        <v>129.65199999999999</v>
      </c>
      <c r="BA415" s="16">
        <v>142.61699999999999</v>
      </c>
      <c r="BB415" s="16">
        <v>142.61699999999999</v>
      </c>
      <c r="BC415" s="16">
        <v>168.55799999999999</v>
      </c>
      <c r="BD415" s="53"/>
      <c r="BE415" s="53"/>
      <c r="BF415" s="2"/>
      <c r="BG415" s="86"/>
      <c r="BH415" s="86"/>
      <c r="BI415" s="86"/>
      <c r="BJ415" s="86"/>
      <c r="BK415" s="86"/>
    </row>
    <row r="416" spans="1:63" ht="11.25" customHeight="1">
      <c r="A416" s="2"/>
      <c r="B416" s="2" t="s">
        <v>215</v>
      </c>
      <c r="C416" s="2"/>
      <c r="D416" s="16">
        <v>166.46600000000001</v>
      </c>
      <c r="E416" s="16">
        <v>165.524</v>
      </c>
      <c r="F416" s="16">
        <v>159.083</v>
      </c>
      <c r="G416" s="16">
        <v>197.44</v>
      </c>
      <c r="H416" s="16">
        <v>247.23699999999999</v>
      </c>
      <c r="I416" s="16">
        <v>223.857</v>
      </c>
      <c r="J416" s="16">
        <v>221.904</v>
      </c>
      <c r="K416" s="16">
        <v>282.93299999999999</v>
      </c>
      <c r="L416" s="16">
        <v>345.88799999999998</v>
      </c>
      <c r="M416" s="16">
        <v>349.48399999999998</v>
      </c>
      <c r="N416" s="16">
        <v>419.589</v>
      </c>
      <c r="O416" s="16">
        <v>512.274</v>
      </c>
      <c r="P416" s="16">
        <v>517.67600000000004</v>
      </c>
      <c r="Q416" s="16">
        <v>463.66800000000001</v>
      </c>
      <c r="R416" s="16">
        <v>522.40200000000004</v>
      </c>
      <c r="S416" s="16">
        <v>506.95400000000001</v>
      </c>
      <c r="T416" s="16">
        <v>647.36599999999999</v>
      </c>
      <c r="U416" s="16">
        <v>630.54899999999998</v>
      </c>
      <c r="V416" s="16">
        <v>618.18600000000004</v>
      </c>
      <c r="W416" s="16"/>
      <c r="X416" s="16"/>
      <c r="Y416" s="16"/>
      <c r="Z416" s="16"/>
      <c r="AA416" s="16"/>
      <c r="AB416" s="16"/>
      <c r="AC416" s="16">
        <v>1.643</v>
      </c>
      <c r="AD416" s="16">
        <v>2.5510000000000002</v>
      </c>
      <c r="AE416" s="16">
        <v>3.6259999999999999</v>
      </c>
      <c r="AF416" s="16">
        <v>6.8760000000000003</v>
      </c>
      <c r="AG416" s="16">
        <v>6.7469999999999999</v>
      </c>
      <c r="AH416" s="16">
        <v>6.4770000000000003</v>
      </c>
      <c r="AI416" s="16">
        <v>8.8209999999999997</v>
      </c>
      <c r="AJ416" s="16">
        <v>10.125999999999999</v>
      </c>
      <c r="AK416" s="16">
        <v>14.558</v>
      </c>
      <c r="AL416" s="16">
        <v>19.286000000000001</v>
      </c>
      <c r="AM416" s="16">
        <v>29.09</v>
      </c>
      <c r="AN416" s="16">
        <v>34.542999999999999</v>
      </c>
      <c r="AO416" s="16">
        <v>37.570999999999998</v>
      </c>
      <c r="AP416" s="16">
        <v>35.505000000000003</v>
      </c>
      <c r="AQ416" s="16">
        <v>39.116999999999997</v>
      </c>
      <c r="AR416" s="16">
        <v>53.56</v>
      </c>
      <c r="AS416" s="16">
        <v>67.963999999999999</v>
      </c>
      <c r="AT416" s="16">
        <v>114.505</v>
      </c>
      <c r="AU416" s="16">
        <v>103.5</v>
      </c>
      <c r="AV416" s="16">
        <v>131.69200000000001</v>
      </c>
      <c r="AW416" s="16">
        <v>150.74600000000001</v>
      </c>
      <c r="AX416" s="16">
        <v>139.39699999999999</v>
      </c>
      <c r="AY416" s="16">
        <v>129.745</v>
      </c>
      <c r="AZ416" s="16">
        <v>197.44</v>
      </c>
      <c r="BA416" s="16">
        <v>282.93299999999999</v>
      </c>
      <c r="BB416" s="16">
        <v>512.274</v>
      </c>
      <c r="BC416" s="16">
        <v>506.95400000000001</v>
      </c>
      <c r="BD416" s="14"/>
      <c r="BE416" s="14"/>
      <c r="BF416" s="2"/>
      <c r="BG416" s="86"/>
      <c r="BH416" s="86"/>
      <c r="BI416" s="86"/>
      <c r="BJ416" s="86"/>
      <c r="BK416" s="86"/>
    </row>
    <row r="417" spans="1:63" ht="13.5" customHeight="1">
      <c r="A417" s="2"/>
      <c r="B417" s="30" t="s">
        <v>216</v>
      </c>
      <c r="C417" s="2"/>
      <c r="D417" s="17">
        <v>12.8</v>
      </c>
      <c r="E417" s="17">
        <v>12.8</v>
      </c>
      <c r="F417" s="17">
        <v>2.6</v>
      </c>
      <c r="G417" s="17">
        <v>2.6</v>
      </c>
      <c r="H417" s="17">
        <v>0</v>
      </c>
      <c r="I417" s="17">
        <v>0</v>
      </c>
      <c r="J417" s="17">
        <v>0</v>
      </c>
      <c r="K417" s="17">
        <v>4.5670000000000002</v>
      </c>
      <c r="L417" s="17">
        <v>16.792000000000002</v>
      </c>
      <c r="M417" s="17">
        <v>17.059000000000001</v>
      </c>
      <c r="N417" s="17">
        <v>23.427</v>
      </c>
      <c r="O417" s="17">
        <v>19.314</v>
      </c>
      <c r="P417" s="17">
        <v>8.0399999999999991</v>
      </c>
      <c r="Q417" s="17">
        <v>8.1259999999999994</v>
      </c>
      <c r="R417" s="17">
        <v>7.42</v>
      </c>
      <c r="S417" s="17">
        <v>9.2929999999999993</v>
      </c>
      <c r="T417" s="17">
        <v>12.5</v>
      </c>
      <c r="U417" s="17">
        <v>23.076000000000001</v>
      </c>
      <c r="V417" s="17">
        <v>58.805</v>
      </c>
      <c r="W417" s="16"/>
      <c r="X417" s="16"/>
      <c r="Y417" s="16"/>
      <c r="Z417" s="16"/>
      <c r="AA417" s="16"/>
      <c r="AB417" s="16"/>
      <c r="AC417" s="17">
        <v>0</v>
      </c>
      <c r="AD417" s="17">
        <v>0.29899999999999999</v>
      </c>
      <c r="AE417" s="17">
        <v>0</v>
      </c>
      <c r="AF417" s="17">
        <v>5.0999999999999997E-2</v>
      </c>
      <c r="AG417" s="17">
        <v>5</v>
      </c>
      <c r="AH417" s="17">
        <v>12.108000000000001</v>
      </c>
      <c r="AI417" s="17">
        <v>5</v>
      </c>
      <c r="AJ417" s="17">
        <v>10.5</v>
      </c>
      <c r="AK417" s="17">
        <v>5.0000000000000001E-3</v>
      </c>
      <c r="AL417" s="17">
        <v>7.0039999999999996</v>
      </c>
      <c r="AM417" s="17">
        <v>0.28100000000000003</v>
      </c>
      <c r="AN417" s="17">
        <v>8.2219999999999995</v>
      </c>
      <c r="AO417" s="17">
        <v>0.94899999999999995</v>
      </c>
      <c r="AP417" s="17">
        <v>0.24099999999999999</v>
      </c>
      <c r="AQ417" s="17">
        <v>4.5629999999999997</v>
      </c>
      <c r="AR417" s="17">
        <v>0.128</v>
      </c>
      <c r="AS417" s="17">
        <v>0</v>
      </c>
      <c r="AT417" s="17">
        <v>0</v>
      </c>
      <c r="AU417" s="17">
        <v>23.518000000000001</v>
      </c>
      <c r="AV417" s="17">
        <v>38.11</v>
      </c>
      <c r="AW417" s="17">
        <v>58.401000000000003</v>
      </c>
      <c r="AX417" s="17">
        <v>34.9</v>
      </c>
      <c r="AY417" s="17">
        <v>31.8</v>
      </c>
      <c r="AZ417" s="17">
        <v>2.6</v>
      </c>
      <c r="BA417" s="17">
        <v>4.5670000000000002</v>
      </c>
      <c r="BB417" s="17">
        <v>19.314</v>
      </c>
      <c r="BC417" s="17">
        <v>9.2929999999999993</v>
      </c>
      <c r="BD417" s="14"/>
      <c r="BE417" s="14"/>
      <c r="BF417" s="2"/>
      <c r="BG417" s="86"/>
      <c r="BH417" s="86"/>
      <c r="BI417" s="86"/>
      <c r="BJ417" s="86"/>
      <c r="BK417" s="86"/>
    </row>
    <row r="418" spans="1:63" ht="11.25" customHeight="1">
      <c r="A418" s="2"/>
      <c r="B418" s="31" t="s">
        <v>217</v>
      </c>
      <c r="C418" s="2"/>
      <c r="D418" s="20">
        <f>SUM(D412:D417)</f>
        <v>589.46799999999996</v>
      </c>
      <c r="E418" s="20">
        <f t="shared" ref="E418:T418" si="1118">SUM(E412:E417)</f>
        <v>614.79599999999994</v>
      </c>
      <c r="F418" s="20">
        <f t="shared" si="1118"/>
        <v>588.24199999999996</v>
      </c>
      <c r="G418" s="20">
        <f t="shared" si="1118"/>
        <v>617.15099999999995</v>
      </c>
      <c r="H418" s="20">
        <f t="shared" si="1118"/>
        <v>661.64800000000002</v>
      </c>
      <c r="I418" s="20">
        <f t="shared" si="1118"/>
        <v>647.74900000000002</v>
      </c>
      <c r="J418" s="20">
        <f t="shared" si="1118"/>
        <v>655.62199999999996</v>
      </c>
      <c r="K418" s="20">
        <f t="shared" si="1118"/>
        <v>739.50299999999993</v>
      </c>
      <c r="L418" s="20">
        <f t="shared" si="1118"/>
        <v>822.86800000000005</v>
      </c>
      <c r="M418" s="20">
        <f t="shared" si="1118"/>
        <v>845.24099999999999</v>
      </c>
      <c r="N418" s="20">
        <f t="shared" si="1118"/>
        <v>807.43099999999993</v>
      </c>
      <c r="O418" s="20">
        <f t="shared" si="1118"/>
        <v>944.22699999999998</v>
      </c>
      <c r="P418" s="20">
        <f t="shared" si="1118"/>
        <v>873.09</v>
      </c>
      <c r="Q418" s="20">
        <f t="shared" si="1118"/>
        <v>810.82899999999995</v>
      </c>
      <c r="R418" s="20">
        <f t="shared" si="1118"/>
        <v>970.03499999999997</v>
      </c>
      <c r="S418" s="20">
        <f t="shared" si="1118"/>
        <v>913.58299999999997</v>
      </c>
      <c r="T418" s="20">
        <f t="shared" si="1118"/>
        <v>1026.1799999999998</v>
      </c>
      <c r="U418" s="20">
        <f t="shared" ref="U418:V418" si="1119">SUM(U412:U417)</f>
        <v>1048.9159999999999</v>
      </c>
      <c r="V418" s="20">
        <f t="shared" si="1119"/>
        <v>1080.3990000000001</v>
      </c>
      <c r="W418" s="16"/>
      <c r="X418" s="16"/>
      <c r="Y418" s="16"/>
      <c r="Z418" s="16"/>
      <c r="AA418" s="16"/>
      <c r="AB418" s="16"/>
      <c r="AC418" s="20">
        <f>SUM(AC412:AC417)</f>
        <v>15.331000000000001</v>
      </c>
      <c r="AD418" s="20">
        <f t="shared" ref="AD418:AQ418" si="1120">SUM(AD412:AD417)</f>
        <v>8.7829999999999995</v>
      </c>
      <c r="AE418" s="20">
        <f t="shared" si="1120"/>
        <v>16.247</v>
      </c>
      <c r="AF418" s="20">
        <f t="shared" si="1120"/>
        <v>47.425000000000004</v>
      </c>
      <c r="AG418" s="20">
        <f t="shared" si="1120"/>
        <v>33.329000000000001</v>
      </c>
      <c r="AH418" s="20">
        <f t="shared" si="1120"/>
        <v>40.362000000000002</v>
      </c>
      <c r="AI418" s="20">
        <f t="shared" si="1120"/>
        <v>31.147999999999996</v>
      </c>
      <c r="AJ418" s="20">
        <f t="shared" si="1120"/>
        <v>63.91899999999999</v>
      </c>
      <c r="AK418" s="20">
        <f t="shared" si="1120"/>
        <v>35.122</v>
      </c>
      <c r="AL418" s="20">
        <f t="shared" si="1120"/>
        <v>46.860999999999997</v>
      </c>
      <c r="AM418" s="20">
        <f t="shared" si="1120"/>
        <v>48.705999999999996</v>
      </c>
      <c r="AN418" s="20">
        <f t="shared" si="1120"/>
        <v>56.807000000000002</v>
      </c>
      <c r="AO418" s="20">
        <f t="shared" si="1120"/>
        <v>79.132999999999996</v>
      </c>
      <c r="AP418" s="20">
        <f t="shared" si="1120"/>
        <v>123.19099999999999</v>
      </c>
      <c r="AQ418" s="20">
        <f t="shared" si="1120"/>
        <v>117.00699999999999</v>
      </c>
      <c r="AR418" s="20">
        <f>SUM(AR412:AR417)</f>
        <v>148.47399999999999</v>
      </c>
      <c r="AS418" s="20">
        <f t="shared" ref="AS418:BC418" si="1121">SUM(AS412:AS417)</f>
        <v>189.77800000000002</v>
      </c>
      <c r="AT418" s="20">
        <f t="shared" si="1121"/>
        <v>201.01400000000001</v>
      </c>
      <c r="AU418" s="20">
        <f t="shared" si="1121"/>
        <v>212.22900000000001</v>
      </c>
      <c r="AV418" s="20">
        <f t="shared" si="1121"/>
        <v>318.23900000000003</v>
      </c>
      <c r="AW418" s="20">
        <f t="shared" si="1121"/>
        <v>358.70700000000005</v>
      </c>
      <c r="AX418" s="20">
        <f t="shared" si="1121"/>
        <v>340.54299999999995</v>
      </c>
      <c r="AY418" s="20">
        <f t="shared" si="1121"/>
        <v>590.73599999999988</v>
      </c>
      <c r="AZ418" s="20">
        <f t="shared" si="1121"/>
        <v>617.15099999999995</v>
      </c>
      <c r="BA418" s="20">
        <f t="shared" si="1121"/>
        <v>739.50299999999993</v>
      </c>
      <c r="BB418" s="20">
        <f t="shared" si="1121"/>
        <v>944.22699999999998</v>
      </c>
      <c r="BC418" s="20">
        <f t="shared" si="1121"/>
        <v>913.58299999999997</v>
      </c>
      <c r="BD418" s="14"/>
      <c r="BE418" s="14"/>
      <c r="BF418" s="2"/>
      <c r="BG418" s="86"/>
      <c r="BH418" s="86"/>
      <c r="BI418" s="86"/>
      <c r="BJ418" s="86"/>
      <c r="BK418" s="86"/>
    </row>
    <row r="419" spans="1:63" ht="11.25" customHeight="1">
      <c r="A419" s="2"/>
      <c r="B419" s="2"/>
      <c r="C419" s="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4"/>
      <c r="BE419" s="14"/>
      <c r="BF419" s="2"/>
      <c r="BG419" s="86"/>
      <c r="BH419" s="86"/>
      <c r="BI419" s="86"/>
      <c r="BJ419" s="86"/>
      <c r="BK419" s="86"/>
    </row>
    <row r="420" spans="1:63" ht="11.25" customHeight="1">
      <c r="A420" s="2"/>
      <c r="B420" s="243" t="s">
        <v>120</v>
      </c>
      <c r="C420" s="2"/>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c r="BA420" s="17"/>
      <c r="BB420" s="17"/>
      <c r="BC420" s="17"/>
      <c r="BD420" s="15"/>
      <c r="BE420" s="15"/>
      <c r="BF420" s="2"/>
      <c r="BG420" s="86"/>
      <c r="BH420" s="86"/>
      <c r="BI420" s="86"/>
      <c r="BJ420" s="86"/>
      <c r="BK420" s="86"/>
    </row>
    <row r="421" spans="1:63" ht="11.25" customHeight="1">
      <c r="A421" s="2"/>
      <c r="B421" s="13" t="s">
        <v>156</v>
      </c>
      <c r="C421" s="2"/>
      <c r="D421" s="16">
        <v>46.475000000000001</v>
      </c>
      <c r="E421" s="16">
        <v>82.438999999999993</v>
      </c>
      <c r="F421" s="16">
        <v>227.04499999999999</v>
      </c>
      <c r="G421" s="16">
        <v>254.10499999999999</v>
      </c>
      <c r="H421" s="16">
        <v>276.83800000000002</v>
      </c>
      <c r="I421" s="16">
        <v>410.46499999999997</v>
      </c>
      <c r="J421" s="16">
        <v>459.733</v>
      </c>
      <c r="K421" s="16">
        <v>610.07100000000003</v>
      </c>
      <c r="L421" s="16">
        <v>629.65</v>
      </c>
      <c r="M421" s="16">
        <v>753.89</v>
      </c>
      <c r="N421" s="16">
        <v>842.38699999999994</v>
      </c>
      <c r="O421" s="16">
        <v>834.33600000000001</v>
      </c>
      <c r="P421" s="16">
        <v>848.63800000000003</v>
      </c>
      <c r="Q421" s="16">
        <v>901.71</v>
      </c>
      <c r="R421" s="16">
        <v>932.47900000000004</v>
      </c>
      <c r="S421" s="16">
        <v>913.9</v>
      </c>
      <c r="T421" s="16">
        <v>955.54</v>
      </c>
      <c r="U421" s="16">
        <v>965.31399999999996</v>
      </c>
      <c r="V421" s="16">
        <v>909.70399999999995</v>
      </c>
      <c r="W421" s="16"/>
      <c r="X421" s="16"/>
      <c r="Y421" s="16"/>
      <c r="Z421" s="16"/>
      <c r="AA421" s="16"/>
      <c r="AB421" s="16"/>
      <c r="AC421" s="16">
        <v>11.983000000000001</v>
      </c>
      <c r="AD421" s="16">
        <v>22.632000000000001</v>
      </c>
      <c r="AE421" s="16">
        <v>20</v>
      </c>
      <c r="AF421" s="16">
        <v>29</v>
      </c>
      <c r="AG421" s="16">
        <v>24</v>
      </c>
      <c r="AH421" s="16">
        <v>35</v>
      </c>
      <c r="AI421" s="16">
        <v>30</v>
      </c>
      <c r="AJ421" s="16">
        <v>19.5</v>
      </c>
      <c r="AK421" s="16">
        <v>19.5</v>
      </c>
      <c r="AL421" s="16">
        <v>12.5</v>
      </c>
      <c r="AM421" s="16">
        <v>12.5</v>
      </c>
      <c r="AN421" s="16">
        <v>4.5</v>
      </c>
      <c r="AO421" s="16">
        <v>4.5</v>
      </c>
      <c r="AP421" s="16">
        <v>4.5</v>
      </c>
      <c r="AQ421" s="16">
        <v>18</v>
      </c>
      <c r="AR421" s="16">
        <v>80</v>
      </c>
      <c r="AS421" s="16">
        <v>210.768</v>
      </c>
      <c r="AT421" s="16">
        <v>213.67400000000001</v>
      </c>
      <c r="AU421" s="16">
        <v>191.965</v>
      </c>
      <c r="AV421" s="16">
        <v>153.09399999999999</v>
      </c>
      <c r="AW421" s="16">
        <v>91.8</v>
      </c>
      <c r="AX421" s="16">
        <v>56.9</v>
      </c>
      <c r="AY421" s="16">
        <v>25.1</v>
      </c>
      <c r="AZ421" s="16">
        <v>254.10499999999999</v>
      </c>
      <c r="BA421" s="16">
        <v>610.07100000000003</v>
      </c>
      <c r="BB421" s="16">
        <v>834.33600000000001</v>
      </c>
      <c r="BC421" s="16">
        <v>913.9</v>
      </c>
      <c r="BD421" s="53"/>
      <c r="BE421" s="53"/>
      <c r="BF421" s="2"/>
      <c r="BG421" s="86"/>
      <c r="BH421" s="86"/>
      <c r="BI421" s="86"/>
      <c r="BJ421" s="86"/>
      <c r="BK421" s="86"/>
    </row>
    <row r="422" spans="1:63" ht="13.5" customHeight="1">
      <c r="A422" s="2"/>
      <c r="B422" s="13" t="s">
        <v>219</v>
      </c>
      <c r="C422" s="2"/>
      <c r="D422" s="17">
        <v>30.324000000000002</v>
      </c>
      <c r="E422" s="17">
        <v>30.216000000000001</v>
      </c>
      <c r="F422" s="17">
        <v>32.018999999999998</v>
      </c>
      <c r="G422" s="17">
        <v>38.832999999999998</v>
      </c>
      <c r="H422" s="17">
        <v>39.648000000000003</v>
      </c>
      <c r="I422" s="17">
        <v>40.631</v>
      </c>
      <c r="J422" s="17">
        <v>138.637</v>
      </c>
      <c r="K422" s="17">
        <v>205.196</v>
      </c>
      <c r="L422" s="17">
        <v>218.69</v>
      </c>
      <c r="M422" s="17">
        <v>236.34800000000001</v>
      </c>
      <c r="N422" s="17">
        <v>241.16800000000001</v>
      </c>
      <c r="O422" s="17">
        <v>225.727</v>
      </c>
      <c r="P422" s="17">
        <v>231.21899999999999</v>
      </c>
      <c r="Q422" s="17">
        <v>231.458</v>
      </c>
      <c r="R422" s="17">
        <v>209.22399999999999</v>
      </c>
      <c r="S422" s="17">
        <v>221.625</v>
      </c>
      <c r="T422" s="17">
        <v>140.45500000000001</v>
      </c>
      <c r="U422" s="17">
        <v>147.98599999999999</v>
      </c>
      <c r="V422" s="17">
        <v>153.63300000000001</v>
      </c>
      <c r="W422" s="16"/>
      <c r="X422" s="16"/>
      <c r="Y422" s="16"/>
      <c r="Z422" s="16"/>
      <c r="AA422" s="16"/>
      <c r="AB422" s="16"/>
      <c r="AC422" s="17">
        <v>17.032</v>
      </c>
      <c r="AD422" s="17">
        <v>15.574999999999999</v>
      </c>
      <c r="AE422" s="17">
        <v>19.146000000000001</v>
      </c>
      <c r="AF422" s="17">
        <v>32.384999999999998</v>
      </c>
      <c r="AG422" s="17">
        <v>31.879000000000001</v>
      </c>
      <c r="AH422" s="17">
        <v>19.231999999999999</v>
      </c>
      <c r="AI422" s="17">
        <v>16.95</v>
      </c>
      <c r="AJ422" s="17">
        <v>16.994</v>
      </c>
      <c r="AK422" s="17">
        <v>18.649000000000001</v>
      </c>
      <c r="AL422" s="17">
        <v>18.986000000000001</v>
      </c>
      <c r="AM422" s="17">
        <v>18.972999999999999</v>
      </c>
      <c r="AN422" s="17">
        <v>17.236999999999998</v>
      </c>
      <c r="AO422" s="17">
        <v>12.015000000000001</v>
      </c>
      <c r="AP422" s="17">
        <v>12.532999999999999</v>
      </c>
      <c r="AQ422" s="17">
        <v>7.2140000000000004</v>
      </c>
      <c r="AR422" s="17">
        <v>9.7870000000000008</v>
      </c>
      <c r="AS422" s="17">
        <v>14.734</v>
      </c>
      <c r="AT422" s="17">
        <v>34.033000000000001</v>
      </c>
      <c r="AU422" s="17">
        <v>30.69</v>
      </c>
      <c r="AV422" s="17">
        <v>25.071000000000002</v>
      </c>
      <c r="AW422" s="17">
        <v>18.594999999999999</v>
      </c>
      <c r="AX422" s="17">
        <v>15.189</v>
      </c>
      <c r="AY422" s="17">
        <v>26.873999999999999</v>
      </c>
      <c r="AZ422" s="17">
        <v>38.832999999999998</v>
      </c>
      <c r="BA422" s="17">
        <v>205.196</v>
      </c>
      <c r="BB422" s="17">
        <v>225.727</v>
      </c>
      <c r="BC422" s="17">
        <v>221.625</v>
      </c>
      <c r="BD422" s="53"/>
      <c r="BE422" s="53"/>
      <c r="BF422" s="2"/>
      <c r="BG422" s="208"/>
      <c r="BH422" s="208"/>
      <c r="BI422" s="208"/>
      <c r="BJ422" s="208"/>
      <c r="BK422" s="208"/>
    </row>
    <row r="423" spans="1:63" ht="11.25" customHeight="1">
      <c r="A423" s="2"/>
      <c r="B423" s="31" t="s">
        <v>220</v>
      </c>
      <c r="C423" s="2"/>
      <c r="D423" s="20">
        <f>SUM(D421:D422)</f>
        <v>76.799000000000007</v>
      </c>
      <c r="E423" s="20">
        <f t="shared" ref="E423:T423" si="1122">SUM(E421:E422)</f>
        <v>112.655</v>
      </c>
      <c r="F423" s="20">
        <f t="shared" si="1122"/>
        <v>259.06399999999996</v>
      </c>
      <c r="G423" s="20">
        <f t="shared" si="1122"/>
        <v>292.93799999999999</v>
      </c>
      <c r="H423" s="20">
        <f t="shared" si="1122"/>
        <v>316.48600000000005</v>
      </c>
      <c r="I423" s="20">
        <f t="shared" si="1122"/>
        <v>451.096</v>
      </c>
      <c r="J423" s="20">
        <f t="shared" si="1122"/>
        <v>598.37</v>
      </c>
      <c r="K423" s="20">
        <f t="shared" si="1122"/>
        <v>815.26700000000005</v>
      </c>
      <c r="L423" s="20">
        <f t="shared" si="1122"/>
        <v>848.33999999999992</v>
      </c>
      <c r="M423" s="20">
        <f t="shared" si="1122"/>
        <v>990.23800000000006</v>
      </c>
      <c r="N423" s="20">
        <f t="shared" si="1122"/>
        <v>1083.5549999999998</v>
      </c>
      <c r="O423" s="20">
        <f t="shared" si="1122"/>
        <v>1060.0630000000001</v>
      </c>
      <c r="P423" s="20">
        <f t="shared" si="1122"/>
        <v>1079.857</v>
      </c>
      <c r="Q423" s="20">
        <f t="shared" si="1122"/>
        <v>1133.1680000000001</v>
      </c>
      <c r="R423" s="20">
        <f t="shared" si="1122"/>
        <v>1141.703</v>
      </c>
      <c r="S423" s="20">
        <f t="shared" si="1122"/>
        <v>1135.5250000000001</v>
      </c>
      <c r="T423" s="20">
        <f t="shared" si="1122"/>
        <v>1095.9949999999999</v>
      </c>
      <c r="U423" s="20">
        <f t="shared" ref="U423:V423" si="1123">SUM(U421:U422)</f>
        <v>1113.3</v>
      </c>
      <c r="V423" s="20">
        <f t="shared" si="1123"/>
        <v>1063.337</v>
      </c>
      <c r="W423" s="20"/>
      <c r="X423" s="20"/>
      <c r="Y423" s="20"/>
      <c r="Z423" s="20"/>
      <c r="AA423" s="20"/>
      <c r="AB423" s="20"/>
      <c r="AC423" s="20">
        <f>SUM(AC421:AC422)</f>
        <v>29.015000000000001</v>
      </c>
      <c r="AD423" s="20">
        <f t="shared" ref="AD423:AQ423" si="1124">SUM(AD421:AD422)</f>
        <v>38.207000000000001</v>
      </c>
      <c r="AE423" s="20">
        <f t="shared" si="1124"/>
        <v>39.146000000000001</v>
      </c>
      <c r="AF423" s="20">
        <f t="shared" si="1124"/>
        <v>61.384999999999998</v>
      </c>
      <c r="AG423" s="20">
        <f t="shared" si="1124"/>
        <v>55.879000000000005</v>
      </c>
      <c r="AH423" s="20">
        <f t="shared" si="1124"/>
        <v>54.231999999999999</v>
      </c>
      <c r="AI423" s="20">
        <f t="shared" si="1124"/>
        <v>46.95</v>
      </c>
      <c r="AJ423" s="20">
        <f t="shared" si="1124"/>
        <v>36.494</v>
      </c>
      <c r="AK423" s="20">
        <f t="shared" si="1124"/>
        <v>38.149000000000001</v>
      </c>
      <c r="AL423" s="20">
        <f t="shared" si="1124"/>
        <v>31.486000000000001</v>
      </c>
      <c r="AM423" s="20">
        <f t="shared" si="1124"/>
        <v>31.472999999999999</v>
      </c>
      <c r="AN423" s="20">
        <f t="shared" si="1124"/>
        <v>21.736999999999998</v>
      </c>
      <c r="AO423" s="20">
        <f t="shared" si="1124"/>
        <v>16.515000000000001</v>
      </c>
      <c r="AP423" s="20">
        <f t="shared" si="1124"/>
        <v>17.033000000000001</v>
      </c>
      <c r="AQ423" s="20">
        <f t="shared" si="1124"/>
        <v>25.213999999999999</v>
      </c>
      <c r="AR423" s="20">
        <f>SUM(AR421:AR422)</f>
        <v>89.787000000000006</v>
      </c>
      <c r="AS423" s="20">
        <f t="shared" ref="AS423:BC423" si="1125">SUM(AS421:AS422)</f>
        <v>225.50200000000001</v>
      </c>
      <c r="AT423" s="20">
        <f t="shared" si="1125"/>
        <v>247.70699999999999</v>
      </c>
      <c r="AU423" s="20">
        <f t="shared" si="1125"/>
        <v>222.655</v>
      </c>
      <c r="AV423" s="20">
        <f t="shared" si="1125"/>
        <v>178.16499999999999</v>
      </c>
      <c r="AW423" s="20">
        <f t="shared" si="1125"/>
        <v>110.395</v>
      </c>
      <c r="AX423" s="20">
        <f t="shared" si="1125"/>
        <v>72.088999999999999</v>
      </c>
      <c r="AY423" s="20">
        <f t="shared" si="1125"/>
        <v>51.974000000000004</v>
      </c>
      <c r="AZ423" s="20">
        <f t="shared" si="1125"/>
        <v>292.93799999999999</v>
      </c>
      <c r="BA423" s="20">
        <f t="shared" si="1125"/>
        <v>815.26700000000005</v>
      </c>
      <c r="BB423" s="20">
        <f t="shared" si="1125"/>
        <v>1060.0630000000001</v>
      </c>
      <c r="BC423" s="20">
        <f t="shared" si="1125"/>
        <v>1135.5250000000001</v>
      </c>
      <c r="BD423" s="53"/>
      <c r="BE423" s="53"/>
      <c r="BF423" s="2"/>
      <c r="BG423" s="208"/>
      <c r="BH423" s="208"/>
      <c r="BI423" s="208"/>
      <c r="BJ423" s="208"/>
      <c r="BK423" s="208"/>
    </row>
    <row r="424" spans="1:63" ht="11.25" customHeight="1">
      <c r="A424" s="2"/>
      <c r="B424" s="2"/>
      <c r="C424" s="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53"/>
      <c r="BE424" s="53"/>
      <c r="BF424" s="2"/>
      <c r="BG424" s="86"/>
      <c r="BH424" s="86"/>
      <c r="BI424" s="86"/>
      <c r="BJ424" s="86"/>
      <c r="BK424" s="86"/>
    </row>
    <row r="425" spans="1:63" ht="11.25" customHeight="1">
      <c r="A425" s="2"/>
      <c r="B425" s="13" t="s">
        <v>221</v>
      </c>
      <c r="C425" s="2"/>
      <c r="D425" s="20">
        <f>D418+D423</f>
        <v>666.26699999999994</v>
      </c>
      <c r="E425" s="20">
        <f t="shared" ref="E425:T425" si="1126">E418+E423</f>
        <v>727.45099999999991</v>
      </c>
      <c r="F425" s="20">
        <f t="shared" si="1126"/>
        <v>847.30599999999993</v>
      </c>
      <c r="G425" s="20">
        <f t="shared" si="1126"/>
        <v>910.08899999999994</v>
      </c>
      <c r="H425" s="20">
        <f t="shared" si="1126"/>
        <v>978.13400000000001</v>
      </c>
      <c r="I425" s="20">
        <f t="shared" si="1126"/>
        <v>1098.845</v>
      </c>
      <c r="J425" s="20">
        <f t="shared" si="1126"/>
        <v>1253.992</v>
      </c>
      <c r="K425" s="20">
        <f t="shared" si="1126"/>
        <v>1554.77</v>
      </c>
      <c r="L425" s="20">
        <f t="shared" si="1126"/>
        <v>1671.2080000000001</v>
      </c>
      <c r="M425" s="20">
        <f t="shared" si="1126"/>
        <v>1835.479</v>
      </c>
      <c r="N425" s="20">
        <f t="shared" si="1126"/>
        <v>1890.9859999999999</v>
      </c>
      <c r="O425" s="20">
        <f t="shared" si="1126"/>
        <v>2004.29</v>
      </c>
      <c r="P425" s="20">
        <f t="shared" si="1126"/>
        <v>1952.9470000000001</v>
      </c>
      <c r="Q425" s="20">
        <f t="shared" si="1126"/>
        <v>1943.9970000000001</v>
      </c>
      <c r="R425" s="20">
        <f t="shared" si="1126"/>
        <v>2111.7379999999998</v>
      </c>
      <c r="S425" s="20">
        <f t="shared" si="1126"/>
        <v>2049.1080000000002</v>
      </c>
      <c r="T425" s="20">
        <f t="shared" si="1126"/>
        <v>2122.1749999999997</v>
      </c>
      <c r="U425" s="20">
        <f t="shared" ref="U425:V425" si="1127">U418+U423</f>
        <v>2162.2159999999999</v>
      </c>
      <c r="V425" s="20">
        <f t="shared" si="1127"/>
        <v>2143.7359999999999</v>
      </c>
      <c r="W425" s="16"/>
      <c r="X425" s="16"/>
      <c r="Y425" s="16"/>
      <c r="Z425" s="16"/>
      <c r="AA425" s="16"/>
      <c r="AB425" s="16"/>
      <c r="AC425" s="20">
        <f>AC418+AC423</f>
        <v>44.346000000000004</v>
      </c>
      <c r="AD425" s="20">
        <f t="shared" ref="AD425:AQ425" si="1128">AD418+AD423</f>
        <v>46.99</v>
      </c>
      <c r="AE425" s="20">
        <f t="shared" si="1128"/>
        <v>55.393000000000001</v>
      </c>
      <c r="AF425" s="20">
        <f t="shared" si="1128"/>
        <v>108.81</v>
      </c>
      <c r="AG425" s="20">
        <f t="shared" si="1128"/>
        <v>89.207999999999998</v>
      </c>
      <c r="AH425" s="20">
        <f t="shared" si="1128"/>
        <v>94.593999999999994</v>
      </c>
      <c r="AI425" s="20">
        <f t="shared" si="1128"/>
        <v>78.097999999999999</v>
      </c>
      <c r="AJ425" s="20">
        <f t="shared" si="1128"/>
        <v>100.41299999999998</v>
      </c>
      <c r="AK425" s="20">
        <f t="shared" si="1128"/>
        <v>73.271000000000001</v>
      </c>
      <c r="AL425" s="20">
        <f t="shared" si="1128"/>
        <v>78.346999999999994</v>
      </c>
      <c r="AM425" s="20">
        <f t="shared" si="1128"/>
        <v>80.179000000000002</v>
      </c>
      <c r="AN425" s="20">
        <f t="shared" si="1128"/>
        <v>78.543999999999997</v>
      </c>
      <c r="AO425" s="20">
        <f t="shared" si="1128"/>
        <v>95.647999999999996</v>
      </c>
      <c r="AP425" s="20">
        <f t="shared" si="1128"/>
        <v>140.22399999999999</v>
      </c>
      <c r="AQ425" s="20">
        <f t="shared" si="1128"/>
        <v>142.221</v>
      </c>
      <c r="AR425" s="20">
        <f>AR418+AR423</f>
        <v>238.261</v>
      </c>
      <c r="AS425" s="20">
        <f t="shared" ref="AS425:BC425" si="1129">AS418+AS423</f>
        <v>415.28000000000003</v>
      </c>
      <c r="AT425" s="20">
        <f t="shared" si="1129"/>
        <v>448.721</v>
      </c>
      <c r="AU425" s="20">
        <f t="shared" si="1129"/>
        <v>434.88400000000001</v>
      </c>
      <c r="AV425" s="20">
        <f t="shared" si="1129"/>
        <v>496.404</v>
      </c>
      <c r="AW425" s="20">
        <f t="shared" si="1129"/>
        <v>469.10200000000003</v>
      </c>
      <c r="AX425" s="20">
        <f t="shared" si="1129"/>
        <v>412.63199999999995</v>
      </c>
      <c r="AY425" s="20">
        <f t="shared" si="1129"/>
        <v>642.70999999999992</v>
      </c>
      <c r="AZ425" s="20">
        <f t="shared" si="1129"/>
        <v>910.08899999999994</v>
      </c>
      <c r="BA425" s="20">
        <f t="shared" si="1129"/>
        <v>1554.77</v>
      </c>
      <c r="BB425" s="20">
        <f t="shared" si="1129"/>
        <v>2004.29</v>
      </c>
      <c r="BC425" s="20">
        <f t="shared" si="1129"/>
        <v>2049.1080000000002</v>
      </c>
      <c r="BD425" s="53"/>
      <c r="BE425" s="53"/>
      <c r="BF425" s="2"/>
      <c r="BG425" s="86"/>
      <c r="BH425" s="86"/>
      <c r="BI425" s="86"/>
      <c r="BJ425" s="86"/>
      <c r="BK425" s="86"/>
    </row>
    <row r="426" spans="1:63" ht="11.25" customHeight="1">
      <c r="A426" s="2"/>
      <c r="B426" s="13"/>
      <c r="C426" s="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4"/>
      <c r="BE426" s="14"/>
      <c r="BF426" s="2"/>
      <c r="BG426" s="86"/>
      <c r="BH426" s="86"/>
      <c r="BI426" s="86"/>
      <c r="BJ426" s="86"/>
      <c r="BK426" s="86"/>
    </row>
    <row r="427" spans="1:63" ht="11.25" customHeight="1">
      <c r="A427" s="2"/>
      <c r="B427" s="65" t="s">
        <v>203</v>
      </c>
      <c r="C427" s="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4"/>
      <c r="BE427" s="14"/>
      <c r="BF427" s="2"/>
      <c r="BG427" s="86"/>
      <c r="BH427" s="86"/>
      <c r="BI427" s="86"/>
      <c r="BJ427" s="86"/>
      <c r="BK427" s="86"/>
    </row>
    <row r="428" spans="1:63" ht="11.25" customHeight="1">
      <c r="A428" s="2"/>
      <c r="B428" s="13" t="s">
        <v>222</v>
      </c>
      <c r="C428" s="2"/>
      <c r="D428" s="16">
        <v>259.30399999999997</v>
      </c>
      <c r="E428" s="16">
        <v>259.30399999999997</v>
      </c>
      <c r="F428" s="16">
        <v>259.30399999999997</v>
      </c>
      <c r="G428" s="16">
        <v>259.30399999999997</v>
      </c>
      <c r="H428" s="16">
        <v>259.30399999999997</v>
      </c>
      <c r="I428" s="16">
        <v>259.30399999999997</v>
      </c>
      <c r="J428" s="16">
        <v>259.30399999999997</v>
      </c>
      <c r="K428" s="16">
        <v>259.30399999999997</v>
      </c>
      <c r="L428" s="16">
        <v>259.31799999999998</v>
      </c>
      <c r="M428" s="16">
        <v>259.30399999999997</v>
      </c>
      <c r="N428" s="16">
        <v>259.30399999999997</v>
      </c>
      <c r="O428" s="16">
        <v>259.30399999999997</v>
      </c>
      <c r="P428" s="16">
        <v>259.32100000000003</v>
      </c>
      <c r="Q428" s="16">
        <v>259.32100000000003</v>
      </c>
      <c r="R428" s="16">
        <v>259.32100000000003</v>
      </c>
      <c r="S428" s="16">
        <v>259.32100000000003</v>
      </c>
      <c r="T428" s="16">
        <v>259.33600000000001</v>
      </c>
      <c r="U428" s="16">
        <v>259.33600000000001</v>
      </c>
      <c r="V428" s="16">
        <v>259.327</v>
      </c>
      <c r="W428" s="16"/>
      <c r="X428" s="16"/>
      <c r="Y428" s="16"/>
      <c r="Z428" s="16"/>
      <c r="AA428" s="16"/>
      <c r="AB428" s="16"/>
      <c r="AC428" s="16">
        <v>40.813000000000002</v>
      </c>
      <c r="AD428" s="16">
        <v>60.472000000000001</v>
      </c>
      <c r="AE428" s="16">
        <v>76.709000000000003</v>
      </c>
      <c r="AF428" s="16">
        <v>129.89400000000001</v>
      </c>
      <c r="AG428" s="16">
        <v>181.32599999999999</v>
      </c>
      <c r="AH428" s="16">
        <v>199.22900000000001</v>
      </c>
      <c r="AI428" s="16">
        <v>202.666</v>
      </c>
      <c r="AJ428" s="16">
        <v>232.52</v>
      </c>
      <c r="AK428" s="16">
        <v>247.3</v>
      </c>
      <c r="AL428" s="16">
        <v>258.29700000000003</v>
      </c>
      <c r="AM428" s="16">
        <v>264.27100000000002</v>
      </c>
      <c r="AN428" s="16">
        <v>256.25400000000002</v>
      </c>
      <c r="AO428" s="16">
        <v>259.02699999999999</v>
      </c>
      <c r="AP428" s="16">
        <v>259.101</v>
      </c>
      <c r="AQ428" s="16">
        <v>259.16199999999998</v>
      </c>
      <c r="AR428" s="16">
        <v>259.245</v>
      </c>
      <c r="AS428" s="16">
        <v>259.286</v>
      </c>
      <c r="AT428" s="16">
        <v>259.29700000000003</v>
      </c>
      <c r="AU428" s="16">
        <v>259.30399999999997</v>
      </c>
      <c r="AV428" s="16">
        <v>259.30399999999997</v>
      </c>
      <c r="AW428" s="16">
        <v>259.30399999999997</v>
      </c>
      <c r="AX428" s="16">
        <v>259.30399999999997</v>
      </c>
      <c r="AY428" s="16">
        <v>259.30399999999997</v>
      </c>
      <c r="AZ428" s="16">
        <v>259.30399999999997</v>
      </c>
      <c r="BA428" s="16">
        <v>259.30399999999997</v>
      </c>
      <c r="BB428" s="16">
        <v>259.30399999999997</v>
      </c>
      <c r="BC428" s="16">
        <v>259.32100000000003</v>
      </c>
      <c r="BD428" s="14"/>
      <c r="BE428" s="14"/>
      <c r="BF428" s="2"/>
      <c r="BG428" s="86"/>
      <c r="BH428" s="86"/>
      <c r="BI428" s="86"/>
      <c r="BJ428" s="86"/>
      <c r="BK428" s="86"/>
    </row>
    <row r="429" spans="1:63" ht="11.25" customHeight="1">
      <c r="A429" s="2"/>
      <c r="B429" s="30" t="s">
        <v>223</v>
      </c>
      <c r="C429" s="2"/>
      <c r="D429" s="16">
        <v>56.34</v>
      </c>
      <c r="E429" s="16">
        <v>56.34</v>
      </c>
      <c r="F429" s="16">
        <v>56.34</v>
      </c>
      <c r="G429" s="16">
        <v>56.347000000000001</v>
      </c>
      <c r="H429" s="16">
        <v>64.753</v>
      </c>
      <c r="I429" s="16">
        <v>64.754000000000005</v>
      </c>
      <c r="J429" s="16">
        <v>64.747</v>
      </c>
      <c r="K429" s="16">
        <v>64.762</v>
      </c>
      <c r="L429" s="16">
        <v>65.215000000000003</v>
      </c>
      <c r="M429" s="16">
        <v>69.334000000000003</v>
      </c>
      <c r="N429" s="16">
        <v>69.316000000000003</v>
      </c>
      <c r="O429" s="16">
        <v>69.33</v>
      </c>
      <c r="P429" s="16">
        <v>69.894000000000005</v>
      </c>
      <c r="Q429" s="16">
        <v>69.894999999999996</v>
      </c>
      <c r="R429" s="16">
        <v>69.879000000000005</v>
      </c>
      <c r="S429" s="16">
        <v>69.876000000000005</v>
      </c>
      <c r="T429" s="16">
        <v>70.941000000000003</v>
      </c>
      <c r="U429" s="16">
        <v>70.941000000000003</v>
      </c>
      <c r="V429" s="16">
        <v>72.39</v>
      </c>
      <c r="W429" s="17"/>
      <c r="X429" s="17"/>
      <c r="Y429" s="17"/>
      <c r="Z429" s="17"/>
      <c r="AA429" s="17"/>
      <c r="AB429" s="17"/>
      <c r="AC429" s="16">
        <v>6.2E-2</v>
      </c>
      <c r="AD429" s="16">
        <v>0.16400000000000001</v>
      </c>
      <c r="AE429" s="16">
        <v>11.832000000000001</v>
      </c>
      <c r="AF429" s="16">
        <v>55.286000000000001</v>
      </c>
      <c r="AG429" s="16">
        <v>57.128</v>
      </c>
      <c r="AH429" s="16">
        <v>57.005000000000003</v>
      </c>
      <c r="AI429" s="16">
        <v>56.856000000000002</v>
      </c>
      <c r="AJ429" s="16">
        <v>56.536999999999999</v>
      </c>
      <c r="AK429" s="16">
        <v>57.118000000000002</v>
      </c>
      <c r="AL429" s="16">
        <v>54.106999999999999</v>
      </c>
      <c r="AM429" s="16">
        <v>53.732999999999997</v>
      </c>
      <c r="AN429" s="16">
        <v>49.875</v>
      </c>
      <c r="AO429" s="16">
        <v>55.485999999999997</v>
      </c>
      <c r="AP429" s="16">
        <v>55.698999999999998</v>
      </c>
      <c r="AQ429" s="16">
        <v>55.847000000000001</v>
      </c>
      <c r="AR429" s="16">
        <v>55.674999999999997</v>
      </c>
      <c r="AS429" s="16">
        <v>55.859000000000002</v>
      </c>
      <c r="AT429" s="16">
        <v>55.99</v>
      </c>
      <c r="AU429" s="16">
        <v>56.3</v>
      </c>
      <c r="AV429" s="16">
        <v>56.271999999999998</v>
      </c>
      <c r="AW429" s="16">
        <v>56.31</v>
      </c>
      <c r="AX429" s="16">
        <v>56.316000000000003</v>
      </c>
      <c r="AY429" s="16">
        <v>56.34</v>
      </c>
      <c r="AZ429" s="16">
        <v>56.347000000000001</v>
      </c>
      <c r="BA429" s="16">
        <v>64.762</v>
      </c>
      <c r="BB429" s="16">
        <v>69.33</v>
      </c>
      <c r="BC429" s="16">
        <v>69.876000000000005</v>
      </c>
      <c r="BD429" s="15"/>
      <c r="BE429" s="15"/>
      <c r="BF429" s="2"/>
      <c r="BG429" s="86"/>
      <c r="BH429" s="86"/>
      <c r="BI429" s="86"/>
      <c r="BJ429" s="86"/>
      <c r="BK429" s="86"/>
    </row>
    <row r="430" spans="1:63" ht="11.25" customHeight="1">
      <c r="A430" s="2"/>
      <c r="B430" s="30" t="s">
        <v>224</v>
      </c>
      <c r="C430" s="2"/>
      <c r="D430" s="16">
        <v>311.14699999999999</v>
      </c>
      <c r="E430" s="16">
        <v>311.14699999999999</v>
      </c>
      <c r="F430" s="16">
        <v>311.14699999999999</v>
      </c>
      <c r="G430" s="16">
        <v>311.14699999999999</v>
      </c>
      <c r="H430" s="16">
        <v>311.14699999999999</v>
      </c>
      <c r="I430" s="16">
        <v>311.14699999999999</v>
      </c>
      <c r="J430" s="16">
        <v>311.14699999999999</v>
      </c>
      <c r="K430" s="16">
        <v>311.14699999999999</v>
      </c>
      <c r="L430" s="16">
        <v>311.14699999999999</v>
      </c>
      <c r="M430" s="16">
        <v>311.14699999999999</v>
      </c>
      <c r="N430" s="16">
        <v>311.14699999999999</v>
      </c>
      <c r="O430" s="16">
        <v>311.14699999999999</v>
      </c>
      <c r="P430" s="16">
        <v>311.14699999999999</v>
      </c>
      <c r="Q430" s="16">
        <v>311.14699999999999</v>
      </c>
      <c r="R430" s="16">
        <v>311.14699999999999</v>
      </c>
      <c r="S430" s="16">
        <v>311.14699999999999</v>
      </c>
      <c r="T430" s="16">
        <v>311.14699999999999</v>
      </c>
      <c r="U430" s="16">
        <v>311.14699999999999</v>
      </c>
      <c r="V430" s="16">
        <v>311.14699999999999</v>
      </c>
      <c r="W430" s="17"/>
      <c r="X430" s="17"/>
      <c r="Y430" s="17"/>
      <c r="Z430" s="17"/>
      <c r="AA430" s="17"/>
      <c r="AB430" s="17"/>
      <c r="AC430" s="16">
        <v>4.9290000000000003</v>
      </c>
      <c r="AD430" s="16">
        <v>6.7240000000000002</v>
      </c>
      <c r="AE430" s="16">
        <v>8.2579999999999991</v>
      </c>
      <c r="AF430" s="16">
        <v>10.689</v>
      </c>
      <c r="AG430" s="16">
        <v>17.18</v>
      </c>
      <c r="AH430" s="16">
        <v>18.640999999999998</v>
      </c>
      <c r="AI430" s="16">
        <v>20.802</v>
      </c>
      <c r="AJ430" s="16">
        <v>25.527999999999999</v>
      </c>
      <c r="AK430" s="16">
        <v>34.347999999999999</v>
      </c>
      <c r="AL430" s="16">
        <v>43.706000000000003</v>
      </c>
      <c r="AM430" s="16">
        <v>56.405999999999999</v>
      </c>
      <c r="AN430" s="16">
        <v>67.323999999999998</v>
      </c>
      <c r="AO430" s="16">
        <v>77.316999999999993</v>
      </c>
      <c r="AP430" s="16">
        <v>86.239000000000004</v>
      </c>
      <c r="AQ430" s="16">
        <v>102.4</v>
      </c>
      <c r="AR430" s="16">
        <v>115.82</v>
      </c>
      <c r="AS430" s="16">
        <v>132.43600000000001</v>
      </c>
      <c r="AT430" s="16">
        <v>151.251</v>
      </c>
      <c r="AU430" s="16">
        <v>177.64099999999999</v>
      </c>
      <c r="AV430" s="16">
        <v>208.298</v>
      </c>
      <c r="AW430" s="16">
        <v>241.72300000000001</v>
      </c>
      <c r="AX430" s="16">
        <v>276.03399999999999</v>
      </c>
      <c r="AY430" s="16">
        <v>311.14699999999999</v>
      </c>
      <c r="AZ430" s="16">
        <v>311.14699999999999</v>
      </c>
      <c r="BA430" s="16">
        <v>311.14699999999999</v>
      </c>
      <c r="BB430" s="16">
        <v>311.14699999999999</v>
      </c>
      <c r="BC430" s="16">
        <v>311.14699999999999</v>
      </c>
      <c r="BD430" s="15"/>
      <c r="BE430" s="15"/>
      <c r="BF430" s="2"/>
      <c r="BG430" s="86"/>
      <c r="BH430" s="86"/>
      <c r="BI430" s="86"/>
      <c r="BJ430" s="86"/>
      <c r="BK430" s="86"/>
    </row>
    <row r="431" spans="1:63" ht="11.25" customHeight="1">
      <c r="A431" s="2"/>
      <c r="B431" s="13" t="s">
        <v>225</v>
      </c>
      <c r="C431" s="2"/>
      <c r="D431" s="16">
        <v>27.568000000000001</v>
      </c>
      <c r="E431" s="16">
        <v>24.873999999999999</v>
      </c>
      <c r="F431" s="16">
        <v>36.758000000000003</v>
      </c>
      <c r="G431" s="16">
        <v>42.259</v>
      </c>
      <c r="H431" s="16">
        <v>54.68</v>
      </c>
      <c r="I431" s="16">
        <v>48.393000000000001</v>
      </c>
      <c r="J431" s="16">
        <v>58.594000000000001</v>
      </c>
      <c r="K431" s="16">
        <v>59.304000000000002</v>
      </c>
      <c r="L431" s="16">
        <v>62.609000000000002</v>
      </c>
      <c r="M431" s="16">
        <v>47.067</v>
      </c>
      <c r="N431" s="16">
        <v>35.064999999999998</v>
      </c>
      <c r="O431" s="16">
        <v>3.1539999999999999</v>
      </c>
      <c r="P431" s="16">
        <v>20.32</v>
      </c>
      <c r="Q431" s="16">
        <v>23.594000000000001</v>
      </c>
      <c r="R431" s="16">
        <v>17.228000000000002</v>
      </c>
      <c r="S431" s="16">
        <v>0</v>
      </c>
      <c r="T431" s="16">
        <v>28.021000000000001</v>
      </c>
      <c r="U431" s="16">
        <v>0</v>
      </c>
      <c r="V431" s="16">
        <v>0</v>
      </c>
      <c r="W431" s="16"/>
      <c r="X431" s="16"/>
      <c r="Y431" s="16"/>
      <c r="Z431" s="16"/>
      <c r="AA431" s="16"/>
      <c r="AB431" s="16"/>
      <c r="AC431" s="16">
        <v>0</v>
      </c>
      <c r="AD431" s="16">
        <v>0</v>
      </c>
      <c r="AE431" s="16">
        <v>0</v>
      </c>
      <c r="AF431" s="16">
        <v>1.091</v>
      </c>
      <c r="AG431" s="16">
        <v>0.35</v>
      </c>
      <c r="AH431" s="16">
        <v>0</v>
      </c>
      <c r="AI431" s="16">
        <v>6.9000000000000006E-2</v>
      </c>
      <c r="AJ431" s="16">
        <v>0</v>
      </c>
      <c r="AK431" s="16">
        <v>2.2269999999999999</v>
      </c>
      <c r="AL431" s="16">
        <v>0.64100000000000001</v>
      </c>
      <c r="AM431" s="16">
        <v>0.63</v>
      </c>
      <c r="AN431" s="16">
        <v>0.39200000000000002</v>
      </c>
      <c r="AO431" s="16">
        <v>0</v>
      </c>
      <c r="AP431" s="16">
        <v>1.3129999999999999</v>
      </c>
      <c r="AQ431" s="16">
        <v>6.4340000000000002</v>
      </c>
      <c r="AR431" s="16">
        <v>7.6059999999999999</v>
      </c>
      <c r="AS431" s="16">
        <v>2.786</v>
      </c>
      <c r="AT431" s="16">
        <v>0</v>
      </c>
      <c r="AU431" s="16">
        <v>0</v>
      </c>
      <c r="AV431" s="16">
        <v>0</v>
      </c>
      <c r="AW431" s="16">
        <v>0</v>
      </c>
      <c r="AX431" s="16">
        <v>26.907</v>
      </c>
      <c r="AY431" s="16">
        <v>10.675000000000001</v>
      </c>
      <c r="AZ431" s="16">
        <v>42.259</v>
      </c>
      <c r="BA431" s="16">
        <v>59.304000000000002</v>
      </c>
      <c r="BB431" s="16">
        <v>3.1539999999999999</v>
      </c>
      <c r="BC431" s="16">
        <v>0</v>
      </c>
      <c r="BD431" s="53"/>
      <c r="BE431" s="53"/>
      <c r="BF431" s="2"/>
      <c r="BG431" s="86"/>
      <c r="BH431" s="86"/>
      <c r="BI431" s="86"/>
      <c r="BJ431" s="86"/>
      <c r="BK431" s="86"/>
    </row>
    <row r="432" spans="1:63" ht="11.25" customHeight="1">
      <c r="A432" s="2"/>
      <c r="B432" s="13" t="s">
        <v>226</v>
      </c>
      <c r="C432" s="2"/>
      <c r="D432" s="16">
        <v>1046.7809999999999</v>
      </c>
      <c r="E432" s="16">
        <v>1105.471</v>
      </c>
      <c r="F432" s="16">
        <v>1166.0709999999999</v>
      </c>
      <c r="G432" s="16">
        <v>1235.28</v>
      </c>
      <c r="H432" s="16">
        <v>1297.4449999999999</v>
      </c>
      <c r="I432" s="16">
        <v>1366.7819999999999</v>
      </c>
      <c r="J432" s="16">
        <v>1441.5319999999999</v>
      </c>
      <c r="K432" s="16">
        <v>1536.3779999999999</v>
      </c>
      <c r="L432" s="16">
        <v>1664.5060000000001</v>
      </c>
      <c r="M432" s="16">
        <v>1844.9110000000001</v>
      </c>
      <c r="N432" s="16">
        <v>2066.5619999999999</v>
      </c>
      <c r="O432" s="16">
        <v>2323.2240000000002</v>
      </c>
      <c r="P432" s="16">
        <v>2441.8209999999999</v>
      </c>
      <c r="Q432" s="16">
        <v>2542.5700000000002</v>
      </c>
      <c r="R432" s="16">
        <v>2682.1579999999999</v>
      </c>
      <c r="S432" s="16">
        <v>2846.884</v>
      </c>
      <c r="T432" s="16">
        <v>2955.3960000000002</v>
      </c>
      <c r="U432" s="16">
        <v>3127.5279999999998</v>
      </c>
      <c r="V432" s="16">
        <v>3346.232</v>
      </c>
      <c r="W432" s="16"/>
      <c r="X432" s="16"/>
      <c r="Y432" s="16"/>
      <c r="Z432" s="16"/>
      <c r="AA432" s="16"/>
      <c r="AB432" s="16"/>
      <c r="AC432" s="16">
        <v>23.713000000000001</v>
      </c>
      <c r="AD432" s="16">
        <v>17.437999999999999</v>
      </c>
      <c r="AE432" s="16">
        <v>25.062000000000001</v>
      </c>
      <c r="AF432" s="16">
        <v>65.144000000000005</v>
      </c>
      <c r="AG432" s="16">
        <v>19.977</v>
      </c>
      <c r="AH432" s="16">
        <v>22.151</v>
      </c>
      <c r="AI432" s="16">
        <v>50.228999999999999</v>
      </c>
      <c r="AJ432" s="16">
        <v>88.201999999999998</v>
      </c>
      <c r="AK432" s="16">
        <v>106.196</v>
      </c>
      <c r="AL432" s="16">
        <v>152.77799999999999</v>
      </c>
      <c r="AM432" s="16">
        <v>161.828</v>
      </c>
      <c r="AN432" s="16">
        <v>102.33799999999999</v>
      </c>
      <c r="AO432" s="16">
        <v>104.565</v>
      </c>
      <c r="AP432" s="16">
        <v>178.227</v>
      </c>
      <c r="AQ432" s="16">
        <v>213.357</v>
      </c>
      <c r="AR432" s="16">
        <v>284.98500000000001</v>
      </c>
      <c r="AS432" s="16">
        <v>382.971</v>
      </c>
      <c r="AT432" s="16">
        <v>553.91399999999999</v>
      </c>
      <c r="AU432" s="16">
        <v>716.65300000000002</v>
      </c>
      <c r="AV432" s="16">
        <v>863.71</v>
      </c>
      <c r="AW432" s="16">
        <v>991.63900000000001</v>
      </c>
      <c r="AX432" s="16">
        <v>1073.7059999999999</v>
      </c>
      <c r="AY432" s="16">
        <v>1011.513</v>
      </c>
      <c r="AZ432" s="16">
        <v>1235.28</v>
      </c>
      <c r="BA432" s="16">
        <v>1536.3779999999999</v>
      </c>
      <c r="BB432" s="16">
        <v>2323.2240000000002</v>
      </c>
      <c r="BC432" s="16">
        <v>2846.884</v>
      </c>
      <c r="BD432" s="53"/>
      <c r="BE432" s="53"/>
      <c r="BF432" s="2"/>
      <c r="BG432" s="208"/>
      <c r="BH432" s="208"/>
      <c r="BI432" s="208"/>
      <c r="BJ432" s="208"/>
      <c r="BK432" s="208"/>
    </row>
    <row r="433" spans="1:63" ht="11.25" customHeight="1">
      <c r="A433" s="2"/>
      <c r="B433" s="13" t="s">
        <v>227</v>
      </c>
      <c r="C433" s="2"/>
      <c r="D433" s="16">
        <v>0</v>
      </c>
      <c r="E433" s="16">
        <v>0</v>
      </c>
      <c r="F433" s="16">
        <v>0</v>
      </c>
      <c r="G433" s="16">
        <v>0</v>
      </c>
      <c r="H433" s="16">
        <v>0</v>
      </c>
      <c r="I433" s="16">
        <v>0</v>
      </c>
      <c r="J433" s="16">
        <v>0</v>
      </c>
      <c r="K433" s="16">
        <v>0</v>
      </c>
      <c r="L433" s="16">
        <v>-0.872</v>
      </c>
      <c r="M433" s="16">
        <v>0</v>
      </c>
      <c r="N433" s="16">
        <v>0</v>
      </c>
      <c r="O433" s="16">
        <v>0</v>
      </c>
      <c r="P433" s="16">
        <v>0</v>
      </c>
      <c r="Q433" s="16">
        <v>0</v>
      </c>
      <c r="R433" s="16">
        <v>0</v>
      </c>
      <c r="S433" s="16">
        <v>0</v>
      </c>
      <c r="T433" s="16">
        <v>0</v>
      </c>
      <c r="U433" s="16">
        <v>-3.089</v>
      </c>
      <c r="V433" s="16">
        <v>0</v>
      </c>
      <c r="W433" s="16"/>
      <c r="X433" s="16"/>
      <c r="Y433" s="16"/>
      <c r="Z433" s="16"/>
      <c r="AA433" s="16"/>
      <c r="AB433" s="16"/>
      <c r="AC433" s="16">
        <v>0</v>
      </c>
      <c r="AD433" s="16">
        <v>0</v>
      </c>
      <c r="AE433" s="16">
        <v>0</v>
      </c>
      <c r="AF433" s="16">
        <v>0</v>
      </c>
      <c r="AG433" s="16">
        <v>0</v>
      </c>
      <c r="AH433" s="16">
        <v>-1.923</v>
      </c>
      <c r="AI433" s="16">
        <v>-1.633</v>
      </c>
      <c r="AJ433" s="16">
        <v>-1.595</v>
      </c>
      <c r="AK433" s="16">
        <v>-0.91800000000000004</v>
      </c>
      <c r="AL433" s="16">
        <v>-0.91800000000000004</v>
      </c>
      <c r="AM433" s="16">
        <v>-49.384999999999998</v>
      </c>
      <c r="AN433" s="16">
        <v>0</v>
      </c>
      <c r="AO433" s="16">
        <v>0</v>
      </c>
      <c r="AP433" s="16">
        <v>0</v>
      </c>
      <c r="AQ433" s="16">
        <v>0</v>
      </c>
      <c r="AR433" s="16">
        <v>0</v>
      </c>
      <c r="AS433" s="16">
        <v>0</v>
      </c>
      <c r="AT433" s="16">
        <v>0</v>
      </c>
      <c r="AU433" s="16">
        <v>0</v>
      </c>
      <c r="AV433" s="16">
        <v>0</v>
      </c>
      <c r="AW433" s="16">
        <v>0</v>
      </c>
      <c r="AX433" s="16">
        <v>0</v>
      </c>
      <c r="AY433" s="16">
        <v>0</v>
      </c>
      <c r="AZ433" s="16">
        <v>0</v>
      </c>
      <c r="BA433" s="16">
        <v>0</v>
      </c>
      <c r="BB433" s="16">
        <v>0</v>
      </c>
      <c r="BC433" s="16">
        <v>0</v>
      </c>
      <c r="BD433" s="14"/>
      <c r="BE433" s="14"/>
      <c r="BF433" s="2"/>
      <c r="BG433" s="86"/>
      <c r="BH433" s="86"/>
      <c r="BI433" s="86"/>
      <c r="BJ433" s="86"/>
      <c r="BK433" s="86"/>
    </row>
    <row r="434" spans="1:63" ht="13.5" customHeight="1">
      <c r="A434" s="2"/>
      <c r="B434" s="13" t="s">
        <v>188</v>
      </c>
      <c r="C434" s="2"/>
      <c r="D434" s="17">
        <v>-24.873999999999999</v>
      </c>
      <c r="E434" s="17">
        <v>-36.758000000000003</v>
      </c>
      <c r="F434" s="17">
        <v>-42.259</v>
      </c>
      <c r="G434" s="17">
        <v>-54.68</v>
      </c>
      <c r="H434" s="17">
        <v>-48.393000000000001</v>
      </c>
      <c r="I434" s="17">
        <v>-58.594000000000001</v>
      </c>
      <c r="J434" s="17">
        <v>-59.304000000000002</v>
      </c>
      <c r="K434" s="17">
        <v>-62.609000000000002</v>
      </c>
      <c r="L434" s="17">
        <v>-47.493000000000002</v>
      </c>
      <c r="M434" s="17">
        <v>-35.409999999999997</v>
      </c>
      <c r="N434" s="17">
        <v>-3.42</v>
      </c>
      <c r="O434" s="17">
        <v>-20.506</v>
      </c>
      <c r="P434" s="17">
        <v>-24.268999999999998</v>
      </c>
      <c r="Q434" s="17">
        <v>-17.777000000000001</v>
      </c>
      <c r="R434" s="17">
        <v>8.6170000000000009</v>
      </c>
      <c r="S434" s="17">
        <v>-28.314</v>
      </c>
      <c r="T434" s="17">
        <v>10.891</v>
      </c>
      <c r="U434" s="17">
        <v>25.54</v>
      </c>
      <c r="V434" s="17">
        <v>0.92300000000000004</v>
      </c>
      <c r="W434" s="16"/>
      <c r="X434" s="16"/>
      <c r="Y434" s="16"/>
      <c r="Z434" s="16"/>
      <c r="AA434" s="16"/>
      <c r="AB434" s="16"/>
      <c r="AC434" s="17">
        <v>-0.10199999999999999</v>
      </c>
      <c r="AD434" s="17">
        <v>-0.72699999999999998</v>
      </c>
      <c r="AE434" s="17">
        <v>-1.091</v>
      </c>
      <c r="AF434" s="17">
        <v>-0.35</v>
      </c>
      <c r="AG434" s="17">
        <v>1.2290000000000001</v>
      </c>
      <c r="AH434" s="17">
        <v>0.75</v>
      </c>
      <c r="AI434" s="17">
        <v>0.22500000000000001</v>
      </c>
      <c r="AJ434" s="17">
        <v>-2.2269999999999999</v>
      </c>
      <c r="AK434" s="17">
        <v>-0.64</v>
      </c>
      <c r="AL434" s="17">
        <v>-0.63</v>
      </c>
      <c r="AM434" s="17">
        <v>-0.39100000000000001</v>
      </c>
      <c r="AN434" s="17">
        <v>0.19400000000000001</v>
      </c>
      <c r="AO434" s="17">
        <v>-1.3120000000000001</v>
      </c>
      <c r="AP434" s="17">
        <v>-6.4340000000000002</v>
      </c>
      <c r="AQ434" s="17">
        <v>-7.6059999999999999</v>
      </c>
      <c r="AR434" s="17">
        <v>-2.78</v>
      </c>
      <c r="AS434" s="17">
        <v>14.17</v>
      </c>
      <c r="AT434" s="17">
        <v>25.748999999999999</v>
      </c>
      <c r="AU434" s="17">
        <v>11.773999999999999</v>
      </c>
      <c r="AV434" s="17">
        <v>1.6639999999999999</v>
      </c>
      <c r="AW434" s="17">
        <v>-26.917999999999999</v>
      </c>
      <c r="AX434" s="17">
        <v>-15.45</v>
      </c>
      <c r="AY434" s="17">
        <v>-27.568999999999999</v>
      </c>
      <c r="AZ434" s="17">
        <v>-54.68</v>
      </c>
      <c r="BA434" s="17">
        <v>-62.609000000000002</v>
      </c>
      <c r="BB434" s="17">
        <v>-20.506</v>
      </c>
      <c r="BC434" s="17">
        <v>-28.314</v>
      </c>
      <c r="BD434" s="53"/>
      <c r="BE434" s="53"/>
      <c r="BF434" s="2"/>
      <c r="BG434" s="208"/>
      <c r="BH434" s="208"/>
      <c r="BI434" s="208"/>
      <c r="BJ434" s="208"/>
      <c r="BK434" s="208"/>
    </row>
    <row r="435" spans="1:63" ht="11.25" customHeight="1">
      <c r="A435" s="2"/>
      <c r="B435" s="12" t="s">
        <v>203</v>
      </c>
      <c r="C435" s="2"/>
      <c r="D435" s="20">
        <f>SUM(D428:D434)</f>
        <v>1676.2659999999998</v>
      </c>
      <c r="E435" s="20">
        <f t="shared" ref="E435:T435" si="1130">SUM(E428:E434)</f>
        <v>1720.3779999999999</v>
      </c>
      <c r="F435" s="20">
        <f t="shared" si="1130"/>
        <v>1787.3609999999999</v>
      </c>
      <c r="G435" s="20">
        <f t="shared" si="1130"/>
        <v>1849.6569999999999</v>
      </c>
      <c r="H435" s="20">
        <f t="shared" si="1130"/>
        <v>1938.9359999999997</v>
      </c>
      <c r="I435" s="20">
        <f t="shared" si="1130"/>
        <v>1991.7860000000001</v>
      </c>
      <c r="J435" s="20">
        <f t="shared" si="1130"/>
        <v>2076.02</v>
      </c>
      <c r="K435" s="20">
        <f t="shared" si="1130"/>
        <v>2168.2860000000001</v>
      </c>
      <c r="L435" s="20">
        <f t="shared" si="1130"/>
        <v>2314.4300000000003</v>
      </c>
      <c r="M435" s="20">
        <f t="shared" si="1130"/>
        <v>2496.3530000000001</v>
      </c>
      <c r="N435" s="20">
        <f t="shared" si="1130"/>
        <v>2737.9740000000002</v>
      </c>
      <c r="O435" s="20">
        <f t="shared" si="1130"/>
        <v>2945.6530000000002</v>
      </c>
      <c r="P435" s="20">
        <f t="shared" si="1130"/>
        <v>3078.2340000000004</v>
      </c>
      <c r="Q435" s="20">
        <f t="shared" si="1130"/>
        <v>3188.75</v>
      </c>
      <c r="R435" s="20">
        <f t="shared" si="1130"/>
        <v>3348.35</v>
      </c>
      <c r="S435" s="20">
        <f t="shared" si="1130"/>
        <v>3458.9140000000002</v>
      </c>
      <c r="T435" s="20">
        <f t="shared" si="1130"/>
        <v>3635.7320000000004</v>
      </c>
      <c r="U435" s="20">
        <f t="shared" ref="U435:V435" si="1131">SUM(U428:U434)</f>
        <v>3791.4029999999998</v>
      </c>
      <c r="V435" s="20">
        <f t="shared" si="1131"/>
        <v>3990.0189999999998</v>
      </c>
      <c r="W435" s="20"/>
      <c r="X435" s="20"/>
      <c r="Y435" s="20"/>
      <c r="Z435" s="20"/>
      <c r="AA435" s="20"/>
      <c r="AB435" s="20"/>
      <c r="AC435" s="20">
        <f>SUM(AC428:AC434)</f>
        <v>69.414999999999992</v>
      </c>
      <c r="AD435" s="20">
        <f t="shared" ref="AD435:AQ435" si="1132">SUM(AD428:AD434)</f>
        <v>84.070999999999998</v>
      </c>
      <c r="AE435" s="20">
        <f t="shared" si="1132"/>
        <v>120.77</v>
      </c>
      <c r="AF435" s="20">
        <f t="shared" si="1132"/>
        <v>261.75400000000002</v>
      </c>
      <c r="AG435" s="20">
        <f t="shared" si="1132"/>
        <v>277.19</v>
      </c>
      <c r="AH435" s="20">
        <f t="shared" si="1132"/>
        <v>295.85300000000007</v>
      </c>
      <c r="AI435" s="20">
        <f t="shared" si="1132"/>
        <v>329.21400000000006</v>
      </c>
      <c r="AJ435" s="20">
        <f t="shared" si="1132"/>
        <v>398.96500000000003</v>
      </c>
      <c r="AK435" s="20">
        <f t="shared" si="1132"/>
        <v>445.63099999999997</v>
      </c>
      <c r="AL435" s="20">
        <f t="shared" si="1132"/>
        <v>507.98099999999999</v>
      </c>
      <c r="AM435" s="20">
        <f t="shared" si="1132"/>
        <v>487.09200000000004</v>
      </c>
      <c r="AN435" s="20">
        <f t="shared" si="1132"/>
        <v>476.37700000000001</v>
      </c>
      <c r="AO435" s="20">
        <f t="shared" si="1132"/>
        <v>495.08299999999997</v>
      </c>
      <c r="AP435" s="20">
        <f t="shared" si="1132"/>
        <v>574.14499999999998</v>
      </c>
      <c r="AQ435" s="20">
        <f t="shared" si="1132"/>
        <v>629.59400000000005</v>
      </c>
      <c r="AR435" s="20">
        <f>SUM(AR428:AR434)</f>
        <v>720.55100000000004</v>
      </c>
      <c r="AS435" s="20">
        <f t="shared" ref="AS435:BC435" si="1133">SUM(AS428:AS434)</f>
        <v>847.50799999999992</v>
      </c>
      <c r="AT435" s="20">
        <f t="shared" si="1133"/>
        <v>1046.201</v>
      </c>
      <c r="AU435" s="20">
        <f t="shared" si="1133"/>
        <v>1221.672</v>
      </c>
      <c r="AV435" s="20">
        <f t="shared" si="1133"/>
        <v>1389.248</v>
      </c>
      <c r="AW435" s="20">
        <f t="shared" si="1133"/>
        <v>1522.0580000000002</v>
      </c>
      <c r="AX435" s="20">
        <f t="shared" si="1133"/>
        <v>1676.8169999999998</v>
      </c>
      <c r="AY435" s="20">
        <f t="shared" si="1133"/>
        <v>1621.4099999999999</v>
      </c>
      <c r="AZ435" s="20">
        <f t="shared" si="1133"/>
        <v>1849.6569999999999</v>
      </c>
      <c r="BA435" s="20">
        <f t="shared" si="1133"/>
        <v>2168.2860000000001</v>
      </c>
      <c r="BB435" s="20">
        <f t="shared" si="1133"/>
        <v>2945.6530000000002</v>
      </c>
      <c r="BC435" s="20">
        <f t="shared" si="1133"/>
        <v>3458.9140000000002</v>
      </c>
      <c r="BD435" s="53"/>
      <c r="BE435" s="53"/>
      <c r="BF435" s="2"/>
      <c r="BG435" s="86"/>
      <c r="BH435" s="86"/>
      <c r="BI435" s="86"/>
      <c r="BJ435" s="86"/>
      <c r="BK435" s="86"/>
    </row>
    <row r="436" spans="1:63" ht="13.5" customHeight="1">
      <c r="A436" s="2"/>
      <c r="B436" s="30" t="s">
        <v>148</v>
      </c>
      <c r="C436" s="2"/>
      <c r="D436" s="17">
        <v>0.76300000000000001</v>
      </c>
      <c r="E436" s="17">
        <v>0.83599999999999997</v>
      </c>
      <c r="F436" s="17">
        <v>0.90500000000000003</v>
      </c>
      <c r="G436" s="17">
        <v>0.96499999999999997</v>
      </c>
      <c r="H436" s="17">
        <v>2.0609999999999999</v>
      </c>
      <c r="I436" s="17">
        <v>2.1840000000000002</v>
      </c>
      <c r="J436" s="17">
        <v>2.2999999999999998</v>
      </c>
      <c r="K436" s="17">
        <v>2.4470000000000001</v>
      </c>
      <c r="L436" s="17">
        <v>7.0389999999999997</v>
      </c>
      <c r="M436" s="17">
        <v>14.109</v>
      </c>
      <c r="N436" s="17">
        <v>14.342000000000001</v>
      </c>
      <c r="O436" s="17">
        <v>14.836</v>
      </c>
      <c r="P436" s="17">
        <v>14.663</v>
      </c>
      <c r="Q436" s="17">
        <v>16.718</v>
      </c>
      <c r="R436" s="17">
        <v>24.468</v>
      </c>
      <c r="S436" s="17">
        <v>24.349</v>
      </c>
      <c r="T436" s="17">
        <v>29.984000000000002</v>
      </c>
      <c r="U436" s="17">
        <v>28.745000000000001</v>
      </c>
      <c r="V436" s="17">
        <v>31.902999999999999</v>
      </c>
      <c r="W436" s="16"/>
      <c r="X436" s="16"/>
      <c r="Y436" s="16"/>
      <c r="Z436" s="16"/>
      <c r="AA436" s="16"/>
      <c r="AB436" s="16"/>
      <c r="AC436" s="17">
        <v>10.840999999999999</v>
      </c>
      <c r="AD436" s="17">
        <v>9.6999999999999993</v>
      </c>
      <c r="AE436" s="17">
        <v>7.524</v>
      </c>
      <c r="AF436" s="17">
        <v>0.32200000000000001</v>
      </c>
      <c r="AG436" s="17">
        <v>0.12</v>
      </c>
      <c r="AH436" s="17">
        <v>9.5000000000000001E-2</v>
      </c>
      <c r="AI436" s="17">
        <v>8.8999999999999996E-2</v>
      </c>
      <c r="AJ436" s="17">
        <v>7.5999999999999998E-2</v>
      </c>
      <c r="AK436" s="17">
        <v>0.60799999999999998</v>
      </c>
      <c r="AL436" s="17">
        <v>1.157</v>
      </c>
      <c r="AM436" s="17">
        <v>3.5939999999999999</v>
      </c>
      <c r="AN436" s="17">
        <v>3.996</v>
      </c>
      <c r="AO436" s="17">
        <v>3.9649999999999999</v>
      </c>
      <c r="AP436" s="17">
        <v>4.5599999999999996</v>
      </c>
      <c r="AQ436" s="17">
        <v>2.4500000000000002</v>
      </c>
      <c r="AR436" s="17">
        <v>2.5430000000000001</v>
      </c>
      <c r="AS436" s="17">
        <v>0.26700000000000002</v>
      </c>
      <c r="AT436" s="17">
        <v>0.127</v>
      </c>
      <c r="AU436" s="17">
        <v>0.96199999999999997</v>
      </c>
      <c r="AV436" s="17">
        <v>0.80300000000000005</v>
      </c>
      <c r="AW436" s="17">
        <v>0.70199999999999996</v>
      </c>
      <c r="AX436" s="17">
        <v>0.67900000000000005</v>
      </c>
      <c r="AY436" s="17">
        <v>0.68500000000000005</v>
      </c>
      <c r="AZ436" s="17">
        <v>0.96499999999999997</v>
      </c>
      <c r="BA436" s="17">
        <v>2.4470000000000001</v>
      </c>
      <c r="BB436" s="17">
        <v>14.836</v>
      </c>
      <c r="BC436" s="17">
        <v>24.349</v>
      </c>
      <c r="BD436" s="53"/>
      <c r="BE436" s="53"/>
      <c r="BF436" s="2"/>
      <c r="BG436" s="2"/>
      <c r="BH436" s="2"/>
      <c r="BI436" s="2"/>
      <c r="BJ436" s="2"/>
      <c r="BK436" s="2"/>
    </row>
    <row r="437" spans="1:63" ht="11.25" customHeight="1">
      <c r="A437" s="2"/>
      <c r="B437" s="12" t="s">
        <v>228</v>
      </c>
      <c r="C437" s="2"/>
      <c r="D437" s="19">
        <f>SUM(D435:D436)</f>
        <v>1677.0289999999998</v>
      </c>
      <c r="E437" s="19">
        <f t="shared" ref="E437:T437" si="1134">SUM(E435:E436)</f>
        <v>1721.2139999999999</v>
      </c>
      <c r="F437" s="19">
        <f t="shared" si="1134"/>
        <v>1788.2659999999998</v>
      </c>
      <c r="G437" s="19">
        <f t="shared" si="1134"/>
        <v>1850.6219999999998</v>
      </c>
      <c r="H437" s="19">
        <f t="shared" si="1134"/>
        <v>1940.9969999999996</v>
      </c>
      <c r="I437" s="19">
        <f t="shared" si="1134"/>
        <v>1993.97</v>
      </c>
      <c r="J437" s="19">
        <f t="shared" si="1134"/>
        <v>2078.3200000000002</v>
      </c>
      <c r="K437" s="19">
        <f t="shared" si="1134"/>
        <v>2170.7330000000002</v>
      </c>
      <c r="L437" s="19">
        <f t="shared" si="1134"/>
        <v>2321.4690000000005</v>
      </c>
      <c r="M437" s="19">
        <f t="shared" si="1134"/>
        <v>2510.462</v>
      </c>
      <c r="N437" s="19">
        <f t="shared" si="1134"/>
        <v>2752.3160000000003</v>
      </c>
      <c r="O437" s="19">
        <f t="shared" si="1134"/>
        <v>2960.489</v>
      </c>
      <c r="P437" s="19">
        <f t="shared" si="1134"/>
        <v>3092.8970000000004</v>
      </c>
      <c r="Q437" s="19">
        <f t="shared" si="1134"/>
        <v>3205.4679999999998</v>
      </c>
      <c r="R437" s="19">
        <f t="shared" si="1134"/>
        <v>3372.8179999999998</v>
      </c>
      <c r="S437" s="19">
        <f t="shared" si="1134"/>
        <v>3483.2630000000004</v>
      </c>
      <c r="T437" s="19">
        <f t="shared" si="1134"/>
        <v>3665.7160000000003</v>
      </c>
      <c r="U437" s="19">
        <f t="shared" ref="U437:V437" si="1135">SUM(U435:U436)</f>
        <v>3820.1479999999997</v>
      </c>
      <c r="V437" s="19">
        <f t="shared" si="1135"/>
        <v>4021.9219999999996</v>
      </c>
      <c r="W437" s="2"/>
      <c r="X437" s="2"/>
      <c r="Y437" s="2"/>
      <c r="Z437" s="2"/>
      <c r="AA437" s="2"/>
      <c r="AB437" s="2"/>
      <c r="AC437" s="19">
        <f>SUM(AC435:AC436)</f>
        <v>80.255999999999986</v>
      </c>
      <c r="AD437" s="19">
        <f t="shared" ref="AD437:AQ437" si="1136">SUM(AD435:AD436)</f>
        <v>93.771000000000001</v>
      </c>
      <c r="AE437" s="19">
        <f t="shared" si="1136"/>
        <v>128.29399999999998</v>
      </c>
      <c r="AF437" s="19">
        <f t="shared" si="1136"/>
        <v>262.07600000000002</v>
      </c>
      <c r="AG437" s="19">
        <f t="shared" si="1136"/>
        <v>277.31</v>
      </c>
      <c r="AH437" s="19">
        <f t="shared" si="1136"/>
        <v>295.94800000000009</v>
      </c>
      <c r="AI437" s="19">
        <f t="shared" si="1136"/>
        <v>329.30300000000005</v>
      </c>
      <c r="AJ437" s="19">
        <f t="shared" si="1136"/>
        <v>399.04100000000005</v>
      </c>
      <c r="AK437" s="19">
        <f t="shared" si="1136"/>
        <v>446.23899999999998</v>
      </c>
      <c r="AL437" s="19">
        <f t="shared" si="1136"/>
        <v>509.13799999999998</v>
      </c>
      <c r="AM437" s="19">
        <f t="shared" si="1136"/>
        <v>490.68600000000004</v>
      </c>
      <c r="AN437" s="19">
        <f t="shared" si="1136"/>
        <v>480.37299999999999</v>
      </c>
      <c r="AO437" s="19">
        <f t="shared" si="1136"/>
        <v>499.04799999999994</v>
      </c>
      <c r="AP437" s="19">
        <f t="shared" si="1136"/>
        <v>578.70499999999993</v>
      </c>
      <c r="AQ437" s="19">
        <f t="shared" si="1136"/>
        <v>632.0440000000001</v>
      </c>
      <c r="AR437" s="19">
        <f>SUM(AR435:AR436)</f>
        <v>723.09400000000005</v>
      </c>
      <c r="AS437" s="19">
        <f t="shared" ref="AS437:BC437" si="1137">SUM(AS435:AS436)</f>
        <v>847.77499999999998</v>
      </c>
      <c r="AT437" s="19">
        <f t="shared" si="1137"/>
        <v>1046.328</v>
      </c>
      <c r="AU437" s="19">
        <f t="shared" si="1137"/>
        <v>1222.634</v>
      </c>
      <c r="AV437" s="19">
        <f t="shared" si="1137"/>
        <v>1390.0510000000002</v>
      </c>
      <c r="AW437" s="19">
        <f t="shared" si="1137"/>
        <v>1522.7600000000002</v>
      </c>
      <c r="AX437" s="19">
        <f t="shared" si="1137"/>
        <v>1677.4959999999999</v>
      </c>
      <c r="AY437" s="19">
        <f t="shared" si="1137"/>
        <v>1622.0949999999998</v>
      </c>
      <c r="AZ437" s="19">
        <f t="shared" si="1137"/>
        <v>1850.6219999999998</v>
      </c>
      <c r="BA437" s="19">
        <f t="shared" si="1137"/>
        <v>2170.7330000000002</v>
      </c>
      <c r="BB437" s="19">
        <f t="shared" si="1137"/>
        <v>2960.489</v>
      </c>
      <c r="BC437" s="19">
        <f t="shared" si="1137"/>
        <v>3483.2630000000004</v>
      </c>
      <c r="BD437" s="2"/>
      <c r="BE437" s="2"/>
      <c r="BF437" s="2"/>
      <c r="BG437" s="2"/>
      <c r="BH437" s="2"/>
      <c r="BI437" s="2"/>
      <c r="BJ437" s="2"/>
      <c r="BK437" s="2"/>
    </row>
    <row r="438" spans="1:63" ht="11.25" customHeight="1">
      <c r="A438" s="2"/>
      <c r="B438" s="48"/>
      <c r="C438" s="2"/>
      <c r="D438" s="27"/>
      <c r="E438" s="27"/>
      <c r="F438" s="27"/>
      <c r="G438" s="27"/>
      <c r="H438" s="27"/>
      <c r="I438" s="27"/>
      <c r="J438" s="27"/>
      <c r="K438" s="27"/>
      <c r="L438" s="27"/>
      <c r="M438" s="27"/>
      <c r="N438" s="27"/>
      <c r="O438" s="27"/>
      <c r="P438" s="27"/>
      <c r="Q438" s="27"/>
      <c r="R438" s="27"/>
      <c r="S438" s="27"/>
      <c r="T438" s="27"/>
      <c r="U438" s="27"/>
      <c r="V438" s="27"/>
      <c r="W438" s="47"/>
      <c r="X438" s="47"/>
      <c r="Y438" s="47"/>
      <c r="Z438" s="47"/>
      <c r="AA438" s="47"/>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47"/>
      <c r="BE438" s="47"/>
      <c r="BF438" s="2"/>
      <c r="BG438" s="86"/>
      <c r="BH438" s="86"/>
      <c r="BI438" s="86"/>
      <c r="BJ438" s="86"/>
      <c r="BK438" s="86"/>
    </row>
    <row r="439" spans="1:63" ht="11.25" customHeight="1">
      <c r="A439" s="2"/>
      <c r="B439" s="244" t="s">
        <v>121</v>
      </c>
      <c r="C439" s="4"/>
      <c r="D439" s="19">
        <f>D425+D437</f>
        <v>2343.2959999999998</v>
      </c>
      <c r="E439" s="19">
        <f t="shared" ref="E439:T439" si="1138">E425+E437</f>
        <v>2448.665</v>
      </c>
      <c r="F439" s="19">
        <f t="shared" si="1138"/>
        <v>2635.5719999999997</v>
      </c>
      <c r="G439" s="19">
        <f t="shared" si="1138"/>
        <v>2760.7109999999998</v>
      </c>
      <c r="H439" s="19">
        <f t="shared" si="1138"/>
        <v>2919.1309999999994</v>
      </c>
      <c r="I439" s="19">
        <f t="shared" si="1138"/>
        <v>3092.8150000000001</v>
      </c>
      <c r="J439" s="19">
        <f t="shared" si="1138"/>
        <v>3332.3119999999999</v>
      </c>
      <c r="K439" s="19">
        <f t="shared" si="1138"/>
        <v>3725.5030000000002</v>
      </c>
      <c r="L439" s="19">
        <f t="shared" si="1138"/>
        <v>3992.6770000000006</v>
      </c>
      <c r="M439" s="19">
        <f t="shared" si="1138"/>
        <v>4345.9409999999998</v>
      </c>
      <c r="N439" s="19">
        <f t="shared" si="1138"/>
        <v>4643.3019999999997</v>
      </c>
      <c r="O439" s="19">
        <f t="shared" si="1138"/>
        <v>4964.7790000000005</v>
      </c>
      <c r="P439" s="19">
        <f t="shared" si="1138"/>
        <v>5045.844000000001</v>
      </c>
      <c r="Q439" s="19">
        <f t="shared" si="1138"/>
        <v>5149.4650000000001</v>
      </c>
      <c r="R439" s="19">
        <f t="shared" si="1138"/>
        <v>5484.5559999999996</v>
      </c>
      <c r="S439" s="19">
        <f t="shared" si="1138"/>
        <v>5532.371000000001</v>
      </c>
      <c r="T439" s="19">
        <f t="shared" si="1138"/>
        <v>5787.8909999999996</v>
      </c>
      <c r="U439" s="19">
        <f t="shared" ref="U439:V439" si="1139">U425+U437</f>
        <v>5982.3639999999996</v>
      </c>
      <c r="V439" s="19">
        <f t="shared" si="1139"/>
        <v>6165.6579999999994</v>
      </c>
      <c r="W439" s="47"/>
      <c r="X439" s="47"/>
      <c r="Y439" s="47"/>
      <c r="Z439" s="47"/>
      <c r="AA439" s="47"/>
      <c r="AB439" s="4"/>
      <c r="AC439" s="19">
        <f t="shared" ref="AC439:AQ439" si="1140">AC425+AC437</f>
        <v>124.60199999999999</v>
      </c>
      <c r="AD439" s="19">
        <f t="shared" si="1140"/>
        <v>140.761</v>
      </c>
      <c r="AE439" s="19">
        <f t="shared" si="1140"/>
        <v>183.68699999999998</v>
      </c>
      <c r="AF439" s="19">
        <f t="shared" si="1140"/>
        <v>370.88600000000002</v>
      </c>
      <c r="AG439" s="19">
        <f t="shared" si="1140"/>
        <v>366.51800000000003</v>
      </c>
      <c r="AH439" s="19">
        <f t="shared" si="1140"/>
        <v>390.54200000000009</v>
      </c>
      <c r="AI439" s="19">
        <f t="shared" si="1140"/>
        <v>407.40100000000007</v>
      </c>
      <c r="AJ439" s="19">
        <f t="shared" si="1140"/>
        <v>499.45400000000006</v>
      </c>
      <c r="AK439" s="19">
        <f t="shared" si="1140"/>
        <v>519.51</v>
      </c>
      <c r="AL439" s="19">
        <f t="shared" si="1140"/>
        <v>587.48500000000001</v>
      </c>
      <c r="AM439" s="19">
        <f t="shared" si="1140"/>
        <v>570.86500000000001</v>
      </c>
      <c r="AN439" s="19">
        <f t="shared" si="1140"/>
        <v>558.91700000000003</v>
      </c>
      <c r="AO439" s="19">
        <f t="shared" si="1140"/>
        <v>594.69599999999991</v>
      </c>
      <c r="AP439" s="19">
        <f t="shared" si="1140"/>
        <v>718.92899999999986</v>
      </c>
      <c r="AQ439" s="19">
        <f t="shared" si="1140"/>
        <v>774.2650000000001</v>
      </c>
      <c r="AR439" s="19">
        <f t="shared" ref="AR439:BC439" si="1141">AR425+AR437</f>
        <v>961.35500000000002</v>
      </c>
      <c r="AS439" s="19">
        <f t="shared" si="1141"/>
        <v>1263.0550000000001</v>
      </c>
      <c r="AT439" s="19">
        <f t="shared" si="1141"/>
        <v>1495.049</v>
      </c>
      <c r="AU439" s="19">
        <f t="shared" si="1141"/>
        <v>1657.518</v>
      </c>
      <c r="AV439" s="19">
        <f t="shared" si="1141"/>
        <v>1886.4550000000002</v>
      </c>
      <c r="AW439" s="19">
        <f t="shared" si="1141"/>
        <v>1991.8620000000003</v>
      </c>
      <c r="AX439" s="19">
        <f t="shared" si="1141"/>
        <v>2090.1279999999997</v>
      </c>
      <c r="AY439" s="19">
        <f t="shared" si="1141"/>
        <v>2264.8049999999998</v>
      </c>
      <c r="AZ439" s="19">
        <f t="shared" si="1141"/>
        <v>2760.7109999999998</v>
      </c>
      <c r="BA439" s="19">
        <f t="shared" si="1141"/>
        <v>3725.5030000000002</v>
      </c>
      <c r="BB439" s="19">
        <f t="shared" si="1141"/>
        <v>4964.7790000000005</v>
      </c>
      <c r="BC439" s="19">
        <f t="shared" si="1141"/>
        <v>5532.371000000001</v>
      </c>
      <c r="BD439" s="47"/>
      <c r="BE439" s="47"/>
      <c r="BF439" s="2"/>
      <c r="BG439" s="2"/>
      <c r="BH439" s="2"/>
      <c r="BI439" s="2"/>
      <c r="BJ439" s="2"/>
      <c r="BK439" s="2"/>
    </row>
    <row r="440" spans="1:63" ht="11.25" customHeight="1">
      <c r="A440" s="2"/>
      <c r="B440" s="79" t="s">
        <v>229</v>
      </c>
      <c r="C440" s="4"/>
      <c r="D440" s="29">
        <f>D408-D439</f>
        <v>0</v>
      </c>
      <c r="E440" s="29">
        <f t="shared" ref="E440:T440" si="1142">E408-E439</f>
        <v>0</v>
      </c>
      <c r="F440" s="29">
        <f t="shared" si="1142"/>
        <v>0</v>
      </c>
      <c r="G440" s="29">
        <f t="shared" si="1142"/>
        <v>0</v>
      </c>
      <c r="H440" s="29">
        <f t="shared" si="1142"/>
        <v>0</v>
      </c>
      <c r="I440" s="29">
        <f t="shared" si="1142"/>
        <v>0</v>
      </c>
      <c r="J440" s="29">
        <f t="shared" si="1142"/>
        <v>0</v>
      </c>
      <c r="K440" s="29">
        <f t="shared" si="1142"/>
        <v>0</v>
      </c>
      <c r="L440" s="29">
        <f t="shared" si="1142"/>
        <v>0</v>
      </c>
      <c r="M440" s="29">
        <f t="shared" si="1142"/>
        <v>0</v>
      </c>
      <c r="N440" s="29">
        <f t="shared" si="1142"/>
        <v>0</v>
      </c>
      <c r="O440" s="29">
        <f t="shared" si="1142"/>
        <v>0</v>
      </c>
      <c r="P440" s="29">
        <f t="shared" si="1142"/>
        <v>0</v>
      </c>
      <c r="Q440" s="29">
        <f t="shared" si="1142"/>
        <v>0</v>
      </c>
      <c r="R440" s="29">
        <f t="shared" si="1142"/>
        <v>0</v>
      </c>
      <c r="S440" s="29">
        <f t="shared" si="1142"/>
        <v>0</v>
      </c>
      <c r="T440" s="29">
        <f t="shared" si="1142"/>
        <v>0</v>
      </c>
      <c r="U440" s="29">
        <f t="shared" ref="U440:V440" si="1143">U408-U439</f>
        <v>0</v>
      </c>
      <c r="V440" s="29">
        <f t="shared" si="1143"/>
        <v>0</v>
      </c>
      <c r="W440" s="47"/>
      <c r="X440" s="47"/>
      <c r="Y440" s="47"/>
      <c r="Z440" s="47"/>
      <c r="AA440" s="47"/>
      <c r="AB440" s="4"/>
      <c r="AC440" s="29">
        <f t="shared" ref="AC440" si="1144">AC408-AC439</f>
        <v>0</v>
      </c>
      <c r="AD440" s="29">
        <f t="shared" ref="AD440" si="1145">AD408-AD439</f>
        <v>0</v>
      </c>
      <c r="AE440" s="29">
        <f t="shared" ref="AE440" si="1146">AE408-AE439</f>
        <v>0</v>
      </c>
      <c r="AF440" s="29">
        <f t="shared" ref="AF440" si="1147">AF408-AF439</f>
        <v>0</v>
      </c>
      <c r="AG440" s="29">
        <f t="shared" ref="AG440" si="1148">AG408-AG439</f>
        <v>0</v>
      </c>
      <c r="AH440" s="29">
        <f t="shared" ref="AH440" si="1149">AH408-AH439</f>
        <v>0</v>
      </c>
      <c r="AI440" s="29">
        <f t="shared" ref="AI440" si="1150">AI408-AI439</f>
        <v>0</v>
      </c>
      <c r="AJ440" s="29">
        <f t="shared" ref="AJ440" si="1151">AJ408-AJ439</f>
        <v>0</v>
      </c>
      <c r="AK440" s="29">
        <f t="shared" ref="AK440" si="1152">AK408-AK439</f>
        <v>0</v>
      </c>
      <c r="AL440" s="29">
        <f t="shared" ref="AL440" si="1153">AL408-AL439</f>
        <v>0</v>
      </c>
      <c r="AM440" s="29">
        <f t="shared" ref="AM440" si="1154">AM408-AM439</f>
        <v>0</v>
      </c>
      <c r="AN440" s="29">
        <f t="shared" ref="AN440" si="1155">AN408-AN439</f>
        <v>0</v>
      </c>
      <c r="AO440" s="29">
        <f t="shared" ref="AO440" si="1156">AO408-AO439</f>
        <v>0</v>
      </c>
      <c r="AP440" s="29">
        <f t="shared" ref="AP440" si="1157">AP408-AP439</f>
        <v>0</v>
      </c>
      <c r="AQ440" s="29">
        <f t="shared" ref="AQ440" si="1158">AQ408-AQ439</f>
        <v>0</v>
      </c>
      <c r="AR440" s="29">
        <f t="shared" ref="AR440" si="1159">AR408-AR439</f>
        <v>0</v>
      </c>
      <c r="AS440" s="29">
        <f t="shared" ref="AS440" si="1160">AS408-AS439</f>
        <v>0</v>
      </c>
      <c r="AT440" s="29">
        <f t="shared" ref="AT440" si="1161">AT408-AT439</f>
        <v>0</v>
      </c>
      <c r="AU440" s="29">
        <f t="shared" ref="AU440" si="1162">AU408-AU439</f>
        <v>0</v>
      </c>
      <c r="AV440" s="29">
        <f t="shared" ref="AV440" si="1163">AV408-AV439</f>
        <v>0</v>
      </c>
      <c r="AW440" s="29">
        <f t="shared" ref="AW440" si="1164">AW408-AW439</f>
        <v>0</v>
      </c>
      <c r="AX440" s="29">
        <f t="shared" ref="AX440" si="1165">AX408-AX439</f>
        <v>0</v>
      </c>
      <c r="AY440" s="29">
        <f t="shared" ref="AY440" si="1166">AY408-AY439</f>
        <v>0</v>
      </c>
      <c r="AZ440" s="29">
        <f t="shared" ref="AZ440" si="1167">AZ408-AZ439</f>
        <v>0</v>
      </c>
      <c r="BA440" s="29">
        <f t="shared" ref="BA440" si="1168">BA408-BA439</f>
        <v>0</v>
      </c>
      <c r="BB440" s="29">
        <f t="shared" ref="BB440" si="1169">BB408-BB439</f>
        <v>0</v>
      </c>
      <c r="BC440" s="29">
        <f t="shared" ref="BC440" si="1170">BC408-BC439</f>
        <v>0</v>
      </c>
      <c r="BD440" s="47"/>
      <c r="BE440" s="47"/>
      <c r="BF440" s="2"/>
      <c r="BG440" s="2"/>
      <c r="BH440" s="2"/>
      <c r="BI440" s="2"/>
      <c r="BJ440" s="2"/>
      <c r="BK440" s="2"/>
    </row>
    <row r="441" spans="1:63" ht="11.25" customHeight="1">
      <c r="A441" s="2"/>
      <c r="B441" s="79"/>
      <c r="C441" s="4"/>
      <c r="D441" s="29"/>
      <c r="E441" s="29"/>
      <c r="F441" s="29"/>
      <c r="G441" s="29"/>
      <c r="H441" s="29"/>
      <c r="I441" s="29"/>
      <c r="J441" s="29"/>
      <c r="K441" s="29"/>
      <c r="L441" s="29"/>
      <c r="M441" s="29"/>
      <c r="N441" s="29"/>
      <c r="O441" s="29"/>
      <c r="P441" s="29"/>
      <c r="Q441" s="29"/>
      <c r="R441" s="29"/>
      <c r="S441" s="29"/>
      <c r="T441" s="29"/>
      <c r="U441" s="47"/>
      <c r="V441" s="47"/>
      <c r="W441" s="47"/>
      <c r="X441" s="47"/>
      <c r="Y441" s="47"/>
      <c r="Z441" s="47"/>
      <c r="AA441" s="47"/>
      <c r="AB441" s="4"/>
      <c r="AC441" s="4"/>
      <c r="AD441" s="4"/>
      <c r="AE441" s="4"/>
      <c r="AF441" s="4"/>
      <c r="AG441" s="4"/>
      <c r="AH441" s="4"/>
      <c r="AI441" s="4"/>
      <c r="AJ441" s="4"/>
      <c r="AK441" s="4"/>
      <c r="AL441" s="4"/>
      <c r="AM441" s="4"/>
      <c r="AN441" s="4"/>
      <c r="AO441" s="4"/>
      <c r="AP441" s="4"/>
      <c r="AQ441" s="4"/>
      <c r="AR441" s="4"/>
      <c r="AS441" s="4"/>
      <c r="AT441" s="4"/>
      <c r="AU441" s="4"/>
      <c r="AV441" s="47"/>
      <c r="AW441" s="47"/>
      <c r="AX441" s="47"/>
      <c r="AY441" s="47"/>
      <c r="BD441" s="47"/>
      <c r="BE441" s="47"/>
      <c r="BF441" s="2"/>
      <c r="BG441" s="2"/>
      <c r="BH441" s="2"/>
      <c r="BI441" s="2"/>
      <c r="BJ441" s="2"/>
      <c r="BK441" s="2"/>
    </row>
    <row r="442" spans="1:63" ht="11.25" customHeight="1">
      <c r="A442" s="2"/>
      <c r="B442" s="5" t="s">
        <v>9</v>
      </c>
      <c r="C442" s="4"/>
      <c r="D442" s="29"/>
      <c r="E442" s="29"/>
      <c r="F442" s="29"/>
      <c r="G442" s="29"/>
      <c r="H442" s="29"/>
      <c r="I442" s="29"/>
      <c r="J442" s="29"/>
      <c r="K442" s="29"/>
      <c r="L442" s="29"/>
      <c r="M442" s="29"/>
      <c r="N442" s="29"/>
      <c r="O442" s="29"/>
      <c r="P442" s="29"/>
      <c r="Q442" s="29"/>
      <c r="R442" s="29"/>
      <c r="S442" s="29"/>
      <c r="T442" s="29"/>
      <c r="U442" s="47"/>
      <c r="V442" s="47"/>
      <c r="W442" s="47"/>
      <c r="X442" s="47"/>
      <c r="Y442" s="47"/>
      <c r="Z442" s="47"/>
      <c r="AA442" s="47"/>
      <c r="AB442" s="4"/>
      <c r="AC442" s="245"/>
      <c r="AD442" s="245"/>
      <c r="AE442" s="245"/>
      <c r="AF442" s="245"/>
      <c r="AG442" s="245"/>
      <c r="AH442" s="245"/>
      <c r="AI442" s="245"/>
      <c r="AJ442" s="245"/>
      <c r="AK442" s="245"/>
      <c r="AL442" s="245"/>
      <c r="AM442" s="245"/>
      <c r="AN442" s="245"/>
      <c r="AO442" s="245"/>
      <c r="AP442" s="245"/>
      <c r="AQ442" s="245"/>
      <c r="AR442" s="4"/>
      <c r="AS442" s="4"/>
      <c r="AT442" s="4"/>
      <c r="AU442" s="4"/>
      <c r="AV442" s="47"/>
      <c r="AW442" s="47"/>
      <c r="AX442" s="47"/>
      <c r="AY442" s="47"/>
      <c r="BD442" s="47"/>
      <c r="BE442" s="47"/>
      <c r="BF442" s="2"/>
      <c r="BG442" s="2"/>
      <c r="BH442" s="2"/>
      <c r="BI442" s="2"/>
      <c r="BJ442" s="2"/>
      <c r="BK442" s="2"/>
    </row>
    <row r="443" spans="1:63" ht="11.25" customHeight="1">
      <c r="A443" s="2"/>
      <c r="B443" s="75" t="s">
        <v>425</v>
      </c>
      <c r="C443" s="123"/>
      <c r="D443" s="246"/>
      <c r="E443" s="246"/>
      <c r="F443" s="246"/>
      <c r="G443" s="246"/>
      <c r="H443" s="246"/>
      <c r="I443" s="246"/>
      <c r="J443" s="246"/>
      <c r="K443" s="246"/>
      <c r="L443" s="246"/>
      <c r="M443" s="246"/>
      <c r="N443" s="246"/>
      <c r="O443" s="246"/>
      <c r="P443" s="246"/>
      <c r="Q443" s="246"/>
      <c r="R443" s="246"/>
      <c r="S443" s="246"/>
      <c r="T443" s="246"/>
      <c r="U443" s="73"/>
      <c r="V443" s="73"/>
      <c r="W443" s="73"/>
      <c r="X443" s="73"/>
      <c r="Y443" s="73"/>
      <c r="Z443" s="73"/>
      <c r="AA443" s="73"/>
      <c r="AB443" s="123"/>
      <c r="AC443" s="123"/>
      <c r="AD443" s="123"/>
      <c r="AE443" s="123"/>
      <c r="AF443" s="123"/>
      <c r="AG443" s="123"/>
      <c r="AH443" s="123"/>
      <c r="AI443" s="123"/>
      <c r="AJ443" s="123"/>
      <c r="AK443" s="123"/>
      <c r="AL443" s="123"/>
      <c r="AM443" s="123"/>
      <c r="AN443" s="123"/>
      <c r="AO443" s="123"/>
      <c r="AP443" s="123"/>
      <c r="AQ443" s="123"/>
      <c r="AR443" s="123"/>
      <c r="AS443" s="123"/>
      <c r="AT443" s="123"/>
      <c r="AU443" s="123"/>
      <c r="AV443" s="73"/>
      <c r="AW443" s="73"/>
      <c r="AX443" s="73"/>
      <c r="AY443" s="73"/>
      <c r="AZ443" s="74"/>
      <c r="BA443" s="74"/>
      <c r="BB443" s="74"/>
      <c r="BC443" s="74"/>
      <c r="BD443" s="73"/>
      <c r="BE443" s="73"/>
      <c r="BF443" s="2"/>
      <c r="BG443" s="2"/>
      <c r="BH443" s="2"/>
      <c r="BI443" s="2"/>
      <c r="BJ443" s="2"/>
      <c r="BK443" s="2"/>
    </row>
    <row r="444" spans="1:63" ht="11.25" customHeight="1">
      <c r="A444" s="2"/>
      <c r="B444" s="116"/>
      <c r="C444" s="4"/>
      <c r="D444" s="4"/>
      <c r="E444" s="4"/>
      <c r="F444" s="47"/>
      <c r="G444" s="47"/>
      <c r="H444" s="47"/>
      <c r="I444" s="47"/>
      <c r="J444" s="47"/>
      <c r="K444" s="47"/>
      <c r="L444" s="47"/>
      <c r="M444" s="47"/>
      <c r="N444" s="47"/>
      <c r="O444" s="47"/>
      <c r="P444" s="47"/>
      <c r="Q444" s="47"/>
      <c r="R444" s="47"/>
      <c r="S444" s="47"/>
      <c r="T444" s="47"/>
      <c r="U444" s="47"/>
      <c r="V444" s="47"/>
      <c r="W444" s="47"/>
      <c r="X444" s="47"/>
      <c r="Y444" s="47"/>
      <c r="Z444" s="47"/>
      <c r="AA444" s="47"/>
      <c r="AB444" s="4"/>
      <c r="AC444" s="4"/>
      <c r="AD444" s="4"/>
      <c r="AE444" s="4"/>
      <c r="AF444" s="4"/>
      <c r="AG444" s="4"/>
      <c r="AH444" s="4"/>
      <c r="AI444" s="4"/>
      <c r="AJ444" s="4"/>
      <c r="AK444" s="4"/>
      <c r="AL444" s="4"/>
      <c r="AM444" s="4"/>
      <c r="AN444" s="4"/>
      <c r="AO444" s="4"/>
      <c r="AP444" s="4"/>
      <c r="AQ444" s="4"/>
      <c r="AR444" s="4"/>
      <c r="AS444" s="4"/>
      <c r="AT444" s="4"/>
      <c r="AU444" s="4"/>
      <c r="AV444" s="47"/>
      <c r="AW444" s="47"/>
      <c r="AX444" s="47"/>
      <c r="AY444" s="47"/>
      <c r="BD444" s="47"/>
      <c r="BE444" s="47"/>
      <c r="BF444" s="2"/>
      <c r="BG444" s="2"/>
      <c r="BH444" s="2"/>
      <c r="BI444" s="2"/>
      <c r="BJ444" s="2"/>
      <c r="BK444" s="2"/>
    </row>
    <row r="445" spans="1:63" ht="11.25" customHeight="1">
      <c r="A445" s="2"/>
      <c r="B445" s="157" t="s">
        <v>74</v>
      </c>
      <c r="C445" s="185"/>
      <c r="D445" s="4"/>
      <c r="E445" s="4"/>
      <c r="F445" s="47"/>
      <c r="G445" s="47"/>
      <c r="H445" s="47"/>
      <c r="I445" s="47"/>
      <c r="J445" s="47"/>
      <c r="K445" s="47"/>
      <c r="L445" s="47"/>
      <c r="M445" s="47"/>
      <c r="N445" s="47"/>
      <c r="O445" s="47"/>
      <c r="P445" s="47"/>
      <c r="Q445" s="47"/>
      <c r="R445" s="47"/>
      <c r="S445" s="47"/>
      <c r="T445" s="47"/>
      <c r="U445" s="47"/>
      <c r="V445" s="47"/>
      <c r="W445" s="47"/>
      <c r="X445" s="47"/>
      <c r="Y445" s="47"/>
      <c r="Z445" s="47"/>
      <c r="AA445" s="47"/>
      <c r="AB445" s="4"/>
      <c r="AC445" s="4"/>
      <c r="AD445" s="4"/>
      <c r="AE445" s="4"/>
      <c r="AF445" s="4"/>
      <c r="AG445" s="4"/>
      <c r="AH445" s="4"/>
      <c r="AI445" s="4"/>
      <c r="AJ445" s="4"/>
      <c r="AK445" s="4"/>
      <c r="AL445" s="4"/>
      <c r="AM445" s="4"/>
      <c r="AN445" s="4"/>
      <c r="AO445" s="4"/>
      <c r="AP445" s="4"/>
      <c r="AQ445" s="4"/>
      <c r="AR445" s="4"/>
      <c r="AS445" s="4"/>
      <c r="AT445" s="4"/>
      <c r="AU445" s="4"/>
      <c r="AV445" s="47"/>
      <c r="AW445" s="47"/>
      <c r="AX445" s="47"/>
      <c r="AY445" s="47"/>
      <c r="BD445" s="47"/>
      <c r="BE445" s="47"/>
      <c r="BF445" s="2"/>
      <c r="BG445" s="2"/>
      <c r="BH445" s="2"/>
      <c r="BI445" s="2"/>
      <c r="BJ445" s="2"/>
      <c r="BK445" s="2"/>
    </row>
    <row r="446" spans="1:63" ht="11.25" customHeight="1">
      <c r="A446" s="2"/>
      <c r="B446" s="167"/>
      <c r="C446" s="4"/>
      <c r="D446" s="4"/>
      <c r="E446" s="4"/>
      <c r="F446" s="47"/>
      <c r="G446" s="47"/>
      <c r="H446" s="47"/>
      <c r="I446" s="47"/>
      <c r="J446" s="47"/>
      <c r="K446" s="47"/>
      <c r="L446" s="47"/>
      <c r="M446" s="47"/>
      <c r="N446" s="47"/>
      <c r="O446" s="47"/>
      <c r="P446" s="47"/>
      <c r="Q446" s="47"/>
      <c r="R446" s="47"/>
      <c r="S446" s="47"/>
      <c r="T446" s="47"/>
      <c r="U446" s="47"/>
      <c r="V446" s="47"/>
      <c r="W446" s="47"/>
      <c r="X446" s="47"/>
      <c r="Y446" s="47"/>
      <c r="Z446" s="47"/>
      <c r="AA446" s="47"/>
      <c r="AB446" s="4"/>
      <c r="AC446" s="4"/>
      <c r="AD446" s="4"/>
      <c r="AE446" s="4"/>
      <c r="AF446" s="4"/>
      <c r="AG446" s="4"/>
      <c r="AH446" s="4"/>
      <c r="AI446" s="4"/>
      <c r="AJ446" s="4"/>
      <c r="AK446" s="4"/>
      <c r="AL446" s="4"/>
      <c r="AM446" s="4"/>
      <c r="AN446" s="4"/>
      <c r="AO446" s="4"/>
      <c r="AP446" s="4"/>
      <c r="AQ446" s="4"/>
      <c r="AR446" s="4"/>
      <c r="AS446" s="4"/>
      <c r="AT446" s="4"/>
      <c r="AU446" s="4"/>
      <c r="AV446" s="47"/>
      <c r="AW446" s="47"/>
      <c r="AX446" s="47"/>
      <c r="AY446" s="47"/>
      <c r="BD446" s="47"/>
      <c r="BE446" s="47"/>
      <c r="BF446" s="2"/>
      <c r="BG446" s="2"/>
      <c r="BH446" s="2"/>
      <c r="BI446" s="2"/>
      <c r="BJ446" s="2"/>
      <c r="BK446" s="2"/>
    </row>
    <row r="447" spans="1:63" ht="11.25" customHeight="1">
      <c r="A447" s="2"/>
      <c r="B447" s="263" t="s">
        <v>354</v>
      </c>
      <c r="C447" s="4"/>
      <c r="D447" s="4"/>
      <c r="E447" s="4"/>
      <c r="F447" s="47"/>
      <c r="G447" s="47"/>
      <c r="H447" s="47"/>
      <c r="I447" s="47"/>
      <c r="J447" s="47"/>
      <c r="K447" s="47"/>
      <c r="L447" s="47"/>
      <c r="M447" s="47"/>
      <c r="N447" s="47"/>
      <c r="O447" s="47"/>
      <c r="P447" s="47"/>
      <c r="Q447" s="47"/>
      <c r="R447" s="47"/>
      <c r="S447" s="47"/>
      <c r="T447" s="47"/>
      <c r="U447" s="47"/>
      <c r="V447" s="47"/>
      <c r="W447" s="47"/>
      <c r="X447" s="47"/>
      <c r="Y447" s="47"/>
      <c r="Z447" s="47"/>
      <c r="AA447" s="47"/>
      <c r="AB447" s="4"/>
      <c r="AC447" s="4"/>
      <c r="AD447" s="4"/>
      <c r="AE447" s="4"/>
      <c r="AF447" s="4"/>
      <c r="AG447" s="4"/>
      <c r="AH447" s="4"/>
      <c r="AI447" s="4"/>
      <c r="AJ447" s="4"/>
      <c r="AK447" s="4"/>
      <c r="AL447" s="4"/>
      <c r="AM447" s="4"/>
      <c r="AN447" s="4"/>
      <c r="AO447" s="4"/>
      <c r="AP447" s="4"/>
      <c r="AQ447" s="4"/>
      <c r="AR447" s="4"/>
      <c r="AS447" s="4"/>
      <c r="AT447" s="4"/>
      <c r="AU447" s="4"/>
      <c r="AV447" s="47"/>
      <c r="AW447" s="47"/>
      <c r="AX447" s="47"/>
      <c r="AY447" s="47"/>
      <c r="BD447" s="47"/>
      <c r="BE447" s="47"/>
      <c r="BF447" s="2"/>
      <c r="BG447" s="2"/>
      <c r="BH447" s="2"/>
      <c r="BI447" s="2"/>
      <c r="BJ447" s="2"/>
      <c r="BK447" s="2"/>
    </row>
    <row r="448" spans="1:63" ht="11.25" customHeight="1">
      <c r="A448" s="2"/>
      <c r="B448" s="237" t="s">
        <v>73</v>
      </c>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row>
    <row r="449" spans="1:63" s="54" customFormat="1" ht="11.25" customHeight="1">
      <c r="A449" s="18"/>
      <c r="B449" s="30" t="s">
        <v>13</v>
      </c>
      <c r="C449" s="18"/>
      <c r="D449" s="56">
        <f t="shared" ref="D449:U449" si="1171">D398</f>
        <v>78.278000000000006</v>
      </c>
      <c r="E449" s="56">
        <f t="shared" si="1171"/>
        <v>85.787999999999997</v>
      </c>
      <c r="F449" s="56">
        <f t="shared" si="1171"/>
        <v>109.51</v>
      </c>
      <c r="G449" s="56">
        <f t="shared" si="1171"/>
        <v>137.35300000000001</v>
      </c>
      <c r="H449" s="56">
        <f t="shared" si="1171"/>
        <v>154.56800000000001</v>
      </c>
      <c r="I449" s="56">
        <f t="shared" si="1171"/>
        <v>170.43899999999999</v>
      </c>
      <c r="J449" s="56">
        <f t="shared" si="1171"/>
        <v>182.23400000000001</v>
      </c>
      <c r="K449" s="56">
        <f t="shared" si="1171"/>
        <v>193.102</v>
      </c>
      <c r="L449" s="56">
        <f t="shared" si="1171"/>
        <v>200.119</v>
      </c>
      <c r="M449" s="56">
        <f t="shared" si="1171"/>
        <v>217.43799999999999</v>
      </c>
      <c r="N449" s="56">
        <f t="shared" si="1171"/>
        <v>218.33600000000001</v>
      </c>
      <c r="O449" s="56">
        <f t="shared" si="1171"/>
        <v>221.149</v>
      </c>
      <c r="P449" s="56">
        <f t="shared" si="1171"/>
        <v>216.06800000000001</v>
      </c>
      <c r="Q449" s="56">
        <f t="shared" si="1171"/>
        <v>234.333</v>
      </c>
      <c r="R449" s="56">
        <f t="shared" si="1171"/>
        <v>262.08999999999997</v>
      </c>
      <c r="S449" s="56">
        <f t="shared" si="1171"/>
        <v>250.99700000000001</v>
      </c>
      <c r="T449" s="56">
        <f t="shared" si="1171"/>
        <v>267.12299999999999</v>
      </c>
      <c r="U449" s="56">
        <f t="shared" si="1171"/>
        <v>272.49099999999999</v>
      </c>
      <c r="V449" s="56">
        <f t="shared" ref="V449" si="1172">V398</f>
        <v>292.88400000000001</v>
      </c>
      <c r="W449" s="56">
        <f ca="1">W456/W$542*W477</f>
        <v>330.67393204004787</v>
      </c>
      <c r="X449" s="56">
        <f t="shared" ref="X449:AA449" si="1173">X456/X$542*X477</f>
        <v>329.59349133479736</v>
      </c>
      <c r="Y449" s="56">
        <f t="shared" si="1173"/>
        <v>329.28909218092571</v>
      </c>
      <c r="Z449" s="56">
        <f t="shared" si="1173"/>
        <v>367.3874361960373</v>
      </c>
      <c r="AA449" s="56">
        <f t="shared" ca="1" si="1173"/>
        <v>416.44958204136327</v>
      </c>
      <c r="AB449" s="56"/>
      <c r="AC449" s="56">
        <f t="shared" ref="AC449:BC449" si="1174">AC398</f>
        <v>4.8760000000000003</v>
      </c>
      <c r="AD449" s="56">
        <f t="shared" si="1174"/>
        <v>4.0570000000000004</v>
      </c>
      <c r="AE449" s="56">
        <f t="shared" si="1174"/>
        <v>5.8419999999999996</v>
      </c>
      <c r="AF449" s="56">
        <f t="shared" si="1174"/>
        <v>12.786</v>
      </c>
      <c r="AG449" s="56">
        <f t="shared" si="1174"/>
        <v>9.8279999999999994</v>
      </c>
      <c r="AH449" s="56">
        <f t="shared" si="1174"/>
        <v>11.201000000000001</v>
      </c>
      <c r="AI449" s="56">
        <f t="shared" si="1174"/>
        <v>12.135</v>
      </c>
      <c r="AJ449" s="56">
        <f t="shared" si="1174"/>
        <v>15.555999999999999</v>
      </c>
      <c r="AK449" s="56">
        <f t="shared" si="1174"/>
        <v>17.728000000000002</v>
      </c>
      <c r="AL449" s="56">
        <f t="shared" si="1174"/>
        <v>21.431000000000001</v>
      </c>
      <c r="AM449" s="56">
        <f t="shared" si="1174"/>
        <v>23.861999999999998</v>
      </c>
      <c r="AN449" s="56">
        <f t="shared" si="1174"/>
        <v>14.877000000000001</v>
      </c>
      <c r="AO449" s="56">
        <f t="shared" si="1174"/>
        <v>20.914000000000001</v>
      </c>
      <c r="AP449" s="56">
        <f t="shared" si="1174"/>
        <v>28.405999999999999</v>
      </c>
      <c r="AQ449" s="56">
        <f t="shared" si="1174"/>
        <v>24.841000000000001</v>
      </c>
      <c r="AR449" s="56">
        <f t="shared" si="1174"/>
        <v>37.831000000000003</v>
      </c>
      <c r="AS449" s="56">
        <f t="shared" si="1174"/>
        <v>37.494999999999997</v>
      </c>
      <c r="AT449" s="56">
        <f t="shared" si="1174"/>
        <v>66.337999999999994</v>
      </c>
      <c r="AU449" s="56">
        <f t="shared" si="1174"/>
        <v>67.052000000000007</v>
      </c>
      <c r="AV449" s="56">
        <f t="shared" si="1174"/>
        <v>48.682000000000002</v>
      </c>
      <c r="AW449" s="56">
        <f t="shared" si="1174"/>
        <v>73.881</v>
      </c>
      <c r="AX449" s="56">
        <f t="shared" si="1174"/>
        <v>103.23099999999999</v>
      </c>
      <c r="AY449" s="56">
        <f t="shared" si="1174"/>
        <v>82.980999999999995</v>
      </c>
      <c r="AZ449" s="56">
        <f t="shared" si="1174"/>
        <v>137.35300000000001</v>
      </c>
      <c r="BA449" s="56">
        <f t="shared" si="1174"/>
        <v>193.102</v>
      </c>
      <c r="BB449" s="56">
        <f t="shared" si="1174"/>
        <v>221.149</v>
      </c>
      <c r="BC449" s="56">
        <f t="shared" si="1174"/>
        <v>250.99700000000001</v>
      </c>
      <c r="BD449" s="56">
        <f ca="1">W449</f>
        <v>330.67393204004787</v>
      </c>
      <c r="BE449" s="56">
        <f ca="1">+AA449</f>
        <v>416.44958204136327</v>
      </c>
      <c r="BF449" s="18"/>
      <c r="BG449" s="86">
        <f>ROUND(AZ449-G449,1)</f>
        <v>0</v>
      </c>
      <c r="BH449" s="86">
        <f>ROUND(BA449-K449,1)</f>
        <v>0</v>
      </c>
      <c r="BI449" s="86">
        <f>ROUND(BB449-O449,1)</f>
        <v>0</v>
      </c>
      <c r="BJ449" s="86">
        <f>ROUND(BC449-S449,1)</f>
        <v>0</v>
      </c>
      <c r="BK449" s="86">
        <f ca="1">ROUND(BD449-W449,1)</f>
        <v>0</v>
      </c>
    </row>
    <row r="450" spans="1:63" s="54" customFormat="1" ht="11.25" customHeight="1">
      <c r="A450" s="18"/>
      <c r="B450" s="30" t="s">
        <v>206</v>
      </c>
      <c r="C450" s="18"/>
      <c r="D450" s="56">
        <f t="shared" ref="D450:U450" si="1175">D397</f>
        <v>146.42099999999999</v>
      </c>
      <c r="E450" s="56">
        <f t="shared" si="1175"/>
        <v>149.6</v>
      </c>
      <c r="F450" s="56">
        <f t="shared" si="1175"/>
        <v>162.578</v>
      </c>
      <c r="G450" s="56">
        <f t="shared" si="1175"/>
        <v>146.03800000000001</v>
      </c>
      <c r="H450" s="56">
        <f t="shared" si="1175"/>
        <v>167.47900000000001</v>
      </c>
      <c r="I450" s="56">
        <f t="shared" si="1175"/>
        <v>178.26</v>
      </c>
      <c r="J450" s="56">
        <f t="shared" si="1175"/>
        <v>187.16800000000001</v>
      </c>
      <c r="K450" s="56">
        <f t="shared" si="1175"/>
        <v>198.30199999999999</v>
      </c>
      <c r="L450" s="56">
        <f t="shared" si="1175"/>
        <v>213.428</v>
      </c>
      <c r="M450" s="56">
        <f t="shared" si="1175"/>
        <v>222.06899999999999</v>
      </c>
      <c r="N450" s="56">
        <f t="shared" si="1175"/>
        <v>261.53800000000001</v>
      </c>
      <c r="O450" s="56">
        <f t="shared" si="1175"/>
        <v>231.34</v>
      </c>
      <c r="P450" s="56">
        <f t="shared" si="1175"/>
        <v>148.047</v>
      </c>
      <c r="Q450" s="56">
        <f t="shared" si="1175"/>
        <v>191.02699999999999</v>
      </c>
      <c r="R450" s="56">
        <f t="shared" si="1175"/>
        <v>222.82400000000001</v>
      </c>
      <c r="S450" s="56">
        <f t="shared" si="1175"/>
        <v>201.93799999999999</v>
      </c>
      <c r="T450" s="56">
        <f t="shared" si="1175"/>
        <v>201.98</v>
      </c>
      <c r="U450" s="56">
        <f t="shared" si="1175"/>
        <v>210.21</v>
      </c>
      <c r="V450" s="56">
        <f t="shared" ref="V450" si="1176">V397</f>
        <v>249.97399999999999</v>
      </c>
      <c r="W450" s="56">
        <f ca="1">W457/W$542*W476</f>
        <v>283.3563632417177</v>
      </c>
      <c r="X450" s="56">
        <f t="shared" ref="X450:AA450" si="1177">X457/X$542*X476</f>
        <v>269.11035692236874</v>
      </c>
      <c r="Y450" s="56">
        <f t="shared" si="1177"/>
        <v>268.86181753339736</v>
      </c>
      <c r="Z450" s="56">
        <f t="shared" si="1177"/>
        <v>299.96879999999999</v>
      </c>
      <c r="AA450" s="56">
        <f t="shared" ca="1" si="1177"/>
        <v>340.02763589006122</v>
      </c>
      <c r="AB450" s="56"/>
      <c r="AC450" s="56">
        <f t="shared" ref="AC450:BC450" si="1178">AC397</f>
        <v>9.3019999999999996</v>
      </c>
      <c r="AD450" s="56">
        <f t="shared" si="1178"/>
        <v>7.4509999999999996</v>
      </c>
      <c r="AE450" s="56">
        <f t="shared" si="1178"/>
        <v>12.621</v>
      </c>
      <c r="AF450" s="56">
        <f t="shared" si="1178"/>
        <v>28.004000000000001</v>
      </c>
      <c r="AG450" s="56">
        <f t="shared" si="1178"/>
        <v>16.946999999999999</v>
      </c>
      <c r="AH450" s="56">
        <f t="shared" si="1178"/>
        <v>16.725000000000001</v>
      </c>
      <c r="AI450" s="56">
        <f t="shared" si="1178"/>
        <v>26.401</v>
      </c>
      <c r="AJ450" s="56">
        <f t="shared" si="1178"/>
        <v>27.544</v>
      </c>
      <c r="AK450" s="56">
        <f t="shared" si="1178"/>
        <v>38.478000000000002</v>
      </c>
      <c r="AL450" s="56">
        <f t="shared" si="1178"/>
        <v>31.588999999999999</v>
      </c>
      <c r="AM450" s="56">
        <f t="shared" si="1178"/>
        <v>42.423999999999999</v>
      </c>
      <c r="AN450" s="56">
        <f t="shared" si="1178"/>
        <v>18.497</v>
      </c>
      <c r="AO450" s="56">
        <f t="shared" si="1178"/>
        <v>35.381999999999998</v>
      </c>
      <c r="AP450" s="56">
        <f t="shared" si="1178"/>
        <v>42.981999999999999</v>
      </c>
      <c r="AQ450" s="56">
        <f t="shared" si="1178"/>
        <v>40.948</v>
      </c>
      <c r="AR450" s="56">
        <f t="shared" si="1178"/>
        <v>58.131</v>
      </c>
      <c r="AS450" s="56">
        <f t="shared" si="1178"/>
        <v>71.941999999999993</v>
      </c>
      <c r="AT450" s="56">
        <f t="shared" si="1178"/>
        <v>115.048</v>
      </c>
      <c r="AU450" s="56">
        <f t="shared" si="1178"/>
        <v>85.564999999999998</v>
      </c>
      <c r="AV450" s="56">
        <f t="shared" si="1178"/>
        <v>129.30500000000001</v>
      </c>
      <c r="AW450" s="56">
        <f t="shared" si="1178"/>
        <v>122.31699999999999</v>
      </c>
      <c r="AX450" s="56">
        <f t="shared" si="1178"/>
        <v>129.19800000000001</v>
      </c>
      <c r="AY450" s="56">
        <f t="shared" si="1178"/>
        <v>139.77099999999999</v>
      </c>
      <c r="AZ450" s="56">
        <f t="shared" si="1178"/>
        <v>146.03800000000001</v>
      </c>
      <c r="BA450" s="56">
        <f t="shared" si="1178"/>
        <v>198.30199999999999</v>
      </c>
      <c r="BB450" s="56">
        <f t="shared" si="1178"/>
        <v>231.34</v>
      </c>
      <c r="BC450" s="56">
        <f t="shared" si="1178"/>
        <v>201.93799999999999</v>
      </c>
      <c r="BD450" s="56">
        <f ca="1">W450</f>
        <v>283.3563632417177</v>
      </c>
      <c r="BE450" s="56">
        <f t="shared" ref="BE450:BE453" ca="1" si="1179">+AA450</f>
        <v>340.02763589006122</v>
      </c>
      <c r="BF450" s="18"/>
      <c r="BG450" s="86">
        <f>ROUND(AZ450-G450,1)</f>
        <v>0</v>
      </c>
      <c r="BH450" s="86">
        <f>ROUND(BA450-K450,1)</f>
        <v>0</v>
      </c>
      <c r="BI450" s="86">
        <f>ROUND(BB450-O450,1)</f>
        <v>0</v>
      </c>
      <c r="BJ450" s="86">
        <f>ROUND(BC450-S450,1)</f>
        <v>0</v>
      </c>
      <c r="BK450" s="86">
        <f ca="1">ROUND(BD450-W450,1)</f>
        <v>0</v>
      </c>
    </row>
    <row r="451" spans="1:63" s="54" customFormat="1" ht="11.25" customHeight="1">
      <c r="A451" s="18"/>
      <c r="B451" s="13" t="s">
        <v>207</v>
      </c>
      <c r="C451" s="18"/>
      <c r="D451" s="56">
        <f t="shared" ref="D451:U451" si="1180">D399</f>
        <v>16.218</v>
      </c>
      <c r="E451" s="56">
        <f t="shared" si="1180"/>
        <v>19.628</v>
      </c>
      <c r="F451" s="56">
        <f t="shared" si="1180"/>
        <v>15.166</v>
      </c>
      <c r="G451" s="56">
        <f t="shared" si="1180"/>
        <v>17.317</v>
      </c>
      <c r="H451" s="56">
        <f t="shared" si="1180"/>
        <v>21.018000000000001</v>
      </c>
      <c r="I451" s="56">
        <f t="shared" si="1180"/>
        <v>21.57</v>
      </c>
      <c r="J451" s="56">
        <f t="shared" si="1180"/>
        <v>25.417999999999999</v>
      </c>
      <c r="K451" s="56">
        <f t="shared" si="1180"/>
        <v>27.213999999999999</v>
      </c>
      <c r="L451" s="56">
        <f t="shared" si="1180"/>
        <v>26.635000000000002</v>
      </c>
      <c r="M451" s="56">
        <f t="shared" si="1180"/>
        <v>40.790999999999997</v>
      </c>
      <c r="N451" s="56">
        <f t="shared" si="1180"/>
        <v>35.484000000000002</v>
      </c>
      <c r="O451" s="56">
        <f t="shared" si="1180"/>
        <v>38.921999999999997</v>
      </c>
      <c r="P451" s="56">
        <f t="shared" si="1180"/>
        <v>42.427</v>
      </c>
      <c r="Q451" s="56">
        <f t="shared" si="1180"/>
        <v>44.648000000000003</v>
      </c>
      <c r="R451" s="56">
        <f t="shared" si="1180"/>
        <v>46.241</v>
      </c>
      <c r="S451" s="56">
        <f t="shared" si="1180"/>
        <v>53.453000000000003</v>
      </c>
      <c r="T451" s="56">
        <f t="shared" si="1180"/>
        <v>61.008000000000003</v>
      </c>
      <c r="U451" s="56">
        <f t="shared" si="1180"/>
        <v>60.322000000000003</v>
      </c>
      <c r="V451" s="56">
        <f t="shared" ref="V451" si="1181">V399</f>
        <v>63.456000000000003</v>
      </c>
      <c r="W451" s="56">
        <f ca="1">W458*W476</f>
        <v>71.930126276598529</v>
      </c>
      <c r="X451" s="56">
        <f t="shared" ref="X451:AA451" si="1182">X458*X476</f>
        <v>66.828689870612848</v>
      </c>
      <c r="Y451" s="56">
        <f t="shared" si="1182"/>
        <v>67.508824826448603</v>
      </c>
      <c r="Z451" s="56">
        <f t="shared" si="1182"/>
        <v>76.147199999999998</v>
      </c>
      <c r="AA451" s="56">
        <f t="shared" ca="1" si="1182"/>
        <v>86.316151531918223</v>
      </c>
      <c r="AB451" s="56"/>
      <c r="AC451" s="56">
        <f t="shared" ref="AC451:BC451" si="1183">AC399</f>
        <v>2.2810000000000001</v>
      </c>
      <c r="AD451" s="56">
        <f t="shared" si="1183"/>
        <v>1.448</v>
      </c>
      <c r="AE451" s="56">
        <f t="shared" si="1183"/>
        <v>4.6500000000000004</v>
      </c>
      <c r="AF451" s="56">
        <f t="shared" si="1183"/>
        <v>11.212</v>
      </c>
      <c r="AG451" s="56">
        <f t="shared" si="1183"/>
        <v>5.0720000000000001</v>
      </c>
      <c r="AH451" s="56">
        <f t="shared" si="1183"/>
        <v>6.6509999999999998</v>
      </c>
      <c r="AI451" s="56">
        <f t="shared" si="1183"/>
        <v>11.404999999999999</v>
      </c>
      <c r="AJ451" s="56">
        <f t="shared" si="1183"/>
        <v>12.939</v>
      </c>
      <c r="AK451" s="56">
        <f t="shared" si="1183"/>
        <v>12.166</v>
      </c>
      <c r="AL451" s="56">
        <f t="shared" si="1183"/>
        <v>12.218</v>
      </c>
      <c r="AM451" s="56">
        <f t="shared" si="1183"/>
        <v>8.702</v>
      </c>
      <c r="AN451" s="56">
        <f t="shared" si="1183"/>
        <v>7.7949999999999999</v>
      </c>
      <c r="AO451" s="56">
        <f t="shared" si="1183"/>
        <v>7.7110000000000003</v>
      </c>
      <c r="AP451" s="56">
        <f t="shared" si="1183"/>
        <v>8.5570000000000004</v>
      </c>
      <c r="AQ451" s="56">
        <f t="shared" si="1183"/>
        <v>8.8490000000000002</v>
      </c>
      <c r="AR451" s="56">
        <f t="shared" si="1183"/>
        <v>3.4460000000000002</v>
      </c>
      <c r="AS451" s="56">
        <f t="shared" si="1183"/>
        <v>3.7080000000000002</v>
      </c>
      <c r="AT451" s="56">
        <f t="shared" si="1183"/>
        <v>8.2560000000000002</v>
      </c>
      <c r="AU451" s="56">
        <f t="shared" si="1183"/>
        <v>7.9640000000000004</v>
      </c>
      <c r="AV451" s="56">
        <f t="shared" si="1183"/>
        <v>7.633</v>
      </c>
      <c r="AW451" s="56">
        <f t="shared" si="1183"/>
        <v>11.646000000000001</v>
      </c>
      <c r="AX451" s="56">
        <f t="shared" si="1183"/>
        <v>24.068999999999999</v>
      </c>
      <c r="AY451" s="56">
        <f t="shared" si="1183"/>
        <v>16.414000000000001</v>
      </c>
      <c r="AZ451" s="56">
        <f t="shared" si="1183"/>
        <v>17.317</v>
      </c>
      <c r="BA451" s="56">
        <f t="shared" si="1183"/>
        <v>27.213999999999999</v>
      </c>
      <c r="BB451" s="56">
        <f t="shared" si="1183"/>
        <v>38.921999999999997</v>
      </c>
      <c r="BC451" s="56">
        <f t="shared" si="1183"/>
        <v>53.453000000000003</v>
      </c>
      <c r="BD451" s="56">
        <f ca="1">W451</f>
        <v>71.930126276598529</v>
      </c>
      <c r="BE451" s="56">
        <f t="shared" ca="1" si="1179"/>
        <v>86.316151531918223</v>
      </c>
      <c r="BF451" s="18"/>
      <c r="BG451" s="86">
        <f>ROUND(AZ451-G451,1)</f>
        <v>0</v>
      </c>
      <c r="BH451" s="86">
        <f>ROUND(BA451-K451,1)</f>
        <v>0</v>
      </c>
      <c r="BI451" s="86">
        <f>ROUND(BB451-O451,1)</f>
        <v>0</v>
      </c>
      <c r="BJ451" s="86">
        <f>ROUND(BC451-S451,1)</f>
        <v>0</v>
      </c>
      <c r="BK451" s="86">
        <f ca="1">ROUND(BD451-W451,1)</f>
        <v>0</v>
      </c>
    </row>
    <row r="452" spans="1:63" s="54" customFormat="1" ht="11.25" customHeight="1">
      <c r="A452" s="18"/>
      <c r="B452" s="30" t="s">
        <v>212</v>
      </c>
      <c r="C452" s="18"/>
      <c r="D452" s="56">
        <f>D413</f>
        <v>39.774000000000001</v>
      </c>
      <c r="E452" s="56">
        <f t="shared" ref="E452:U452" si="1184">E413</f>
        <v>39.533999999999999</v>
      </c>
      <c r="F452" s="56">
        <f t="shared" si="1184"/>
        <v>40.892000000000003</v>
      </c>
      <c r="G452" s="56">
        <f t="shared" si="1184"/>
        <v>41.094999999999999</v>
      </c>
      <c r="H452" s="56">
        <f t="shared" si="1184"/>
        <v>38.597999999999999</v>
      </c>
      <c r="I452" s="56">
        <f t="shared" si="1184"/>
        <v>41.23</v>
      </c>
      <c r="J452" s="56">
        <f t="shared" si="1184"/>
        <v>43.889000000000003</v>
      </c>
      <c r="K452" s="56">
        <f t="shared" si="1184"/>
        <v>48.722999999999999</v>
      </c>
      <c r="L452" s="56">
        <f t="shared" si="1184"/>
        <v>50.103999999999999</v>
      </c>
      <c r="M452" s="56">
        <f t="shared" si="1184"/>
        <v>59.817999999999998</v>
      </c>
      <c r="N452" s="56">
        <f t="shared" si="1184"/>
        <v>62.018000000000001</v>
      </c>
      <c r="O452" s="56">
        <f t="shared" si="1184"/>
        <v>56.521999999999998</v>
      </c>
      <c r="P452" s="56">
        <f t="shared" si="1184"/>
        <v>47.381999999999998</v>
      </c>
      <c r="Q452" s="56">
        <f t="shared" si="1184"/>
        <v>48.972999999999999</v>
      </c>
      <c r="R452" s="56">
        <f t="shared" si="1184"/>
        <v>53.771999999999998</v>
      </c>
      <c r="S452" s="56">
        <f t="shared" si="1184"/>
        <v>57.292999999999999</v>
      </c>
      <c r="T452" s="56">
        <f t="shared" si="1184"/>
        <v>57.61</v>
      </c>
      <c r="U452" s="56">
        <f t="shared" si="1184"/>
        <v>63.947000000000003</v>
      </c>
      <c r="V452" s="56">
        <f t="shared" ref="V452" si="1185">V413</f>
        <v>70.819999999999993</v>
      </c>
      <c r="W452" s="56">
        <f ca="1">W459/W$542*W477</f>
        <v>79.957689279974957</v>
      </c>
      <c r="X452" s="56">
        <f t="shared" ref="X452:AA452" si="1186">X459/X$542*X477</f>
        <v>79.696436324040732</v>
      </c>
      <c r="Y452" s="56">
        <f t="shared" si="1186"/>
        <v>79.622831934326044</v>
      </c>
      <c r="Z452" s="56">
        <f t="shared" si="1186"/>
        <v>88.835095913069182</v>
      </c>
      <c r="AA452" s="56">
        <f t="shared" ca="1" si="1186"/>
        <v>100.69843146149786</v>
      </c>
      <c r="AB452" s="56"/>
      <c r="AC452" s="56">
        <f>AC413</f>
        <v>3.339</v>
      </c>
      <c r="AD452" s="56">
        <f t="shared" ref="AD452:BC452" si="1187">AD413</f>
        <v>2.331</v>
      </c>
      <c r="AE452" s="56">
        <f t="shared" si="1187"/>
        <v>3.9580000000000002</v>
      </c>
      <c r="AF452" s="56">
        <f t="shared" si="1187"/>
        <v>11.114000000000001</v>
      </c>
      <c r="AG452" s="56">
        <f t="shared" si="1187"/>
        <v>2.4460000000000002</v>
      </c>
      <c r="AH452" s="56">
        <f t="shared" si="1187"/>
        <v>6.915</v>
      </c>
      <c r="AI452" s="56">
        <f t="shared" si="1187"/>
        <v>9.6869999999999994</v>
      </c>
      <c r="AJ452" s="56">
        <f t="shared" si="1187"/>
        <v>9.4819999999999993</v>
      </c>
      <c r="AK452" s="56">
        <f t="shared" si="1187"/>
        <v>11.164999999999999</v>
      </c>
      <c r="AL452" s="56">
        <f t="shared" si="1187"/>
        <v>9.8019999999999996</v>
      </c>
      <c r="AM452" s="56">
        <f t="shared" si="1187"/>
        <v>13.077999999999999</v>
      </c>
      <c r="AN452" s="56">
        <f t="shared" si="1187"/>
        <v>6.0430000000000001</v>
      </c>
      <c r="AO452" s="56">
        <f t="shared" si="1187"/>
        <v>11.689</v>
      </c>
      <c r="AP452" s="56">
        <f t="shared" si="1187"/>
        <v>12.971</v>
      </c>
      <c r="AQ452" s="56">
        <f t="shared" si="1187"/>
        <v>11.859</v>
      </c>
      <c r="AR452" s="56">
        <f t="shared" si="1187"/>
        <v>15.239000000000001</v>
      </c>
      <c r="AS452" s="56">
        <f t="shared" si="1187"/>
        <v>16.359000000000002</v>
      </c>
      <c r="AT452" s="56">
        <f t="shared" si="1187"/>
        <v>23.37</v>
      </c>
      <c r="AU452" s="56">
        <f t="shared" si="1187"/>
        <v>19.725000000000001</v>
      </c>
      <c r="AV452" s="56">
        <f t="shared" si="1187"/>
        <v>27.324999999999999</v>
      </c>
      <c r="AW452" s="56">
        <f t="shared" si="1187"/>
        <v>30.068999999999999</v>
      </c>
      <c r="AX452" s="56">
        <f t="shared" si="1187"/>
        <v>34.356999999999999</v>
      </c>
      <c r="AY452" s="56">
        <f t="shared" si="1187"/>
        <v>40.206000000000003</v>
      </c>
      <c r="AZ452" s="56">
        <f t="shared" si="1187"/>
        <v>41.094999999999999</v>
      </c>
      <c r="BA452" s="56">
        <f t="shared" si="1187"/>
        <v>48.722999999999999</v>
      </c>
      <c r="BB452" s="56">
        <f t="shared" si="1187"/>
        <v>56.521999999999998</v>
      </c>
      <c r="BC452" s="56">
        <f t="shared" si="1187"/>
        <v>57.292999999999999</v>
      </c>
      <c r="BD452" s="56">
        <f ca="1">W452</f>
        <v>79.957689279974957</v>
      </c>
      <c r="BE452" s="56">
        <f t="shared" ca="1" si="1179"/>
        <v>100.69843146149786</v>
      </c>
      <c r="BF452" s="18"/>
      <c r="BG452" s="86">
        <f>ROUND(AZ452-G452,1)</f>
        <v>0</v>
      </c>
      <c r="BH452" s="86">
        <f>ROUND(BA452-K452,1)</f>
        <v>0</v>
      </c>
      <c r="BI452" s="86">
        <f>ROUND(BB452-O452,1)</f>
        <v>0</v>
      </c>
      <c r="BJ452" s="86">
        <f>ROUND(BC452-S452,1)</f>
        <v>0</v>
      </c>
      <c r="BK452" s="86">
        <f ca="1">ROUND(BD452-W452,1)</f>
        <v>0</v>
      </c>
    </row>
    <row r="453" spans="1:63" s="54" customFormat="1" ht="11.25" customHeight="1">
      <c r="A453" s="18"/>
      <c r="B453" s="13" t="s">
        <v>262</v>
      </c>
      <c r="C453" s="18"/>
      <c r="D453" s="56">
        <f>D416</f>
        <v>166.46600000000001</v>
      </c>
      <c r="E453" s="56">
        <f t="shared" ref="E453:U453" si="1188">E416</f>
        <v>165.524</v>
      </c>
      <c r="F453" s="56">
        <f t="shared" si="1188"/>
        <v>159.083</v>
      </c>
      <c r="G453" s="56">
        <f t="shared" si="1188"/>
        <v>197.44</v>
      </c>
      <c r="H453" s="56">
        <f t="shared" si="1188"/>
        <v>247.23699999999999</v>
      </c>
      <c r="I453" s="56">
        <f t="shared" si="1188"/>
        <v>223.857</v>
      </c>
      <c r="J453" s="56">
        <f t="shared" si="1188"/>
        <v>221.904</v>
      </c>
      <c r="K453" s="56">
        <f t="shared" si="1188"/>
        <v>282.93299999999999</v>
      </c>
      <c r="L453" s="56">
        <f t="shared" si="1188"/>
        <v>345.88799999999998</v>
      </c>
      <c r="M453" s="56">
        <f t="shared" si="1188"/>
        <v>349.48399999999998</v>
      </c>
      <c r="N453" s="56">
        <f t="shared" si="1188"/>
        <v>419.589</v>
      </c>
      <c r="O453" s="56">
        <f t="shared" si="1188"/>
        <v>512.274</v>
      </c>
      <c r="P453" s="56">
        <f t="shared" si="1188"/>
        <v>517.67600000000004</v>
      </c>
      <c r="Q453" s="56">
        <f t="shared" si="1188"/>
        <v>463.66800000000001</v>
      </c>
      <c r="R453" s="56">
        <f t="shared" si="1188"/>
        <v>522.40200000000004</v>
      </c>
      <c r="S453" s="56">
        <f t="shared" si="1188"/>
        <v>506.95400000000001</v>
      </c>
      <c r="T453" s="56">
        <f t="shared" si="1188"/>
        <v>647.36599999999999</v>
      </c>
      <c r="U453" s="56">
        <f t="shared" si="1188"/>
        <v>630.54899999999998</v>
      </c>
      <c r="V453" s="56">
        <f t="shared" ref="V453" si="1189">V416</f>
        <v>618.18600000000004</v>
      </c>
      <c r="W453" s="56">
        <f ca="1">W460*W477</f>
        <v>697.94866005691335</v>
      </c>
      <c r="X453" s="56">
        <f t="shared" ref="X453:AA453" si="1190">X460*X477</f>
        <v>680.54496805852114</v>
      </c>
      <c r="Y453" s="56">
        <f t="shared" si="1190"/>
        <v>687.47107154328023</v>
      </c>
      <c r="Z453" s="56">
        <f t="shared" si="1190"/>
        <v>775.43931943118605</v>
      </c>
      <c r="AA453" s="56">
        <f t="shared" ca="1" si="1190"/>
        <v>878.9940772586491</v>
      </c>
      <c r="AB453" s="56"/>
      <c r="AC453" s="56">
        <f t="shared" ref="AC453:BB453" si="1191">AC416</f>
        <v>1.643</v>
      </c>
      <c r="AD453" s="56">
        <f t="shared" si="1191"/>
        <v>2.5510000000000002</v>
      </c>
      <c r="AE453" s="56">
        <f t="shared" si="1191"/>
        <v>3.6259999999999999</v>
      </c>
      <c r="AF453" s="56">
        <f t="shared" si="1191"/>
        <v>6.8760000000000003</v>
      </c>
      <c r="AG453" s="56">
        <f t="shared" si="1191"/>
        <v>6.7469999999999999</v>
      </c>
      <c r="AH453" s="56">
        <f t="shared" si="1191"/>
        <v>6.4770000000000003</v>
      </c>
      <c r="AI453" s="56">
        <f t="shared" si="1191"/>
        <v>8.8209999999999997</v>
      </c>
      <c r="AJ453" s="56">
        <f t="shared" si="1191"/>
        <v>10.125999999999999</v>
      </c>
      <c r="AK453" s="56">
        <f t="shared" si="1191"/>
        <v>14.558</v>
      </c>
      <c r="AL453" s="56">
        <f t="shared" si="1191"/>
        <v>19.286000000000001</v>
      </c>
      <c r="AM453" s="56">
        <f t="shared" si="1191"/>
        <v>29.09</v>
      </c>
      <c r="AN453" s="56">
        <f t="shared" si="1191"/>
        <v>34.542999999999999</v>
      </c>
      <c r="AO453" s="56">
        <f t="shared" si="1191"/>
        <v>37.570999999999998</v>
      </c>
      <c r="AP453" s="56">
        <f t="shared" si="1191"/>
        <v>35.505000000000003</v>
      </c>
      <c r="AQ453" s="56">
        <f t="shared" si="1191"/>
        <v>39.116999999999997</v>
      </c>
      <c r="AR453" s="56">
        <f t="shared" si="1191"/>
        <v>53.56</v>
      </c>
      <c r="AS453" s="56">
        <f t="shared" si="1191"/>
        <v>67.963999999999999</v>
      </c>
      <c r="AT453" s="56">
        <f t="shared" si="1191"/>
        <v>114.505</v>
      </c>
      <c r="AU453" s="56">
        <f t="shared" si="1191"/>
        <v>103.5</v>
      </c>
      <c r="AV453" s="56">
        <f t="shared" si="1191"/>
        <v>131.69200000000001</v>
      </c>
      <c r="AW453" s="56">
        <f t="shared" si="1191"/>
        <v>150.74600000000001</v>
      </c>
      <c r="AX453" s="56">
        <f t="shared" si="1191"/>
        <v>139.39699999999999</v>
      </c>
      <c r="AY453" s="56">
        <f t="shared" si="1191"/>
        <v>129.745</v>
      </c>
      <c r="AZ453" s="56">
        <f t="shared" si="1191"/>
        <v>197.44</v>
      </c>
      <c r="BA453" s="56">
        <f t="shared" si="1191"/>
        <v>282.93299999999999</v>
      </c>
      <c r="BB453" s="56">
        <f t="shared" si="1191"/>
        <v>512.274</v>
      </c>
      <c r="BC453" s="56">
        <f>BC416</f>
        <v>506.95400000000001</v>
      </c>
      <c r="BD453" s="56">
        <f ca="1">W453</f>
        <v>697.94866005691335</v>
      </c>
      <c r="BE453" s="56">
        <f t="shared" ca="1" si="1179"/>
        <v>878.9940772586491</v>
      </c>
      <c r="BF453" s="18"/>
      <c r="BG453" s="86">
        <f>ROUND(AZ453-G453,1)</f>
        <v>0</v>
      </c>
      <c r="BH453" s="86">
        <f>ROUND(BA453-K453,1)</f>
        <v>0</v>
      </c>
      <c r="BI453" s="86">
        <f>ROUND(BB453-O453,1)</f>
        <v>0</v>
      </c>
      <c r="BJ453" s="86">
        <f>ROUND(BC453-S453,1)</f>
        <v>0</v>
      </c>
      <c r="BK453" s="86">
        <f ca="1">ROUND(BD453-W453,1)</f>
        <v>0</v>
      </c>
    </row>
    <row r="454" spans="1:63" ht="11.25" customHeight="1">
      <c r="A454" s="2"/>
      <c r="B454" s="1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row>
    <row r="455" spans="1:63" ht="11.25" customHeight="1">
      <c r="A455" s="2"/>
      <c r="B455" s="32" t="s">
        <v>410</v>
      </c>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row>
    <row r="456" spans="1:63" s="54" customFormat="1" ht="11.25" customHeight="1">
      <c r="A456" s="18"/>
      <c r="B456" s="35" t="s">
        <v>263</v>
      </c>
      <c r="C456" s="18"/>
      <c r="D456" s="176">
        <f t="shared" ref="D456:U456" si="1192">(D449/D477)*D542</f>
        <v>47.545708183153124</v>
      </c>
      <c r="E456" s="176">
        <f t="shared" si="1192"/>
        <v>53.442783208740657</v>
      </c>
      <c r="F456" s="176">
        <f t="shared" si="1192"/>
        <v>60.717161246775788</v>
      </c>
      <c r="G456" s="176">
        <f t="shared" si="1192"/>
        <v>75.987396044426546</v>
      </c>
      <c r="H456" s="176">
        <f t="shared" si="1192"/>
        <v>80.610994894854869</v>
      </c>
      <c r="I456" s="176">
        <f t="shared" si="1192"/>
        <v>83.410141544948047</v>
      </c>
      <c r="J456" s="176">
        <f t="shared" si="1192"/>
        <v>83.028490776278318</v>
      </c>
      <c r="K456" s="176">
        <f t="shared" si="1192"/>
        <v>85.643549273503865</v>
      </c>
      <c r="L456" s="176">
        <f t="shared" si="1192"/>
        <v>82.666094467878082</v>
      </c>
      <c r="M456" s="176">
        <f t="shared" si="1192"/>
        <v>90.486059092800659</v>
      </c>
      <c r="N456" s="176">
        <f t="shared" si="1192"/>
        <v>82.783809959487797</v>
      </c>
      <c r="O456" s="176">
        <f t="shared" si="1192"/>
        <v>86.08405437767351</v>
      </c>
      <c r="P456" s="176">
        <f t="shared" si="1192"/>
        <v>87.542688389388331</v>
      </c>
      <c r="Q456" s="176">
        <f t="shared" si="1192"/>
        <v>96.647055624294666</v>
      </c>
      <c r="R456" s="176">
        <f t="shared" si="1192"/>
        <v>96.414410812107619</v>
      </c>
      <c r="S456" s="176">
        <f t="shared" si="1192"/>
        <v>78.607180667277134</v>
      </c>
      <c r="T456" s="176">
        <f t="shared" si="1192"/>
        <v>87.395845242846192</v>
      </c>
      <c r="U456" s="176">
        <f t="shared" si="1192"/>
        <v>78.623526800577068</v>
      </c>
      <c r="V456" s="176">
        <f t="shared" ref="V456" si="1193">(V449/V477)*V542</f>
        <v>84.112940030654272</v>
      </c>
      <c r="W456" s="172">
        <f t="shared" ref="W456" si="1194">V456</f>
        <v>84.112940030654272</v>
      </c>
      <c r="X456" s="172">
        <f t="shared" ref="X456:X460" si="1195">W456</f>
        <v>84.112940030654272</v>
      </c>
      <c r="Y456" s="172">
        <f t="shared" ref="Y456:Y460" si="1196">X456</f>
        <v>84.112940030654272</v>
      </c>
      <c r="Z456" s="172">
        <f t="shared" ref="Z456:Z460" si="1197">Y456</f>
        <v>84.112940030654272</v>
      </c>
      <c r="AA456" s="172">
        <f t="shared" ref="AA456:AA460" si="1198">Z456</f>
        <v>84.112940030654272</v>
      </c>
      <c r="AB456" s="18"/>
      <c r="AC456" s="176">
        <f t="shared" ref="AC456:BD456" si="1199">(AC449/AC477)*AC542</f>
        <v>77.91524384905</v>
      </c>
      <c r="AD456" s="176">
        <f t="shared" si="1199"/>
        <v>47.649547897158676</v>
      </c>
      <c r="AE456" s="176">
        <f t="shared" si="1199"/>
        <v>51.307266602502402</v>
      </c>
      <c r="AF456" s="176">
        <f t="shared" si="1199"/>
        <v>52.1807720612832</v>
      </c>
      <c r="AG456" s="176">
        <f t="shared" si="1199"/>
        <v>38.895129461768661</v>
      </c>
      <c r="AH456" s="176">
        <f t="shared" si="1199"/>
        <v>37.171009564679785</v>
      </c>
      <c r="AI456" s="176">
        <f t="shared" si="1199"/>
        <v>34.573189293826537</v>
      </c>
      <c r="AJ456" s="176">
        <f t="shared" si="1199"/>
        <v>40.266885440683474</v>
      </c>
      <c r="AK456" s="176">
        <f t="shared" si="1199"/>
        <v>43.614402609832716</v>
      </c>
      <c r="AL456" s="176">
        <f t="shared" si="1199"/>
        <v>48.406313236013048</v>
      </c>
      <c r="AM456" s="176">
        <f t="shared" si="1199"/>
        <v>48.31168182826714</v>
      </c>
      <c r="AN456" s="176">
        <f t="shared" si="1199"/>
        <v>28.446992811167767</v>
      </c>
      <c r="AO456" s="176">
        <f t="shared" si="1199"/>
        <v>45.871476387061108</v>
      </c>
      <c r="AP456" s="176">
        <f t="shared" si="1199"/>
        <v>48.795156341183329</v>
      </c>
      <c r="AQ456" s="176">
        <f t="shared" si="1199"/>
        <v>38.912008823579903</v>
      </c>
      <c r="AR456" s="176">
        <f t="shared" si="1199"/>
        <v>52.725530067629322</v>
      </c>
      <c r="AS456" s="176">
        <f t="shared" si="1199"/>
        <v>43.298273532882597</v>
      </c>
      <c r="AT456" s="176">
        <f t="shared" si="1199"/>
        <v>62.87815126050419</v>
      </c>
      <c r="AU456" s="176">
        <f t="shared" si="1199"/>
        <v>56.508582273921618</v>
      </c>
      <c r="AV456" s="176">
        <f t="shared" si="1199"/>
        <v>37.66093010868601</v>
      </c>
      <c r="AW456" s="176">
        <f t="shared" si="1199"/>
        <v>55.875241649244444</v>
      </c>
      <c r="AX456" s="176">
        <f t="shared" si="1199"/>
        <v>70.613408920539726</v>
      </c>
      <c r="AY456" s="176">
        <f t="shared" si="1199"/>
        <v>52.466580515968765</v>
      </c>
      <c r="AZ456" s="176">
        <f t="shared" si="1199"/>
        <v>80.033748059701495</v>
      </c>
      <c r="BA456" s="176">
        <f t="shared" si="1199"/>
        <v>91.788317935922109</v>
      </c>
      <c r="BB456" s="176">
        <f t="shared" si="1199"/>
        <v>88.166259983222929</v>
      </c>
      <c r="BC456" s="176">
        <f t="shared" si="1199"/>
        <v>92.855852020777917</v>
      </c>
      <c r="BD456" s="176">
        <f t="shared" ca="1" si="1199"/>
        <v>94.881836341956287</v>
      </c>
      <c r="BE456" s="176">
        <f t="shared" ref="BE456" ca="1" si="1200">(BE449/BE477)*BE542</f>
        <v>97.049824654375271</v>
      </c>
      <c r="BF456" s="18"/>
      <c r="BG456" s="18"/>
      <c r="BH456" s="18"/>
      <c r="BI456" s="18"/>
      <c r="BJ456" s="18"/>
      <c r="BK456" s="18"/>
    </row>
    <row r="457" spans="1:63" s="54" customFormat="1" ht="11.25" customHeight="1">
      <c r="A457" s="18"/>
      <c r="B457" s="35" t="s">
        <v>264</v>
      </c>
      <c r="C457" s="18"/>
      <c r="D457" s="176">
        <f t="shared" ref="D457:U457" si="1201">D450/D476*D542</f>
        <v>42.899007876706975</v>
      </c>
      <c r="E457" s="176">
        <f t="shared" si="1201"/>
        <v>43.80203194568265</v>
      </c>
      <c r="F457" s="176">
        <f t="shared" si="1201"/>
        <v>41.964299572093182</v>
      </c>
      <c r="G457" s="176">
        <f t="shared" si="1201"/>
        <v>37.172847750890696</v>
      </c>
      <c r="H457" s="176">
        <f t="shared" si="1201"/>
        <v>41.591292828571639</v>
      </c>
      <c r="I457" s="176">
        <f t="shared" si="1201"/>
        <v>43.589608034684915</v>
      </c>
      <c r="J457" s="176">
        <f t="shared" si="1201"/>
        <v>41.525647531240715</v>
      </c>
      <c r="K457" s="176">
        <f t="shared" si="1201"/>
        <v>41.634480235352889</v>
      </c>
      <c r="L457" s="176">
        <f t="shared" si="1201"/>
        <v>39.115177625515308</v>
      </c>
      <c r="M457" s="176">
        <f t="shared" si="1201"/>
        <v>37.833243027557621</v>
      </c>
      <c r="N457" s="176">
        <f t="shared" si="1201"/>
        <v>39.242894537528606</v>
      </c>
      <c r="O457" s="176">
        <f t="shared" si="1201"/>
        <v>34.02429370712732</v>
      </c>
      <c r="P457" s="176">
        <f t="shared" si="1201"/>
        <v>26.196158541219859</v>
      </c>
      <c r="Q457" s="176">
        <f t="shared" si="1201"/>
        <v>36.152174663449316</v>
      </c>
      <c r="R457" s="176">
        <f t="shared" si="1201"/>
        <v>37.495115666729447</v>
      </c>
      <c r="S457" s="176">
        <f t="shared" si="1201"/>
        <v>29.700134693192449</v>
      </c>
      <c r="T457" s="176">
        <f t="shared" si="1201"/>
        <v>31.013852778760249</v>
      </c>
      <c r="U457" s="176">
        <f t="shared" si="1201"/>
        <v>28.402109802121082</v>
      </c>
      <c r="V457" s="176">
        <f t="shared" ref="V457" si="1202">V450/V476*V542</f>
        <v>30.272278765605005</v>
      </c>
      <c r="W457" s="172">
        <f t="shared" ref="W457:W460" si="1203">V457</f>
        <v>30.272278765605005</v>
      </c>
      <c r="X457" s="172">
        <f t="shared" si="1195"/>
        <v>30.272278765605005</v>
      </c>
      <c r="Y457" s="172">
        <f t="shared" si="1196"/>
        <v>30.272278765605005</v>
      </c>
      <c r="Z457" s="172">
        <f t="shared" si="1197"/>
        <v>30.272278765605005</v>
      </c>
      <c r="AA457" s="172">
        <f t="shared" si="1198"/>
        <v>30.272278765605005</v>
      </c>
      <c r="AB457" s="18"/>
      <c r="AC457" s="176">
        <f t="shared" ref="AC457:BD457" si="1204">AC450/AC476*AC542</f>
        <v>77.292553554761312</v>
      </c>
      <c r="AD457" s="176">
        <f t="shared" si="1204"/>
        <v>53.937071119749319</v>
      </c>
      <c r="AE457" s="176">
        <f t="shared" si="1204"/>
        <v>63.047134821465242</v>
      </c>
      <c r="AF457" s="176">
        <f t="shared" si="1204"/>
        <v>61.670200604098724</v>
      </c>
      <c r="AG457" s="176">
        <f t="shared" si="1204"/>
        <v>49.137347579139686</v>
      </c>
      <c r="AH457" s="176">
        <f t="shared" si="1204"/>
        <v>37.612984516423197</v>
      </c>
      <c r="AI457" s="176">
        <f t="shared" si="1204"/>
        <v>47.470479859308263</v>
      </c>
      <c r="AJ457" s="176">
        <f t="shared" si="1204"/>
        <v>39.19360218962494</v>
      </c>
      <c r="AK457" s="176">
        <f t="shared" si="1204"/>
        <v>52.686849361319005</v>
      </c>
      <c r="AL457" s="176">
        <f t="shared" si="1204"/>
        <v>36.325553626731612</v>
      </c>
      <c r="AM457" s="176">
        <f t="shared" si="1204"/>
        <v>47.995412701856623</v>
      </c>
      <c r="AN457" s="176">
        <f t="shared" si="1204"/>
        <v>20.320394527521476</v>
      </c>
      <c r="AO457" s="176">
        <f t="shared" si="1204"/>
        <v>43.667892960756333</v>
      </c>
      <c r="AP457" s="176">
        <f t="shared" si="1204"/>
        <v>37.39453875453475</v>
      </c>
      <c r="AQ457" s="176">
        <f t="shared" si="1204"/>
        <v>34.99575022068413</v>
      </c>
      <c r="AR457" s="176">
        <f t="shared" si="1204"/>
        <v>41.985507503774087</v>
      </c>
      <c r="AS457" s="176">
        <f t="shared" si="1204"/>
        <v>43.982871710349997</v>
      </c>
      <c r="AT457" s="176">
        <f t="shared" si="1204"/>
        <v>55.050065154180743</v>
      </c>
      <c r="AU457" s="176">
        <f t="shared" si="1204"/>
        <v>37.025887466108358</v>
      </c>
      <c r="AV457" s="176">
        <f t="shared" si="1204"/>
        <v>49.924815757992612</v>
      </c>
      <c r="AW457" s="176">
        <f t="shared" si="1204"/>
        <v>45.675832039998085</v>
      </c>
      <c r="AX457" s="176">
        <f t="shared" si="1204"/>
        <v>45.718350877704566</v>
      </c>
      <c r="AY457" s="176">
        <f t="shared" si="1204"/>
        <v>47.679540965121596</v>
      </c>
      <c r="AZ457" s="176">
        <f t="shared" si="1204"/>
        <v>39.910185545713901</v>
      </c>
      <c r="BA457" s="176">
        <f t="shared" si="1204"/>
        <v>45.596285982517131</v>
      </c>
      <c r="BB457" s="176">
        <f t="shared" si="1204"/>
        <v>37.298213168797325</v>
      </c>
      <c r="BC457" s="176">
        <f t="shared" si="1204"/>
        <v>34.096379021305097</v>
      </c>
      <c r="BD457" s="176">
        <f t="shared" ca="1" si="1204"/>
        <v>35.922681498271302</v>
      </c>
      <c r="BE457" s="176">
        <f t="shared" ref="BE457" ca="1" si="1205">BE450/BE476*BE542</f>
        <v>34.928268409350963</v>
      </c>
      <c r="BF457" s="18"/>
      <c r="BG457" s="18"/>
      <c r="BH457" s="18"/>
      <c r="BI457" s="18"/>
      <c r="BJ457" s="18"/>
      <c r="BK457" s="18"/>
    </row>
    <row r="458" spans="1:63" s="54" customFormat="1" ht="11.25" customHeight="1">
      <c r="A458" s="18"/>
      <c r="B458" s="35" t="s">
        <v>265</v>
      </c>
      <c r="C458" s="18"/>
      <c r="D458" s="134">
        <f t="shared" ref="D458:U458" si="1206">D451/D476</f>
        <v>5.221554118216197E-2</v>
      </c>
      <c r="E458" s="134">
        <f t="shared" si="1206"/>
        <v>6.3153484973104773E-2</v>
      </c>
      <c r="F458" s="134">
        <f t="shared" si="1206"/>
        <v>4.2550182421492215E-2</v>
      </c>
      <c r="G458" s="134">
        <f t="shared" si="1206"/>
        <v>4.7912053600564809E-2</v>
      </c>
      <c r="H458" s="134">
        <f t="shared" si="1206"/>
        <v>5.7995051629751174E-2</v>
      </c>
      <c r="I458" s="134">
        <f t="shared" si="1206"/>
        <v>5.7961259532511085E-2</v>
      </c>
      <c r="J458" s="134">
        <f t="shared" si="1206"/>
        <v>6.1296878887990215E-2</v>
      </c>
      <c r="K458" s="134">
        <f t="shared" si="1206"/>
        <v>6.2105577720328937E-2</v>
      </c>
      <c r="L458" s="134">
        <f t="shared" si="1206"/>
        <v>5.4238054574511745E-2</v>
      </c>
      <c r="M458" s="134">
        <f t="shared" si="1206"/>
        <v>7.6367503454257676E-2</v>
      </c>
      <c r="N458" s="134">
        <f t="shared" si="1206"/>
        <v>5.7872331369989011E-2</v>
      </c>
      <c r="O458" s="134">
        <f t="shared" si="1206"/>
        <v>6.2222249562511489E-2</v>
      </c>
      <c r="P458" s="134">
        <f t="shared" si="1206"/>
        <v>8.3413782141882498E-2</v>
      </c>
      <c r="Q458" s="134">
        <f t="shared" si="1206"/>
        <v>9.2853929708784935E-2</v>
      </c>
      <c r="R458" s="134">
        <f t="shared" si="1206"/>
        <v>8.457696986943665E-2</v>
      </c>
      <c r="S458" s="134">
        <f t="shared" si="1206"/>
        <v>8.5452470977705183E-2</v>
      </c>
      <c r="T458" s="134">
        <f t="shared" si="1206"/>
        <v>0.10294203486182428</v>
      </c>
      <c r="U458" s="134">
        <f t="shared" si="1206"/>
        <v>8.9563605807251243E-2</v>
      </c>
      <c r="V458" s="134">
        <f t="shared" ref="V458" si="1207">V451/V476</f>
        <v>8.3528587901412682E-2</v>
      </c>
      <c r="W458" s="196">
        <f t="shared" si="1203"/>
        <v>8.3528587901412682E-2</v>
      </c>
      <c r="X458" s="196">
        <f t="shared" si="1195"/>
        <v>8.3528587901412682E-2</v>
      </c>
      <c r="Y458" s="196">
        <f t="shared" si="1196"/>
        <v>8.3528587901412682E-2</v>
      </c>
      <c r="Z458" s="196">
        <f t="shared" si="1197"/>
        <v>8.3528587901412682E-2</v>
      </c>
      <c r="AA458" s="196">
        <f t="shared" si="1198"/>
        <v>8.3528587901412682E-2</v>
      </c>
      <c r="AB458" s="18"/>
      <c r="AC458" s="134">
        <f>AC451/AC476</f>
        <v>5.1927060805427187E-2</v>
      </c>
      <c r="AD458" s="134">
        <f t="shared" ref="AD458:AR458" si="1208">AD451/AD476</f>
        <v>2.871762325968823E-2</v>
      </c>
      <c r="AE458" s="134">
        <f t="shared" si="1208"/>
        <v>6.364022061943149E-2</v>
      </c>
      <c r="AF458" s="134">
        <f t="shared" si="1208"/>
        <v>6.7461702306886959E-2</v>
      </c>
      <c r="AG458" s="134">
        <f t="shared" si="1208"/>
        <v>4.0290741549827223E-2</v>
      </c>
      <c r="AH458" s="134">
        <f t="shared" si="1208"/>
        <v>4.0979414791036409E-2</v>
      </c>
      <c r="AI458" s="134">
        <f t="shared" si="1208"/>
        <v>5.6183096301915786E-2</v>
      </c>
      <c r="AJ458" s="134">
        <f t="shared" si="1208"/>
        <v>5.0304611353236418E-2</v>
      </c>
      <c r="AK458" s="134">
        <f t="shared" si="1208"/>
        <v>4.5639900211955811E-2</v>
      </c>
      <c r="AL458" s="134">
        <f t="shared" si="1208"/>
        <v>3.8493164927049503E-2</v>
      </c>
      <c r="AM458" s="134">
        <f t="shared" si="1208"/>
        <v>2.6972073272789263E-2</v>
      </c>
      <c r="AN458" s="134">
        <f t="shared" si="1208"/>
        <v>2.3397306983473306E-2</v>
      </c>
      <c r="AO458" s="134">
        <f t="shared" si="1208"/>
        <v>2.607340181644812E-2</v>
      </c>
      <c r="AP458" s="134">
        <f t="shared" si="1208"/>
        <v>2.039624539374264E-2</v>
      </c>
      <c r="AQ458" s="134">
        <f t="shared" si="1208"/>
        <v>2.0719722956535177E-2</v>
      </c>
      <c r="AR458" s="134">
        <f t="shared" si="1208"/>
        <v>6.8002644328015076E-3</v>
      </c>
      <c r="AS458" s="134">
        <f t="shared" ref="AS458:BC458" si="1209">AS451/AS476</f>
        <v>6.2108055957549452E-3</v>
      </c>
      <c r="AT458" s="134">
        <f t="shared" si="1209"/>
        <v>1.0823197510245068E-2</v>
      </c>
      <c r="AU458" s="134">
        <f t="shared" si="1209"/>
        <v>9.4416459098254062E-3</v>
      </c>
      <c r="AV458" s="134">
        <f t="shared" si="1209"/>
        <v>8.0522143853289981E-3</v>
      </c>
      <c r="AW458" s="134">
        <f t="shared" si="1209"/>
        <v>1.1914712511266598E-2</v>
      </c>
      <c r="AX458" s="134">
        <f t="shared" si="1209"/>
        <v>2.3334577834456301E-2</v>
      </c>
      <c r="AY458" s="134">
        <f t="shared" si="1209"/>
        <v>1.5340395545267265E-2</v>
      </c>
      <c r="AZ458" s="134">
        <f t="shared" si="1209"/>
        <v>1.2930325026848084E-2</v>
      </c>
      <c r="BA458" s="134">
        <f t="shared" si="1209"/>
        <v>1.714359469054217E-2</v>
      </c>
      <c r="BB458" s="134">
        <f t="shared" si="1209"/>
        <v>1.7192521627491641E-2</v>
      </c>
      <c r="BC458" s="134">
        <f t="shared" si="1209"/>
        <v>2.4726886169263964E-2</v>
      </c>
      <c r="BD458" s="134">
        <f t="shared" ref="BD458:BE458" ca="1" si="1210">BD451/BD476</f>
        <v>2.4915265254846657E-2</v>
      </c>
      <c r="BE458" s="134">
        <f t="shared" ca="1" si="1210"/>
        <v>2.4291931294375433E-2</v>
      </c>
      <c r="BF458" s="18"/>
      <c r="BG458" s="18"/>
      <c r="BH458" s="18"/>
      <c r="BI458" s="18"/>
      <c r="BJ458" s="18"/>
      <c r="BK458" s="18"/>
    </row>
    <row r="459" spans="1:63" s="54" customFormat="1" ht="11.25" customHeight="1">
      <c r="A459" s="18"/>
      <c r="B459" s="35" t="s">
        <v>266</v>
      </c>
      <c r="C459" s="18"/>
      <c r="D459" s="176">
        <f t="shared" ref="D459:U459" si="1211">(D452/D477)*D542</f>
        <v>24.158550260312378</v>
      </c>
      <c r="E459" s="176">
        <f t="shared" si="1211"/>
        <v>24.62823461759632</v>
      </c>
      <c r="F459" s="176">
        <f t="shared" si="1211"/>
        <v>22.672323602439558</v>
      </c>
      <c r="G459" s="176">
        <f t="shared" si="1211"/>
        <v>22.734865932638591</v>
      </c>
      <c r="H459" s="176">
        <f t="shared" si="1211"/>
        <v>20.129801646858393</v>
      </c>
      <c r="I459" s="176">
        <f t="shared" si="1211"/>
        <v>20.177307634392406</v>
      </c>
      <c r="J459" s="176">
        <f t="shared" si="1211"/>
        <v>19.996473938343446</v>
      </c>
      <c r="K459" s="176">
        <f t="shared" si="1211"/>
        <v>21.609360085617592</v>
      </c>
      <c r="L459" s="176">
        <f t="shared" si="1211"/>
        <v>20.697195154975606</v>
      </c>
      <c r="M459" s="176">
        <f t="shared" si="1211"/>
        <v>24.893050353724508</v>
      </c>
      <c r="N459" s="176">
        <f t="shared" si="1211"/>
        <v>23.514612001994696</v>
      </c>
      <c r="O459" s="176">
        <f t="shared" si="1211"/>
        <v>22.001650116142791</v>
      </c>
      <c r="P459" s="176">
        <f t="shared" si="1211"/>
        <v>19.197417763231936</v>
      </c>
      <c r="Q459" s="176">
        <f t="shared" si="1211"/>
        <v>20.198163532616331</v>
      </c>
      <c r="R459" s="176">
        <f t="shared" si="1211"/>
        <v>19.780974849054338</v>
      </c>
      <c r="S459" s="176">
        <f t="shared" si="1211"/>
        <v>17.943008091611887</v>
      </c>
      <c r="T459" s="176">
        <f t="shared" si="1211"/>
        <v>18.848525377598971</v>
      </c>
      <c r="U459" s="176">
        <f t="shared" si="1211"/>
        <v>18.451026523138388</v>
      </c>
      <c r="V459" s="176">
        <f t="shared" ref="V459" si="1212">(V452/V477)*V542</f>
        <v>20.338695227362827</v>
      </c>
      <c r="W459" s="172">
        <f t="shared" si="1203"/>
        <v>20.338695227362827</v>
      </c>
      <c r="X459" s="172">
        <f t="shared" si="1195"/>
        <v>20.338695227362827</v>
      </c>
      <c r="Y459" s="172">
        <f t="shared" si="1196"/>
        <v>20.338695227362827</v>
      </c>
      <c r="Z459" s="172">
        <f t="shared" si="1197"/>
        <v>20.338695227362827</v>
      </c>
      <c r="AA459" s="172">
        <f t="shared" si="1198"/>
        <v>20.338695227362827</v>
      </c>
      <c r="AB459" s="18"/>
      <c r="AC459" s="176">
        <f t="shared" ref="AC459:BD459" si="1213">(AC452/AC477)*AC542</f>
        <v>53.355003940110329</v>
      </c>
      <c r="AD459" s="176">
        <f t="shared" si="1213"/>
        <v>27.37764262959745</v>
      </c>
      <c r="AE459" s="176">
        <f t="shared" si="1213"/>
        <v>34.761068334937441</v>
      </c>
      <c r="AF459" s="176">
        <f t="shared" si="1213"/>
        <v>45.357195423830873</v>
      </c>
      <c r="AG459" s="176">
        <f t="shared" si="1213"/>
        <v>9.6802489482586651</v>
      </c>
      <c r="AH459" s="176">
        <f t="shared" si="1213"/>
        <v>22.947730661526712</v>
      </c>
      <c r="AI459" s="176">
        <f t="shared" si="1213"/>
        <v>27.598721441227667</v>
      </c>
      <c r="AJ459" s="176">
        <f t="shared" si="1213"/>
        <v>24.544266376225295</v>
      </c>
      <c r="AK459" s="176">
        <f t="shared" si="1213"/>
        <v>27.468118520915059</v>
      </c>
      <c r="AL459" s="176">
        <f t="shared" si="1213"/>
        <v>22.139829328514761</v>
      </c>
      <c r="AM459" s="176">
        <f t="shared" si="1213"/>
        <v>26.478089638340357</v>
      </c>
      <c r="AN459" s="176">
        <f t="shared" si="1213"/>
        <v>11.55509696564407</v>
      </c>
      <c r="AO459" s="176">
        <f t="shared" si="1213"/>
        <v>25.637930930876792</v>
      </c>
      <c r="AP459" s="176">
        <f t="shared" si="1213"/>
        <v>22.281277649140641</v>
      </c>
      <c r="AQ459" s="176">
        <f t="shared" si="1213"/>
        <v>18.576446706607385</v>
      </c>
      <c r="AR459" s="176">
        <f t="shared" si="1213"/>
        <v>21.238781758362276</v>
      </c>
      <c r="AS459" s="176">
        <f t="shared" si="1213"/>
        <v>18.890957640336751</v>
      </c>
      <c r="AT459" s="176">
        <f t="shared" si="1213"/>
        <v>22.151141049744989</v>
      </c>
      <c r="AU459" s="176">
        <f t="shared" si="1213"/>
        <v>16.62339356548804</v>
      </c>
      <c r="AV459" s="176">
        <f t="shared" si="1213"/>
        <v>21.13892024197537</v>
      </c>
      <c r="AW459" s="176">
        <f t="shared" si="1213"/>
        <v>22.740794536499656</v>
      </c>
      <c r="AX459" s="176">
        <f t="shared" si="1213"/>
        <v>23.501321214392803</v>
      </c>
      <c r="AY459" s="176">
        <f t="shared" si="1213"/>
        <v>25.421136600246328</v>
      </c>
      <c r="AZ459" s="176">
        <f t="shared" si="1213"/>
        <v>23.945504477611941</v>
      </c>
      <c r="BA459" s="176">
        <f t="shared" si="1213"/>
        <v>23.159792310757698</v>
      </c>
      <c r="BB459" s="176">
        <f t="shared" si="1213"/>
        <v>22.533827178832944</v>
      </c>
      <c r="BC459" s="176">
        <f t="shared" si="1213"/>
        <v>21.195433928797666</v>
      </c>
      <c r="BD459" s="176">
        <f t="shared" ca="1" si="1213"/>
        <v>22.942638210818423</v>
      </c>
      <c r="BE459" s="176">
        <f t="shared" ref="BE459" ca="1" si="1214">(BE452/BE477)*BE542</f>
        <v>23.466862587313937</v>
      </c>
      <c r="BF459" s="18"/>
      <c r="BG459" s="18"/>
      <c r="BH459" s="18"/>
      <c r="BI459" s="18"/>
      <c r="BJ459" s="18"/>
      <c r="BK459" s="18"/>
    </row>
    <row r="460" spans="1:63" s="54" customFormat="1" ht="11.25" customHeight="1">
      <c r="A460" s="18"/>
      <c r="B460" s="35" t="s">
        <v>267</v>
      </c>
      <c r="C460" s="18"/>
      <c r="D460" s="134">
        <f t="shared" ref="D460:U460" si="1215">D453/D477</f>
        <v>1.1111066613269258</v>
      </c>
      <c r="E460" s="134">
        <f t="shared" si="1215"/>
        <v>1.1331361756893672</v>
      </c>
      <c r="F460" s="134">
        <f t="shared" si="1215"/>
        <v>0.95872405563724905</v>
      </c>
      <c r="G460" s="134">
        <f t="shared" si="1215"/>
        <v>1.1872733723398499</v>
      </c>
      <c r="H460" s="134">
        <f t="shared" si="1215"/>
        <v>1.4326682930503967</v>
      </c>
      <c r="I460" s="134">
        <f t="shared" si="1215"/>
        <v>1.2038688235420654</v>
      </c>
      <c r="J460" s="134">
        <f t="shared" si="1215"/>
        <v>1.0989426767364119</v>
      </c>
      <c r="K460" s="134">
        <f t="shared" si="1215"/>
        <v>1.3639663700261289</v>
      </c>
      <c r="L460" s="134">
        <f t="shared" si="1215"/>
        <v>1.5875670688887562</v>
      </c>
      <c r="M460" s="134">
        <f t="shared" si="1215"/>
        <v>1.5982037105632609</v>
      </c>
      <c r="N460" s="134">
        <f t="shared" si="1215"/>
        <v>1.7292441982665889</v>
      </c>
      <c r="O460" s="134">
        <f t="shared" si="1215"/>
        <v>2.1674656331580264</v>
      </c>
      <c r="P460" s="134">
        <f t="shared" si="1215"/>
        <v>2.3304776867912467</v>
      </c>
      <c r="Q460" s="134">
        <f t="shared" si="1215"/>
        <v>2.1014589310236991</v>
      </c>
      <c r="R460" s="134">
        <f t="shared" si="1215"/>
        <v>2.0888560118357389</v>
      </c>
      <c r="S460" s="134">
        <f t="shared" si="1215"/>
        <v>1.7257362277497692</v>
      </c>
      <c r="T460" s="134">
        <f t="shared" si="1215"/>
        <v>2.327490930793596</v>
      </c>
      <c r="U460" s="134">
        <f t="shared" si="1215"/>
        <v>1.9992992691472327</v>
      </c>
      <c r="V460" s="134">
        <f t="shared" ref="V460" si="1216">V453/V477</f>
        <v>1.9297386896084561</v>
      </c>
      <c r="W460" s="196">
        <f t="shared" si="1203"/>
        <v>1.9297386896084561</v>
      </c>
      <c r="X460" s="196">
        <f t="shared" si="1195"/>
        <v>1.9297386896084561</v>
      </c>
      <c r="Y460" s="196">
        <f t="shared" si="1196"/>
        <v>1.9297386896084561</v>
      </c>
      <c r="Z460" s="196">
        <f t="shared" si="1197"/>
        <v>1.9297386896084561</v>
      </c>
      <c r="AA460" s="196">
        <f t="shared" si="1198"/>
        <v>1.9297386896084561</v>
      </c>
      <c r="AB460" s="18"/>
      <c r="AC460" s="134">
        <f>AC453/AC477</f>
        <v>7.1928902898170041E-2</v>
      </c>
      <c r="AD460" s="134">
        <f t="shared" ref="AD460:AR460" si="1217">AD453/AD477</f>
        <v>8.2086430479132472E-2</v>
      </c>
      <c r="AE460" s="134">
        <f t="shared" si="1217"/>
        <v>8.7247353224254087E-2</v>
      </c>
      <c r="AF460" s="134">
        <f t="shared" si="1217"/>
        <v>7.6670903860306422E-2</v>
      </c>
      <c r="AG460" s="134">
        <f t="shared" si="1217"/>
        <v>7.3155657717829725E-2</v>
      </c>
      <c r="AH460" s="134">
        <f t="shared" si="1217"/>
        <v>5.8888242353711318E-2</v>
      </c>
      <c r="AI460" s="134">
        <f t="shared" si="1217"/>
        <v>6.8853277965546036E-2</v>
      </c>
      <c r="AJ460" s="134">
        <f t="shared" si="1217"/>
        <v>7.161548580562116E-2</v>
      </c>
      <c r="AK460" s="134">
        <f t="shared" si="1217"/>
        <v>9.8124856769253588E-2</v>
      </c>
      <c r="AL460" s="134">
        <f t="shared" si="1217"/>
        <v>0.11934627499272883</v>
      </c>
      <c r="AM460" s="134">
        <f t="shared" si="1217"/>
        <v>0.16136010650099844</v>
      </c>
      <c r="AN460" s="134">
        <f t="shared" si="1217"/>
        <v>0.1804679010281702</v>
      </c>
      <c r="AO460" s="134">
        <f t="shared" si="1217"/>
        <v>0.22576962136371556</v>
      </c>
      <c r="AP460" s="134">
        <f t="shared" si="1217"/>
        <v>0.16709493420681087</v>
      </c>
      <c r="AQ460" s="134">
        <f t="shared" si="1217"/>
        <v>0.16787547422450344</v>
      </c>
      <c r="AR460" s="134">
        <f t="shared" si="1217"/>
        <v>0.20395418266008652</v>
      </c>
      <c r="AS460" s="134">
        <f t="shared" ref="AS460:BC460" si="1218">AS453/AS477</f>
        <v>0.21502219381863394</v>
      </c>
      <c r="AT460" s="134">
        <f t="shared" si="1218"/>
        <v>0.29735070789749768</v>
      </c>
      <c r="AU460" s="134">
        <f t="shared" si="1218"/>
        <v>0.2389737290522787</v>
      </c>
      <c r="AV460" s="134">
        <f t="shared" si="1218"/>
        <v>0.27835622460928422</v>
      </c>
      <c r="AW460" s="134">
        <f t="shared" si="1218"/>
        <v>0.31234861309391843</v>
      </c>
      <c r="AX460" s="134">
        <f t="shared" si="1218"/>
        <v>0.2612387556221889</v>
      </c>
      <c r="AY460" s="134">
        <f t="shared" si="1218"/>
        <v>0.22475111860214142</v>
      </c>
      <c r="AZ460" s="134">
        <f t="shared" si="1218"/>
        <v>0.31433233830845769</v>
      </c>
      <c r="BA460" s="134">
        <f t="shared" si="1218"/>
        <v>0.36846087529529425</v>
      </c>
      <c r="BB460" s="134">
        <f t="shared" si="1218"/>
        <v>0.55953452403837745</v>
      </c>
      <c r="BC460" s="134">
        <f t="shared" si="1218"/>
        <v>0.51382642848093252</v>
      </c>
      <c r="BD460" s="134">
        <f t="shared" ref="BD460:BE460" ca="1" si="1219">BD453/BD477</f>
        <v>0.5471740773188164</v>
      </c>
      <c r="BE460" s="134">
        <f t="shared" ca="1" si="1219"/>
        <v>0.56121001015119387</v>
      </c>
      <c r="BF460" s="18"/>
      <c r="BG460" s="18"/>
      <c r="BH460" s="18"/>
      <c r="BI460" s="18"/>
      <c r="BJ460" s="18"/>
      <c r="BK460" s="18"/>
    </row>
    <row r="461" spans="1:63" s="54" customFormat="1" ht="11.25" customHeight="1">
      <c r="A461" s="18"/>
      <c r="B461" s="35"/>
      <c r="C461" s="18"/>
      <c r="D461" s="134"/>
      <c r="E461" s="134"/>
      <c r="F461" s="134"/>
      <c r="G461" s="134"/>
      <c r="H461" s="134"/>
      <c r="I461" s="134"/>
      <c r="J461" s="134"/>
      <c r="K461" s="134"/>
      <c r="L461" s="134"/>
      <c r="M461" s="134"/>
      <c r="N461" s="134"/>
      <c r="O461" s="134"/>
      <c r="P461" s="134"/>
      <c r="Q461" s="134"/>
      <c r="R461" s="134"/>
      <c r="S461" s="134"/>
      <c r="T461" s="134"/>
      <c r="U461" s="196"/>
      <c r="V461" s="196"/>
      <c r="W461" s="196"/>
      <c r="X461" s="196"/>
      <c r="Y461" s="196"/>
      <c r="Z461" s="196"/>
      <c r="AA461" s="196"/>
      <c r="AB461" s="18"/>
      <c r="AC461" s="18"/>
      <c r="AD461" s="18"/>
      <c r="AE461" s="18"/>
      <c r="AF461" s="18"/>
      <c r="AG461" s="18"/>
      <c r="AH461" s="18"/>
      <c r="AI461" s="18"/>
      <c r="AJ461" s="18"/>
      <c r="AK461" s="18"/>
      <c r="AL461" s="18"/>
      <c r="AM461" s="18"/>
      <c r="AN461" s="18"/>
      <c r="AO461" s="18"/>
      <c r="AP461" s="18"/>
      <c r="AQ461" s="18"/>
      <c r="AR461" s="18"/>
      <c r="AS461" s="18"/>
      <c r="AT461" s="18"/>
      <c r="AU461" s="18"/>
      <c r="AV461" s="134"/>
      <c r="AW461" s="134"/>
      <c r="AX461" s="134"/>
      <c r="AY461" s="134"/>
      <c r="AZ461" s="134"/>
      <c r="BA461" s="134"/>
      <c r="BB461" s="134"/>
      <c r="BC461" s="134"/>
      <c r="BD461" s="134"/>
      <c r="BE461" s="134"/>
      <c r="BF461" s="18"/>
      <c r="BG461" s="18"/>
      <c r="BH461" s="18"/>
      <c r="BI461" s="18"/>
      <c r="BJ461" s="18"/>
      <c r="BK461" s="18"/>
    </row>
    <row r="462" spans="1:63" s="54" customFormat="1" ht="11.25" customHeight="1">
      <c r="A462" s="18"/>
      <c r="B462" s="35" t="s">
        <v>268</v>
      </c>
      <c r="C462" s="18"/>
      <c r="D462" s="176">
        <f>D456+D457</f>
        <v>90.444716059860099</v>
      </c>
      <c r="E462" s="176">
        <f t="shared" ref="E462:W462" si="1220">E456+E457</f>
        <v>97.244815154423307</v>
      </c>
      <c r="F462" s="176">
        <f t="shared" si="1220"/>
        <v>102.68146081886897</v>
      </c>
      <c r="G462" s="176">
        <f t="shared" si="1220"/>
        <v>113.16024379531724</v>
      </c>
      <c r="H462" s="176">
        <f t="shared" si="1220"/>
        <v>122.20228772342651</v>
      </c>
      <c r="I462" s="176">
        <f t="shared" si="1220"/>
        <v>126.99974957963296</v>
      </c>
      <c r="J462" s="176">
        <f t="shared" si="1220"/>
        <v>124.55413830751903</v>
      </c>
      <c r="K462" s="176">
        <f t="shared" si="1220"/>
        <v>127.27802950885675</v>
      </c>
      <c r="L462" s="176">
        <f t="shared" si="1220"/>
        <v>121.7812720933934</v>
      </c>
      <c r="M462" s="176">
        <f t="shared" si="1220"/>
        <v>128.31930212035829</v>
      </c>
      <c r="N462" s="176">
        <f t="shared" si="1220"/>
        <v>122.0267044970164</v>
      </c>
      <c r="O462" s="176">
        <f t="shared" si="1220"/>
        <v>120.10834808480084</v>
      </c>
      <c r="P462" s="176">
        <f t="shared" si="1220"/>
        <v>113.73884693060819</v>
      </c>
      <c r="Q462" s="176">
        <f t="shared" si="1220"/>
        <v>132.79923028774397</v>
      </c>
      <c r="R462" s="176">
        <f t="shared" si="1220"/>
        <v>133.90952647883705</v>
      </c>
      <c r="S462" s="176">
        <f t="shared" si="1220"/>
        <v>108.30731536046959</v>
      </c>
      <c r="T462" s="176">
        <f t="shared" si="1220"/>
        <v>118.40969802160645</v>
      </c>
      <c r="U462" s="176">
        <f t="shared" si="1220"/>
        <v>107.02563660269814</v>
      </c>
      <c r="V462" s="176">
        <f t="shared" ref="V462" si="1221">V456+V457</f>
        <v>114.38521879625928</v>
      </c>
      <c r="W462" s="176">
        <f t="shared" si="1220"/>
        <v>114.38521879625928</v>
      </c>
      <c r="X462" s="176">
        <f t="shared" ref="X462:AA462" si="1222">X456+X457</f>
        <v>114.38521879625928</v>
      </c>
      <c r="Y462" s="176">
        <f t="shared" si="1222"/>
        <v>114.38521879625928</v>
      </c>
      <c r="Z462" s="176">
        <f t="shared" si="1222"/>
        <v>114.38521879625928</v>
      </c>
      <c r="AA462" s="176">
        <f t="shared" si="1222"/>
        <v>114.38521879625928</v>
      </c>
      <c r="AB462" s="18"/>
      <c r="AC462" s="176">
        <f>AC456+AC457</f>
        <v>155.2077974038113</v>
      </c>
      <c r="AD462" s="176">
        <f t="shared" ref="AD462:AR462" si="1223">AD456+AD457</f>
        <v>101.586619016908</v>
      </c>
      <c r="AE462" s="176">
        <f t="shared" si="1223"/>
        <v>114.35440142396764</v>
      </c>
      <c r="AF462" s="176">
        <f t="shared" si="1223"/>
        <v>113.85097266538193</v>
      </c>
      <c r="AG462" s="176">
        <f t="shared" si="1223"/>
        <v>88.032477040908347</v>
      </c>
      <c r="AH462" s="176">
        <f t="shared" si="1223"/>
        <v>74.783994081102975</v>
      </c>
      <c r="AI462" s="176">
        <f t="shared" si="1223"/>
        <v>82.0436691531348</v>
      </c>
      <c r="AJ462" s="176">
        <f t="shared" si="1223"/>
        <v>79.460487630308421</v>
      </c>
      <c r="AK462" s="176">
        <f t="shared" si="1223"/>
        <v>96.301251971151714</v>
      </c>
      <c r="AL462" s="176">
        <f t="shared" si="1223"/>
        <v>84.731866862744653</v>
      </c>
      <c r="AM462" s="176">
        <f t="shared" si="1223"/>
        <v>96.307094530123763</v>
      </c>
      <c r="AN462" s="176">
        <f t="shared" si="1223"/>
        <v>48.767387338689247</v>
      </c>
      <c r="AO462" s="176">
        <f t="shared" si="1223"/>
        <v>89.539369347817441</v>
      </c>
      <c r="AP462" s="176">
        <f t="shared" si="1223"/>
        <v>86.189695095718079</v>
      </c>
      <c r="AQ462" s="176">
        <f t="shared" si="1223"/>
        <v>73.907759044264026</v>
      </c>
      <c r="AR462" s="176">
        <f t="shared" si="1223"/>
        <v>94.711037571403409</v>
      </c>
      <c r="AS462" s="176">
        <f t="shared" ref="AS462:BD462" si="1224">AS456+AS457</f>
        <v>87.281145243232601</v>
      </c>
      <c r="AT462" s="176">
        <f t="shared" si="1224"/>
        <v>117.92821641468493</v>
      </c>
      <c r="AU462" s="176">
        <f t="shared" si="1224"/>
        <v>93.534469740029976</v>
      </c>
      <c r="AV462" s="176">
        <f t="shared" si="1224"/>
        <v>87.585745866678621</v>
      </c>
      <c r="AW462" s="176">
        <f t="shared" si="1224"/>
        <v>101.55107368924253</v>
      </c>
      <c r="AX462" s="176">
        <f t="shared" si="1224"/>
        <v>116.33175979824429</v>
      </c>
      <c r="AY462" s="176">
        <f t="shared" si="1224"/>
        <v>100.14612148109036</v>
      </c>
      <c r="AZ462" s="176">
        <f t="shared" si="1224"/>
        <v>119.9439336054154</v>
      </c>
      <c r="BA462" s="176">
        <f t="shared" si="1224"/>
        <v>137.38460391843924</v>
      </c>
      <c r="BB462" s="176">
        <f t="shared" si="1224"/>
        <v>125.46447315202025</v>
      </c>
      <c r="BC462" s="176">
        <f t="shared" si="1224"/>
        <v>126.95223104208301</v>
      </c>
      <c r="BD462" s="176">
        <f t="shared" ca="1" si="1224"/>
        <v>130.80451784022759</v>
      </c>
      <c r="BE462" s="176">
        <f t="shared" ref="BE462" ca="1" si="1225">BE456+BE457</f>
        <v>131.97809306372625</v>
      </c>
      <c r="BF462" s="18"/>
      <c r="BG462" s="18"/>
      <c r="BH462" s="18"/>
      <c r="BI462" s="18"/>
      <c r="BJ462" s="18"/>
      <c r="BK462" s="18"/>
    </row>
    <row r="463" spans="1:63" s="54" customFormat="1" ht="11.25" customHeight="1">
      <c r="A463" s="18"/>
      <c r="B463" s="35" t="s">
        <v>269</v>
      </c>
      <c r="C463" s="18"/>
      <c r="D463" s="176">
        <f>D462-D459</f>
        <v>66.286165799547717</v>
      </c>
      <c r="E463" s="176">
        <f t="shared" ref="E463:W463" si="1226">E462-E459</f>
        <v>72.616580536826987</v>
      </c>
      <c r="F463" s="176">
        <f t="shared" si="1226"/>
        <v>80.009137216429409</v>
      </c>
      <c r="G463" s="176">
        <f t="shared" si="1226"/>
        <v>90.425377862678658</v>
      </c>
      <c r="H463" s="176">
        <f t="shared" si="1226"/>
        <v>102.07248607656811</v>
      </c>
      <c r="I463" s="176">
        <f t="shared" si="1226"/>
        <v>106.82244194524056</v>
      </c>
      <c r="J463" s="176">
        <f t="shared" si="1226"/>
        <v>104.55766436917558</v>
      </c>
      <c r="K463" s="176">
        <f t="shared" si="1226"/>
        <v>105.66866942323915</v>
      </c>
      <c r="L463" s="176">
        <f t="shared" si="1226"/>
        <v>101.08407693841779</v>
      </c>
      <c r="M463" s="176">
        <f t="shared" si="1226"/>
        <v>103.42625176663378</v>
      </c>
      <c r="N463" s="176">
        <f t="shared" si="1226"/>
        <v>98.512092495021705</v>
      </c>
      <c r="O463" s="176">
        <f t="shared" si="1226"/>
        <v>98.10669796865804</v>
      </c>
      <c r="P463" s="176">
        <f t="shared" si="1226"/>
        <v>94.541429167376251</v>
      </c>
      <c r="Q463" s="176">
        <f t="shared" si="1226"/>
        <v>112.60106675512763</v>
      </c>
      <c r="R463" s="176">
        <f t="shared" si="1226"/>
        <v>114.12855162978272</v>
      </c>
      <c r="S463" s="176">
        <f t="shared" si="1226"/>
        <v>90.364307268857701</v>
      </c>
      <c r="T463" s="176">
        <f>T462-T459</f>
        <v>99.56117264400747</v>
      </c>
      <c r="U463" s="176">
        <f t="shared" si="1226"/>
        <v>88.574610079559761</v>
      </c>
      <c r="V463" s="176">
        <f t="shared" ref="V463" si="1227">V462-V459</f>
        <v>94.046523568896447</v>
      </c>
      <c r="W463" s="176">
        <f t="shared" si="1226"/>
        <v>94.046523568896447</v>
      </c>
      <c r="X463" s="176">
        <f t="shared" ref="X463:AA463" si="1228">X462-X459</f>
        <v>94.046523568896447</v>
      </c>
      <c r="Y463" s="176">
        <f t="shared" si="1228"/>
        <v>94.046523568896447</v>
      </c>
      <c r="Z463" s="176">
        <f t="shared" si="1228"/>
        <v>94.046523568896447</v>
      </c>
      <c r="AA463" s="176">
        <f t="shared" si="1228"/>
        <v>94.046523568896447</v>
      </c>
      <c r="AB463" s="18"/>
      <c r="AC463" s="176">
        <f>AC462-AC459</f>
        <v>101.85279346370098</v>
      </c>
      <c r="AD463" s="176">
        <f t="shared" ref="AD463:AR463" si="1229">AD462-AD459</f>
        <v>74.208976387310557</v>
      </c>
      <c r="AE463" s="176">
        <f t="shared" si="1229"/>
        <v>79.59333308903021</v>
      </c>
      <c r="AF463" s="176">
        <f t="shared" si="1229"/>
        <v>68.493777241551058</v>
      </c>
      <c r="AG463" s="176">
        <f t="shared" si="1229"/>
        <v>78.352228092649682</v>
      </c>
      <c r="AH463" s="176">
        <f t="shared" si="1229"/>
        <v>51.836263419576262</v>
      </c>
      <c r="AI463" s="176">
        <f t="shared" si="1229"/>
        <v>54.444947711907133</v>
      </c>
      <c r="AJ463" s="176">
        <f t="shared" si="1229"/>
        <v>54.916221254083126</v>
      </c>
      <c r="AK463" s="176">
        <f t="shared" si="1229"/>
        <v>68.833133450236659</v>
      </c>
      <c r="AL463" s="176">
        <f t="shared" si="1229"/>
        <v>62.592037534229888</v>
      </c>
      <c r="AM463" s="176">
        <f t="shared" si="1229"/>
        <v>69.829004891783399</v>
      </c>
      <c r="AN463" s="176">
        <f t="shared" si="1229"/>
        <v>37.212290373045178</v>
      </c>
      <c r="AO463" s="176">
        <f t="shared" si="1229"/>
        <v>63.90143841694065</v>
      </c>
      <c r="AP463" s="176">
        <f t="shared" si="1229"/>
        <v>63.908417446577438</v>
      </c>
      <c r="AQ463" s="176">
        <f t="shared" si="1229"/>
        <v>55.331312337656641</v>
      </c>
      <c r="AR463" s="176">
        <f t="shared" si="1229"/>
        <v>73.47225581304113</v>
      </c>
      <c r="AS463" s="176">
        <f t="shared" ref="AS463:BE463" si="1230">AS462-AS459</f>
        <v>68.39018760289585</v>
      </c>
      <c r="AT463" s="176">
        <f t="shared" si="1230"/>
        <v>95.777075364939932</v>
      </c>
      <c r="AU463" s="176">
        <f t="shared" si="1230"/>
        <v>76.911076174541932</v>
      </c>
      <c r="AV463" s="176">
        <f t="shared" si="1230"/>
        <v>66.446825624703251</v>
      </c>
      <c r="AW463" s="176">
        <f t="shared" si="1230"/>
        <v>78.810279152742879</v>
      </c>
      <c r="AX463" s="176">
        <f t="shared" si="1230"/>
        <v>92.830438583851489</v>
      </c>
      <c r="AY463" s="176">
        <f t="shared" si="1230"/>
        <v>74.724984880844033</v>
      </c>
      <c r="AZ463" s="176">
        <f t="shared" si="1230"/>
        <v>95.998429127803462</v>
      </c>
      <c r="BA463" s="176">
        <f t="shared" si="1230"/>
        <v>114.22481160768154</v>
      </c>
      <c r="BB463" s="176">
        <f t="shared" si="1230"/>
        <v>102.9306459731873</v>
      </c>
      <c r="BC463" s="176">
        <f t="shared" si="1230"/>
        <v>105.75679711328534</v>
      </c>
      <c r="BD463" s="176">
        <f t="shared" ca="1" si="1230"/>
        <v>107.86187962940917</v>
      </c>
      <c r="BE463" s="176">
        <f t="shared" ca="1" si="1230"/>
        <v>108.51123047641231</v>
      </c>
      <c r="BF463" s="18"/>
      <c r="BG463" s="18"/>
      <c r="BH463" s="18"/>
      <c r="BI463" s="18"/>
      <c r="BJ463" s="18"/>
      <c r="BK463" s="18"/>
    </row>
    <row r="464" spans="1:63" ht="11.25" customHeight="1">
      <c r="A464" s="2"/>
      <c r="B464" s="41"/>
      <c r="C464" s="2"/>
      <c r="D464" s="71"/>
      <c r="E464" s="71"/>
      <c r="F464" s="71"/>
      <c r="G464" s="71"/>
      <c r="H464" s="71"/>
      <c r="I464" s="71"/>
      <c r="J464" s="71"/>
      <c r="K464" s="71"/>
      <c r="L464" s="71"/>
      <c r="M464" s="71"/>
      <c r="N464" s="71"/>
      <c r="O464" s="71"/>
      <c r="P464" s="71"/>
      <c r="Q464" s="71"/>
      <c r="R464" s="71"/>
      <c r="S464" s="111"/>
      <c r="T464" s="111"/>
      <c r="U464" s="111"/>
      <c r="V464" s="111"/>
      <c r="W464" s="111"/>
      <c r="X464" s="111"/>
      <c r="Y464" s="111"/>
      <c r="Z464" s="111"/>
      <c r="AA464" s="111"/>
      <c r="AB464" s="2"/>
      <c r="AC464" s="2">
        <v>1000</v>
      </c>
      <c r="AD464" s="2"/>
      <c r="AE464" s="2"/>
      <c r="AF464" s="2"/>
      <c r="AG464" s="2"/>
      <c r="AH464" s="2"/>
      <c r="AI464" s="2"/>
      <c r="AJ464" s="2"/>
      <c r="AK464" s="2"/>
      <c r="AL464" s="2"/>
      <c r="AM464" s="2"/>
      <c r="AN464" s="2"/>
      <c r="AO464" s="2"/>
      <c r="AP464" s="2"/>
      <c r="AQ464" s="2"/>
      <c r="AR464" s="2"/>
      <c r="AS464" s="2"/>
      <c r="AT464" s="2"/>
      <c r="AU464" s="2"/>
      <c r="AV464" s="71"/>
      <c r="AW464" s="71"/>
      <c r="AX464" s="71"/>
      <c r="AY464" s="71"/>
      <c r="AZ464" s="71"/>
      <c r="BA464" s="71"/>
      <c r="BB464" s="71"/>
      <c r="BC464" s="111"/>
      <c r="BD464" s="111"/>
      <c r="BE464" s="111"/>
      <c r="BF464" s="2"/>
      <c r="BG464" s="2"/>
      <c r="BH464" s="2"/>
      <c r="BI464" s="2"/>
      <c r="BJ464" s="2"/>
      <c r="BK464" s="2"/>
    </row>
    <row r="465" spans="1:63" ht="11.25" customHeight="1">
      <c r="A465" s="2"/>
      <c r="B465" s="237" t="s">
        <v>409</v>
      </c>
      <c r="C465" s="2"/>
      <c r="D465" s="71"/>
      <c r="E465" s="71"/>
      <c r="F465" s="71"/>
      <c r="G465" s="71"/>
      <c r="H465" s="71"/>
      <c r="I465" s="71"/>
      <c r="J465" s="71"/>
      <c r="K465" s="71"/>
      <c r="L465" s="71"/>
      <c r="M465" s="71"/>
      <c r="N465" s="71"/>
      <c r="O465" s="71"/>
      <c r="P465" s="71"/>
      <c r="Q465" s="71"/>
      <c r="R465" s="71"/>
      <c r="S465" s="111"/>
      <c r="T465" s="111"/>
      <c r="U465" s="111"/>
      <c r="V465" s="111"/>
      <c r="W465" s="111"/>
      <c r="X465" s="111"/>
      <c r="Y465" s="111"/>
      <c r="Z465" s="111"/>
      <c r="AA465" s="111"/>
      <c r="AB465" s="2"/>
      <c r="AC465" s="2"/>
      <c r="AD465" s="2"/>
      <c r="AE465" s="2"/>
      <c r="AF465" s="2"/>
      <c r="AG465" s="2"/>
      <c r="AH465" s="2"/>
      <c r="AI465" s="2"/>
      <c r="AJ465" s="2"/>
      <c r="AK465" s="2"/>
      <c r="AL465" s="2"/>
      <c r="AM465" s="2"/>
      <c r="AN465" s="2"/>
      <c r="AO465" s="2"/>
      <c r="AP465" s="2"/>
      <c r="AQ465" s="2"/>
      <c r="AR465" s="2"/>
      <c r="AS465" s="2"/>
      <c r="AT465" s="2"/>
      <c r="AU465" s="2"/>
      <c r="AV465" s="71"/>
      <c r="AW465" s="71"/>
      <c r="AX465" s="71"/>
      <c r="AY465" s="71"/>
      <c r="AZ465" s="71"/>
      <c r="BA465" s="71"/>
      <c r="BB465" s="71"/>
      <c r="BC465" s="111"/>
      <c r="BD465" s="111"/>
      <c r="BE465" s="111"/>
      <c r="BF465" s="2"/>
      <c r="BG465" s="2"/>
      <c r="BH465" s="2"/>
      <c r="BI465" s="2"/>
      <c r="BJ465" s="2"/>
      <c r="BK465" s="2"/>
    </row>
    <row r="466" spans="1:63" s="54" customFormat="1" ht="11.25" customHeight="1">
      <c r="A466" s="18"/>
      <c r="B466" s="30" t="s">
        <v>271</v>
      </c>
      <c r="C466" s="18"/>
      <c r="D466" s="56"/>
      <c r="E466" s="56">
        <f>-(E449-D449)</f>
        <v>-7.5099999999999909</v>
      </c>
      <c r="F466" s="56">
        <f t="shared" ref="F466:T466" si="1231">-(F449-E449)</f>
        <v>-23.722000000000008</v>
      </c>
      <c r="G466" s="56">
        <f t="shared" si="1231"/>
        <v>-27.843000000000004</v>
      </c>
      <c r="H466" s="56">
        <f t="shared" si="1231"/>
        <v>-17.215000000000003</v>
      </c>
      <c r="I466" s="56">
        <f t="shared" si="1231"/>
        <v>-15.870999999999981</v>
      </c>
      <c r="J466" s="56">
        <f t="shared" si="1231"/>
        <v>-11.795000000000016</v>
      </c>
      <c r="K466" s="56">
        <f t="shared" si="1231"/>
        <v>-10.867999999999995</v>
      </c>
      <c r="L466" s="56">
        <f t="shared" si="1231"/>
        <v>-7.0169999999999959</v>
      </c>
      <c r="M466" s="56">
        <f t="shared" si="1231"/>
        <v>-17.318999999999988</v>
      </c>
      <c r="N466" s="56">
        <f t="shared" si="1231"/>
        <v>-0.89800000000002456</v>
      </c>
      <c r="O466" s="56">
        <f t="shared" si="1231"/>
        <v>-2.8129999999999882</v>
      </c>
      <c r="P466" s="56">
        <f t="shared" si="1231"/>
        <v>5.0809999999999889</v>
      </c>
      <c r="Q466" s="56">
        <f t="shared" si="1231"/>
        <v>-18.264999999999986</v>
      </c>
      <c r="R466" s="56">
        <f t="shared" si="1231"/>
        <v>-27.756999999999977</v>
      </c>
      <c r="S466" s="56">
        <f t="shared" si="1231"/>
        <v>11.092999999999961</v>
      </c>
      <c r="T466" s="56">
        <f t="shared" si="1231"/>
        <v>-16.125999999999976</v>
      </c>
      <c r="U466" s="56">
        <f t="shared" ref="U466:V466" si="1232">-(U449-T449)</f>
        <v>-5.367999999999995</v>
      </c>
      <c r="V466" s="56">
        <f t="shared" si="1232"/>
        <v>-20.393000000000029</v>
      </c>
      <c r="W466" s="56">
        <f t="shared" ref="W466:W468" ca="1" si="1233">-(W449-V449)</f>
        <v>-37.789932040047859</v>
      </c>
      <c r="X466" s="56">
        <f t="shared" ref="X466:X468" ca="1" si="1234">-(X449-W449)</f>
        <v>1.0804407052505098</v>
      </c>
      <c r="Y466" s="56">
        <f t="shared" ref="Y466:Y468" si="1235">-(Y449-X449)</f>
        <v>0.30439915387165684</v>
      </c>
      <c r="Z466" s="56">
        <f t="shared" ref="Z466:Z468" si="1236">-(Z449-Y449)</f>
        <v>-38.098344015111593</v>
      </c>
      <c r="AA466" s="56">
        <f t="shared" ref="AA466:AA468" ca="1" si="1237">-(AA449-Z449)</f>
        <v>-49.062145845325972</v>
      </c>
      <c r="AB466" s="18"/>
      <c r="AC466" s="56"/>
      <c r="AD466" s="56">
        <f t="shared" ref="AD466:AR466" si="1238">-(AD449-AC449)</f>
        <v>0.81899999999999995</v>
      </c>
      <c r="AE466" s="56">
        <f t="shared" si="1238"/>
        <v>-1.7849999999999993</v>
      </c>
      <c r="AF466" s="56">
        <f t="shared" si="1238"/>
        <v>-6.944</v>
      </c>
      <c r="AG466" s="56">
        <f t="shared" si="1238"/>
        <v>2.9580000000000002</v>
      </c>
      <c r="AH466" s="56">
        <f t="shared" si="1238"/>
        <v>-1.3730000000000011</v>
      </c>
      <c r="AI466" s="56">
        <f t="shared" si="1238"/>
        <v>-0.93399999999999928</v>
      </c>
      <c r="AJ466" s="56">
        <f t="shared" si="1238"/>
        <v>-3.4209999999999994</v>
      </c>
      <c r="AK466" s="56">
        <f t="shared" si="1238"/>
        <v>-2.1720000000000024</v>
      </c>
      <c r="AL466" s="56">
        <f t="shared" si="1238"/>
        <v>-3.7029999999999994</v>
      </c>
      <c r="AM466" s="56">
        <f t="shared" si="1238"/>
        <v>-2.4309999999999974</v>
      </c>
      <c r="AN466" s="56">
        <f t="shared" si="1238"/>
        <v>8.9849999999999977</v>
      </c>
      <c r="AO466" s="56">
        <f t="shared" si="1238"/>
        <v>-6.0370000000000008</v>
      </c>
      <c r="AP466" s="56">
        <f t="shared" si="1238"/>
        <v>-7.4919999999999973</v>
      </c>
      <c r="AQ466" s="56">
        <f t="shared" si="1238"/>
        <v>3.5649999999999977</v>
      </c>
      <c r="AR466" s="56">
        <f t="shared" si="1238"/>
        <v>-12.990000000000002</v>
      </c>
      <c r="AS466" s="56">
        <f>-(AS449-AR449)</f>
        <v>0.33600000000000563</v>
      </c>
      <c r="AT466" s="56">
        <f t="shared" ref="AT466" si="1239">-(AT449-AS449)</f>
        <v>-28.842999999999996</v>
      </c>
      <c r="AU466" s="56">
        <f t="shared" ref="AU466:AV466" si="1240">-(AU449-AT449)</f>
        <v>-0.71400000000001285</v>
      </c>
      <c r="AV466" s="56">
        <f t="shared" si="1240"/>
        <v>18.370000000000005</v>
      </c>
      <c r="AW466" s="56">
        <f t="shared" ref="AW466:BC466" si="1241">-(AW449-AV449)</f>
        <v>-25.198999999999998</v>
      </c>
      <c r="AX466" s="56">
        <f t="shared" si="1241"/>
        <v>-29.349999999999994</v>
      </c>
      <c r="AY466" s="56">
        <f t="shared" si="1241"/>
        <v>20.25</v>
      </c>
      <c r="AZ466" s="56">
        <f t="shared" si="1241"/>
        <v>-54.372000000000014</v>
      </c>
      <c r="BA466" s="56">
        <f t="shared" si="1241"/>
        <v>-55.748999999999995</v>
      </c>
      <c r="BB466" s="56">
        <f t="shared" si="1241"/>
        <v>-28.046999999999997</v>
      </c>
      <c r="BC466" s="56">
        <f t="shared" si="1241"/>
        <v>-29.848000000000013</v>
      </c>
      <c r="BD466" s="56">
        <f ca="1">SUM(T466:W466)</f>
        <v>-79.676932040047859</v>
      </c>
      <c r="BE466" s="56">
        <f ca="1">+SUM(X466:AA466)</f>
        <v>-85.775650001315398</v>
      </c>
      <c r="BF466" s="18"/>
      <c r="BG466" s="84"/>
      <c r="BH466" s="84">
        <f t="shared" ref="BH466:BH471" si="1242">ROUND(BA466-SUM(H466:K466),1)</f>
        <v>0</v>
      </c>
      <c r="BI466" s="84">
        <f t="shared" ref="BI466:BI471" si="1243">ROUND(BB466-SUM(L466:O466),1)</f>
        <v>0</v>
      </c>
      <c r="BJ466" s="84">
        <f t="shared" ref="BJ466:BJ471" si="1244">ROUND(BC466-SUM(P466:S466),1)</f>
        <v>0</v>
      </c>
      <c r="BK466" s="84">
        <f t="shared" ref="BK466:BK471" ca="1" si="1245">ROUND(BD466-SUM(T466:W466),1)</f>
        <v>0</v>
      </c>
    </row>
    <row r="467" spans="1:63" s="54" customFormat="1" ht="11.25" customHeight="1">
      <c r="A467" s="18"/>
      <c r="B467" s="30" t="s">
        <v>272</v>
      </c>
      <c r="C467" s="18"/>
      <c r="D467" s="56"/>
      <c r="E467" s="56">
        <f>-(E450-D450)</f>
        <v>-3.179000000000002</v>
      </c>
      <c r="F467" s="56">
        <f t="shared" ref="F467:T467" si="1246">-(F450-E450)</f>
        <v>-12.978000000000009</v>
      </c>
      <c r="G467" s="56">
        <f t="shared" si="1246"/>
        <v>16.539999999999992</v>
      </c>
      <c r="H467" s="56">
        <f t="shared" si="1246"/>
        <v>-21.441000000000003</v>
      </c>
      <c r="I467" s="56">
        <f t="shared" si="1246"/>
        <v>-10.780999999999977</v>
      </c>
      <c r="J467" s="56">
        <f t="shared" si="1246"/>
        <v>-8.9080000000000155</v>
      </c>
      <c r="K467" s="56">
        <f t="shared" si="1246"/>
        <v>-11.133999999999986</v>
      </c>
      <c r="L467" s="56">
        <f t="shared" si="1246"/>
        <v>-15.126000000000005</v>
      </c>
      <c r="M467" s="56">
        <f t="shared" si="1246"/>
        <v>-8.6409999999999911</v>
      </c>
      <c r="N467" s="56">
        <f t="shared" si="1246"/>
        <v>-39.469000000000023</v>
      </c>
      <c r="O467" s="56">
        <f t="shared" si="1246"/>
        <v>30.198000000000008</v>
      </c>
      <c r="P467" s="56">
        <f t="shared" si="1246"/>
        <v>83.293000000000006</v>
      </c>
      <c r="Q467" s="56">
        <f t="shared" si="1246"/>
        <v>-42.97999999999999</v>
      </c>
      <c r="R467" s="56">
        <f t="shared" si="1246"/>
        <v>-31.797000000000025</v>
      </c>
      <c r="S467" s="56">
        <f t="shared" si="1246"/>
        <v>20.886000000000024</v>
      </c>
      <c r="T467" s="56">
        <f t="shared" si="1246"/>
        <v>-4.2000000000001592E-2</v>
      </c>
      <c r="U467" s="56">
        <f t="shared" ref="U467:V467" si="1247">-(U450-T450)</f>
        <v>-8.2300000000000182</v>
      </c>
      <c r="V467" s="56">
        <f t="shared" si="1247"/>
        <v>-39.763999999999982</v>
      </c>
      <c r="W467" s="56">
        <f t="shared" ca="1" si="1233"/>
        <v>-33.382363241717712</v>
      </c>
      <c r="X467" s="56">
        <f t="shared" ca="1" si="1234"/>
        <v>14.246006319348965</v>
      </c>
      <c r="Y467" s="56">
        <f t="shared" si="1235"/>
        <v>0.2485393889713805</v>
      </c>
      <c r="Z467" s="56">
        <f t="shared" si="1236"/>
        <v>-31.106982466602631</v>
      </c>
      <c r="AA467" s="56">
        <f t="shared" ca="1" si="1237"/>
        <v>-40.058835890061232</v>
      </c>
      <c r="AB467" s="18"/>
      <c r="AC467" s="56"/>
      <c r="AD467" s="56">
        <f t="shared" ref="AD467:AR467" si="1248">-(AD450-AC450)</f>
        <v>1.851</v>
      </c>
      <c r="AE467" s="56">
        <f t="shared" si="1248"/>
        <v>-5.1700000000000008</v>
      </c>
      <c r="AF467" s="56">
        <f t="shared" si="1248"/>
        <v>-15.383000000000001</v>
      </c>
      <c r="AG467" s="56">
        <f t="shared" si="1248"/>
        <v>11.057000000000002</v>
      </c>
      <c r="AH467" s="56">
        <f t="shared" si="1248"/>
        <v>0.22199999999999775</v>
      </c>
      <c r="AI467" s="56">
        <f t="shared" si="1248"/>
        <v>-9.6759999999999984</v>
      </c>
      <c r="AJ467" s="56">
        <f t="shared" si="1248"/>
        <v>-1.1430000000000007</v>
      </c>
      <c r="AK467" s="56">
        <f t="shared" si="1248"/>
        <v>-10.934000000000001</v>
      </c>
      <c r="AL467" s="56">
        <f t="shared" si="1248"/>
        <v>6.8890000000000029</v>
      </c>
      <c r="AM467" s="56">
        <f t="shared" si="1248"/>
        <v>-10.835000000000001</v>
      </c>
      <c r="AN467" s="56">
        <f t="shared" si="1248"/>
        <v>23.927</v>
      </c>
      <c r="AO467" s="56">
        <f t="shared" si="1248"/>
        <v>-16.884999999999998</v>
      </c>
      <c r="AP467" s="56">
        <f t="shared" si="1248"/>
        <v>-7.6000000000000014</v>
      </c>
      <c r="AQ467" s="56">
        <f t="shared" si="1248"/>
        <v>2.0339999999999989</v>
      </c>
      <c r="AR467" s="56">
        <f t="shared" si="1248"/>
        <v>-17.183</v>
      </c>
      <c r="AS467" s="56">
        <f>-(AS450-AR450)</f>
        <v>-13.810999999999993</v>
      </c>
      <c r="AT467" s="56">
        <f t="shared" ref="AT467" si="1249">-(AT450-AS450)</f>
        <v>-43.106000000000009</v>
      </c>
      <c r="AU467" s="56">
        <f t="shared" ref="AU467:AV467" si="1250">-(AU450-AT450)</f>
        <v>29.483000000000004</v>
      </c>
      <c r="AV467" s="56">
        <f t="shared" si="1250"/>
        <v>-43.740000000000009</v>
      </c>
      <c r="AW467" s="56">
        <f t="shared" ref="AW467:BC467" si="1251">-(AW450-AV450)</f>
        <v>6.9880000000000138</v>
      </c>
      <c r="AX467" s="56">
        <f t="shared" si="1251"/>
        <v>-6.8810000000000144</v>
      </c>
      <c r="AY467" s="56">
        <f t="shared" si="1251"/>
        <v>-10.572999999999979</v>
      </c>
      <c r="AZ467" s="56">
        <f t="shared" si="1251"/>
        <v>-6.2670000000000243</v>
      </c>
      <c r="BA467" s="56">
        <f t="shared" si="1251"/>
        <v>-52.263999999999982</v>
      </c>
      <c r="BB467" s="56">
        <f t="shared" si="1251"/>
        <v>-33.038000000000011</v>
      </c>
      <c r="BC467" s="56">
        <f t="shared" si="1251"/>
        <v>29.402000000000015</v>
      </c>
      <c r="BD467" s="56">
        <f ca="1">SUM(T467:W467)</f>
        <v>-81.418363241717714</v>
      </c>
      <c r="BE467" s="56">
        <f t="shared" ref="BE467:BE470" ca="1" si="1252">+SUM(X467:AA467)</f>
        <v>-56.671272648343518</v>
      </c>
      <c r="BF467" s="18"/>
      <c r="BG467" s="84"/>
      <c r="BH467" s="84">
        <f t="shared" si="1242"/>
        <v>0</v>
      </c>
      <c r="BI467" s="84">
        <f t="shared" si="1243"/>
        <v>0</v>
      </c>
      <c r="BJ467" s="84">
        <f t="shared" si="1244"/>
        <v>0</v>
      </c>
      <c r="BK467" s="84">
        <f t="shared" ca="1" si="1245"/>
        <v>0</v>
      </c>
    </row>
    <row r="468" spans="1:63" s="54" customFormat="1" ht="11.25" customHeight="1">
      <c r="A468" s="18"/>
      <c r="B468" s="30" t="s">
        <v>273</v>
      </c>
      <c r="C468" s="18"/>
      <c r="D468" s="56"/>
      <c r="E468" s="56">
        <f>-(E451-D451)</f>
        <v>-3.41</v>
      </c>
      <c r="F468" s="56">
        <f t="shared" ref="F468:T468" si="1253">-(F451-E451)</f>
        <v>4.4619999999999997</v>
      </c>
      <c r="G468" s="56">
        <f t="shared" si="1253"/>
        <v>-2.1509999999999998</v>
      </c>
      <c r="H468" s="56">
        <f t="shared" si="1253"/>
        <v>-3.7010000000000005</v>
      </c>
      <c r="I468" s="56">
        <f t="shared" si="1253"/>
        <v>-0.5519999999999996</v>
      </c>
      <c r="J468" s="56">
        <f t="shared" si="1253"/>
        <v>-3.847999999999999</v>
      </c>
      <c r="K468" s="56">
        <f t="shared" si="1253"/>
        <v>-1.7959999999999994</v>
      </c>
      <c r="L468" s="56">
        <f t="shared" si="1253"/>
        <v>0.57899999999999707</v>
      </c>
      <c r="M468" s="56">
        <f t="shared" si="1253"/>
        <v>-14.155999999999995</v>
      </c>
      <c r="N468" s="56">
        <f t="shared" si="1253"/>
        <v>5.3069999999999951</v>
      </c>
      <c r="O468" s="56">
        <f t="shared" si="1253"/>
        <v>-3.4379999999999953</v>
      </c>
      <c r="P468" s="56">
        <f t="shared" si="1253"/>
        <v>-3.5050000000000026</v>
      </c>
      <c r="Q468" s="56">
        <f t="shared" si="1253"/>
        <v>-2.2210000000000036</v>
      </c>
      <c r="R468" s="56">
        <f t="shared" si="1253"/>
        <v>-1.5929999999999964</v>
      </c>
      <c r="S468" s="56">
        <f t="shared" si="1253"/>
        <v>-7.2120000000000033</v>
      </c>
      <c r="T468" s="56">
        <f t="shared" si="1253"/>
        <v>-7.5549999999999997</v>
      </c>
      <c r="U468" s="56">
        <f t="shared" ref="U468:V468" si="1254">-(U451-T451)</f>
        <v>0.68599999999999994</v>
      </c>
      <c r="V468" s="56">
        <f t="shared" si="1254"/>
        <v>-3.1340000000000003</v>
      </c>
      <c r="W468" s="56">
        <f t="shared" ca="1" si="1233"/>
        <v>-8.4741262765985255</v>
      </c>
      <c r="X468" s="56">
        <f t="shared" ca="1" si="1234"/>
        <v>5.1014364059856803</v>
      </c>
      <c r="Y468" s="56">
        <f t="shared" si="1235"/>
        <v>-0.68013495583575434</v>
      </c>
      <c r="Z468" s="56">
        <f t="shared" si="1236"/>
        <v>-8.6383751735513954</v>
      </c>
      <c r="AA468" s="56">
        <f t="shared" ca="1" si="1237"/>
        <v>-10.168951531918225</v>
      </c>
      <c r="AB468" s="18"/>
      <c r="AC468" s="56"/>
      <c r="AD468" s="56">
        <f t="shared" ref="AD468:AR468" si="1255">-(AD451-AC451)</f>
        <v>0.83300000000000018</v>
      </c>
      <c r="AE468" s="56">
        <f t="shared" si="1255"/>
        <v>-3.2020000000000004</v>
      </c>
      <c r="AF468" s="56">
        <f t="shared" si="1255"/>
        <v>-6.5619999999999994</v>
      </c>
      <c r="AG468" s="56">
        <f t="shared" si="1255"/>
        <v>6.14</v>
      </c>
      <c r="AH468" s="56">
        <f t="shared" si="1255"/>
        <v>-1.5789999999999997</v>
      </c>
      <c r="AI468" s="56">
        <f t="shared" si="1255"/>
        <v>-4.7539999999999996</v>
      </c>
      <c r="AJ468" s="56">
        <f t="shared" si="1255"/>
        <v>-1.5340000000000007</v>
      </c>
      <c r="AK468" s="56">
        <f t="shared" si="1255"/>
        <v>0.77299999999999969</v>
      </c>
      <c r="AL468" s="56">
        <f t="shared" si="1255"/>
        <v>-5.1999999999999602E-2</v>
      </c>
      <c r="AM468" s="56">
        <f t="shared" si="1255"/>
        <v>3.516</v>
      </c>
      <c r="AN468" s="56">
        <f t="shared" si="1255"/>
        <v>0.90700000000000003</v>
      </c>
      <c r="AO468" s="56">
        <f t="shared" si="1255"/>
        <v>8.3999999999999631E-2</v>
      </c>
      <c r="AP468" s="56">
        <f t="shared" si="1255"/>
        <v>-0.84600000000000009</v>
      </c>
      <c r="AQ468" s="56">
        <f t="shared" si="1255"/>
        <v>-0.29199999999999982</v>
      </c>
      <c r="AR468" s="56">
        <f t="shared" si="1255"/>
        <v>5.4030000000000005</v>
      </c>
      <c r="AS468" s="56">
        <f>-(AS451-AR451)</f>
        <v>-0.26200000000000001</v>
      </c>
      <c r="AT468" s="56">
        <f t="shared" ref="AT468" si="1256">-(AT451-AS451)</f>
        <v>-4.548</v>
      </c>
      <c r="AU468" s="56">
        <f t="shared" ref="AU468:AV468" si="1257">-(AU451-AT451)</f>
        <v>0.29199999999999982</v>
      </c>
      <c r="AV468" s="56">
        <f t="shared" si="1257"/>
        <v>0.33100000000000041</v>
      </c>
      <c r="AW468" s="56">
        <f t="shared" ref="AW468:BC468" si="1258">-(AW451-AV451)</f>
        <v>-4.0130000000000008</v>
      </c>
      <c r="AX468" s="56">
        <f t="shared" si="1258"/>
        <v>-12.422999999999998</v>
      </c>
      <c r="AY468" s="56">
        <f t="shared" si="1258"/>
        <v>7.6549999999999976</v>
      </c>
      <c r="AZ468" s="56">
        <f t="shared" si="1258"/>
        <v>-0.90299999999999869</v>
      </c>
      <c r="BA468" s="56">
        <f t="shared" si="1258"/>
        <v>-9.8969999999999985</v>
      </c>
      <c r="BB468" s="56">
        <f t="shared" si="1258"/>
        <v>-11.707999999999998</v>
      </c>
      <c r="BC468" s="56">
        <f t="shared" si="1258"/>
        <v>-14.531000000000006</v>
      </c>
      <c r="BD468" s="56">
        <f ca="1">SUM(T468:W468)</f>
        <v>-18.477126276598526</v>
      </c>
      <c r="BE468" s="56">
        <f t="shared" ca="1" si="1252"/>
        <v>-14.386025255319694</v>
      </c>
      <c r="BF468" s="18"/>
      <c r="BG468" s="84"/>
      <c r="BH468" s="84">
        <f t="shared" si="1242"/>
        <v>0</v>
      </c>
      <c r="BI468" s="84">
        <f t="shared" si="1243"/>
        <v>0</v>
      </c>
      <c r="BJ468" s="84">
        <f t="shared" si="1244"/>
        <v>0</v>
      </c>
      <c r="BK468" s="84">
        <f t="shared" ca="1" si="1245"/>
        <v>0</v>
      </c>
    </row>
    <row r="469" spans="1:63" s="54" customFormat="1" ht="11.25" customHeight="1">
      <c r="A469" s="18"/>
      <c r="B469" s="30" t="s">
        <v>274</v>
      </c>
      <c r="C469" s="18"/>
      <c r="D469" s="56"/>
      <c r="E469" s="56">
        <f>(E452-D452)</f>
        <v>-0.24000000000000199</v>
      </c>
      <c r="F469" s="56">
        <f t="shared" ref="F469:T469" si="1259">(F452-E452)</f>
        <v>1.3580000000000041</v>
      </c>
      <c r="G469" s="56">
        <f t="shared" si="1259"/>
        <v>0.20299999999999585</v>
      </c>
      <c r="H469" s="56">
        <f t="shared" si="1259"/>
        <v>-2.4969999999999999</v>
      </c>
      <c r="I469" s="56">
        <f t="shared" si="1259"/>
        <v>2.6319999999999979</v>
      </c>
      <c r="J469" s="56">
        <f t="shared" si="1259"/>
        <v>2.659000000000006</v>
      </c>
      <c r="K469" s="56">
        <f t="shared" si="1259"/>
        <v>4.8339999999999961</v>
      </c>
      <c r="L469" s="56">
        <f t="shared" si="1259"/>
        <v>1.3810000000000002</v>
      </c>
      <c r="M469" s="56">
        <f t="shared" si="1259"/>
        <v>9.7139999999999986</v>
      </c>
      <c r="N469" s="56">
        <f t="shared" si="1259"/>
        <v>2.2000000000000028</v>
      </c>
      <c r="O469" s="56">
        <f t="shared" si="1259"/>
        <v>-5.4960000000000022</v>
      </c>
      <c r="P469" s="56">
        <f t="shared" si="1259"/>
        <v>-9.14</v>
      </c>
      <c r="Q469" s="56">
        <f t="shared" si="1259"/>
        <v>1.5910000000000011</v>
      </c>
      <c r="R469" s="56">
        <f t="shared" si="1259"/>
        <v>4.7989999999999995</v>
      </c>
      <c r="S469" s="56">
        <f t="shared" si="1259"/>
        <v>3.5210000000000008</v>
      </c>
      <c r="T469" s="56">
        <f t="shared" si="1259"/>
        <v>0.31700000000000017</v>
      </c>
      <c r="U469" s="56">
        <f t="shared" ref="U469:V469" si="1260">(U452-T452)</f>
        <v>6.3370000000000033</v>
      </c>
      <c r="V469" s="56">
        <f t="shared" si="1260"/>
        <v>6.8729999999999905</v>
      </c>
      <c r="W469" s="56">
        <f ca="1">(W452-V452)</f>
        <v>9.1376892799749641</v>
      </c>
      <c r="X469" s="56">
        <f t="shared" ref="X469:AA469" ca="1" si="1261">(X452-W452)</f>
        <v>-0.26125295593422493</v>
      </c>
      <c r="Y469" s="56">
        <f t="shared" si="1261"/>
        <v>-7.3604389714688523E-2</v>
      </c>
      <c r="Z469" s="56">
        <f t="shared" si="1261"/>
        <v>9.2122639787431382</v>
      </c>
      <c r="AA469" s="56">
        <f t="shared" ca="1" si="1261"/>
        <v>11.86333554842868</v>
      </c>
      <c r="AB469" s="18"/>
      <c r="AC469" s="56"/>
      <c r="AD469" s="56">
        <f t="shared" ref="AD469:AR469" si="1262">(AD452-AC452)</f>
        <v>-1.008</v>
      </c>
      <c r="AE469" s="56">
        <f t="shared" si="1262"/>
        <v>1.6270000000000002</v>
      </c>
      <c r="AF469" s="56">
        <f t="shared" si="1262"/>
        <v>7.1560000000000006</v>
      </c>
      <c r="AG469" s="56">
        <f t="shared" si="1262"/>
        <v>-8.668000000000001</v>
      </c>
      <c r="AH469" s="56">
        <f t="shared" si="1262"/>
        <v>4.4689999999999994</v>
      </c>
      <c r="AI469" s="56">
        <f t="shared" si="1262"/>
        <v>2.7719999999999994</v>
      </c>
      <c r="AJ469" s="56">
        <f t="shared" si="1262"/>
        <v>-0.20500000000000007</v>
      </c>
      <c r="AK469" s="56">
        <f t="shared" si="1262"/>
        <v>1.6829999999999998</v>
      </c>
      <c r="AL469" s="56">
        <f t="shared" si="1262"/>
        <v>-1.3629999999999995</v>
      </c>
      <c r="AM469" s="56">
        <f t="shared" si="1262"/>
        <v>3.2759999999999998</v>
      </c>
      <c r="AN469" s="56">
        <f t="shared" si="1262"/>
        <v>-7.0349999999999993</v>
      </c>
      <c r="AO469" s="56">
        <f t="shared" si="1262"/>
        <v>5.6459999999999999</v>
      </c>
      <c r="AP469" s="56">
        <f t="shared" si="1262"/>
        <v>1.282</v>
      </c>
      <c r="AQ469" s="56">
        <f t="shared" si="1262"/>
        <v>-1.1120000000000001</v>
      </c>
      <c r="AR469" s="56">
        <f t="shared" si="1262"/>
        <v>3.3800000000000008</v>
      </c>
      <c r="AS469" s="56">
        <f>(AS452-AR452)</f>
        <v>1.120000000000001</v>
      </c>
      <c r="AT469" s="56">
        <f t="shared" ref="AT469" si="1263">(AT452-AS452)</f>
        <v>7.0109999999999992</v>
      </c>
      <c r="AU469" s="56">
        <f t="shared" ref="AU469:AV469" si="1264">(AU452-AT452)</f>
        <v>-3.6449999999999996</v>
      </c>
      <c r="AV469" s="56">
        <f t="shared" si="1264"/>
        <v>7.5999999999999979</v>
      </c>
      <c r="AW469" s="56">
        <f t="shared" ref="AW469:BC469" si="1265">(AW452-AV452)</f>
        <v>2.7439999999999998</v>
      </c>
      <c r="AX469" s="56">
        <f t="shared" si="1265"/>
        <v>4.2880000000000003</v>
      </c>
      <c r="AY469" s="56">
        <f t="shared" si="1265"/>
        <v>5.8490000000000038</v>
      </c>
      <c r="AZ469" s="56">
        <f t="shared" si="1265"/>
        <v>0.88899999999999579</v>
      </c>
      <c r="BA469" s="56">
        <f t="shared" si="1265"/>
        <v>7.6280000000000001</v>
      </c>
      <c r="BB469" s="56">
        <f t="shared" si="1265"/>
        <v>7.7989999999999995</v>
      </c>
      <c r="BC469" s="56">
        <f t="shared" si="1265"/>
        <v>0.7710000000000008</v>
      </c>
      <c r="BD469" s="56">
        <f ca="1">SUM(T469:W469)</f>
        <v>22.664689279974958</v>
      </c>
      <c r="BE469" s="56">
        <f t="shared" ca="1" si="1252"/>
        <v>20.740742181522904</v>
      </c>
      <c r="BF469" s="18"/>
      <c r="BG469" s="84"/>
      <c r="BH469" s="84">
        <f t="shared" si="1242"/>
        <v>0</v>
      </c>
      <c r="BI469" s="84">
        <f t="shared" si="1243"/>
        <v>0</v>
      </c>
      <c r="BJ469" s="84">
        <f t="shared" si="1244"/>
        <v>0</v>
      </c>
      <c r="BK469" s="84">
        <f t="shared" ca="1" si="1245"/>
        <v>0</v>
      </c>
    </row>
    <row r="470" spans="1:63" s="54" customFormat="1" ht="13.5" customHeight="1">
      <c r="A470" s="18"/>
      <c r="B470" s="30" t="s">
        <v>275</v>
      </c>
      <c r="C470" s="18"/>
      <c r="D470" s="70"/>
      <c r="E470" s="70">
        <f>(E453-D453)</f>
        <v>-0.94200000000000728</v>
      </c>
      <c r="F470" s="70">
        <f t="shared" ref="F470:T470" si="1266">(F453-E453)</f>
        <v>-6.4410000000000025</v>
      </c>
      <c r="G470" s="70">
        <f t="shared" si="1266"/>
        <v>38.356999999999999</v>
      </c>
      <c r="H470" s="70">
        <f t="shared" si="1266"/>
        <v>49.796999999999997</v>
      </c>
      <c r="I470" s="70">
        <f t="shared" si="1266"/>
        <v>-23.379999999999995</v>
      </c>
      <c r="J470" s="70">
        <f t="shared" si="1266"/>
        <v>-1.953000000000003</v>
      </c>
      <c r="K470" s="70">
        <f t="shared" si="1266"/>
        <v>61.028999999999996</v>
      </c>
      <c r="L470" s="70">
        <f t="shared" si="1266"/>
        <v>62.954999999999984</v>
      </c>
      <c r="M470" s="70">
        <f t="shared" si="1266"/>
        <v>3.5960000000000036</v>
      </c>
      <c r="N470" s="70">
        <f t="shared" si="1266"/>
        <v>70.105000000000018</v>
      </c>
      <c r="O470" s="70">
        <f t="shared" si="1266"/>
        <v>92.685000000000002</v>
      </c>
      <c r="P470" s="70">
        <f t="shared" si="1266"/>
        <v>5.4020000000000437</v>
      </c>
      <c r="Q470" s="70">
        <f t="shared" si="1266"/>
        <v>-54.008000000000038</v>
      </c>
      <c r="R470" s="70">
        <f t="shared" si="1266"/>
        <v>58.734000000000037</v>
      </c>
      <c r="S470" s="70">
        <f t="shared" si="1266"/>
        <v>-15.448000000000036</v>
      </c>
      <c r="T470" s="70">
        <f t="shared" si="1266"/>
        <v>140.41199999999998</v>
      </c>
      <c r="U470" s="70">
        <f t="shared" ref="U470:V470" si="1267">(U453-T453)</f>
        <v>-16.817000000000007</v>
      </c>
      <c r="V470" s="70">
        <f t="shared" si="1267"/>
        <v>-12.362999999999943</v>
      </c>
      <c r="W470" s="70">
        <f ca="1">(W453-V453)</f>
        <v>79.762660056913319</v>
      </c>
      <c r="X470" s="70">
        <f t="shared" ref="X470:AA470" ca="1" si="1268">(X453-W453)</f>
        <v>-17.403691998392219</v>
      </c>
      <c r="Y470" s="70">
        <f t="shared" si="1268"/>
        <v>6.9261034847590963</v>
      </c>
      <c r="Z470" s="70">
        <f t="shared" si="1268"/>
        <v>87.968247887905818</v>
      </c>
      <c r="AA470" s="70">
        <f t="shared" ca="1" si="1268"/>
        <v>103.55475782746305</v>
      </c>
      <c r="AB470" s="18"/>
      <c r="AC470" s="70" t="s">
        <v>51</v>
      </c>
      <c r="AD470" s="70">
        <f t="shared" ref="AD470:AR470" si="1269">(AD453-AC453)</f>
        <v>0.90800000000000014</v>
      </c>
      <c r="AE470" s="70">
        <f t="shared" si="1269"/>
        <v>1.0749999999999997</v>
      </c>
      <c r="AF470" s="70">
        <f t="shared" si="1269"/>
        <v>3.2500000000000004</v>
      </c>
      <c r="AG470" s="70">
        <f t="shared" si="1269"/>
        <v>-0.12900000000000045</v>
      </c>
      <c r="AH470" s="70">
        <f t="shared" si="1269"/>
        <v>-0.26999999999999957</v>
      </c>
      <c r="AI470" s="70">
        <f t="shared" si="1269"/>
        <v>2.3439999999999994</v>
      </c>
      <c r="AJ470" s="70">
        <f t="shared" si="1269"/>
        <v>1.3049999999999997</v>
      </c>
      <c r="AK470" s="70">
        <f t="shared" si="1269"/>
        <v>4.4320000000000004</v>
      </c>
      <c r="AL470" s="70">
        <f t="shared" si="1269"/>
        <v>4.7280000000000015</v>
      </c>
      <c r="AM470" s="70">
        <f t="shared" si="1269"/>
        <v>9.8039999999999985</v>
      </c>
      <c r="AN470" s="70">
        <f t="shared" si="1269"/>
        <v>5.4529999999999994</v>
      </c>
      <c r="AO470" s="70">
        <f t="shared" si="1269"/>
        <v>3.0279999999999987</v>
      </c>
      <c r="AP470" s="70">
        <f t="shared" si="1269"/>
        <v>-2.0659999999999954</v>
      </c>
      <c r="AQ470" s="70">
        <f t="shared" si="1269"/>
        <v>3.6119999999999948</v>
      </c>
      <c r="AR470" s="70">
        <f t="shared" si="1269"/>
        <v>14.443000000000005</v>
      </c>
      <c r="AS470" s="70">
        <f>(AS453-AR453)</f>
        <v>14.403999999999996</v>
      </c>
      <c r="AT470" s="70">
        <f t="shared" ref="AT470" si="1270">(AT453-AS453)</f>
        <v>46.540999999999997</v>
      </c>
      <c r="AU470" s="70">
        <f t="shared" ref="AU470:AV470" si="1271">(AU453-AT453)</f>
        <v>-11.004999999999995</v>
      </c>
      <c r="AV470" s="70">
        <f t="shared" si="1271"/>
        <v>28.192000000000007</v>
      </c>
      <c r="AW470" s="70">
        <f t="shared" ref="AW470:BC470" si="1272">(AW453-AV453)</f>
        <v>19.054000000000002</v>
      </c>
      <c r="AX470" s="70">
        <f t="shared" si="1272"/>
        <v>-11.349000000000018</v>
      </c>
      <c r="AY470" s="70">
        <f t="shared" si="1272"/>
        <v>-9.6519999999999868</v>
      </c>
      <c r="AZ470" s="70">
        <f t="shared" si="1272"/>
        <v>67.694999999999993</v>
      </c>
      <c r="BA470" s="70">
        <f t="shared" si="1272"/>
        <v>85.492999999999995</v>
      </c>
      <c r="BB470" s="70">
        <f t="shared" si="1272"/>
        <v>229.34100000000001</v>
      </c>
      <c r="BC470" s="70">
        <f t="shared" si="1272"/>
        <v>-5.3199999999999932</v>
      </c>
      <c r="BD470" s="70">
        <f ca="1">SUM(T470:W470)</f>
        <v>190.99466005691335</v>
      </c>
      <c r="BE470" s="70">
        <f t="shared" ca="1" si="1252"/>
        <v>181.04541720173575</v>
      </c>
      <c r="BF470" s="18"/>
      <c r="BG470" s="84"/>
      <c r="BH470" s="84">
        <f t="shared" si="1242"/>
        <v>0</v>
      </c>
      <c r="BI470" s="84">
        <f t="shared" si="1243"/>
        <v>0</v>
      </c>
      <c r="BJ470" s="84">
        <f t="shared" si="1244"/>
        <v>0</v>
      </c>
      <c r="BK470" s="84">
        <f t="shared" ca="1" si="1245"/>
        <v>0</v>
      </c>
    </row>
    <row r="471" spans="1:63" ht="11.25" customHeight="1">
      <c r="A471" s="2"/>
      <c r="B471" s="12" t="s">
        <v>276</v>
      </c>
      <c r="C471" s="2"/>
      <c r="D471" s="56"/>
      <c r="E471" s="56">
        <f>SUM(E466:E470)</f>
        <v>-15.281000000000002</v>
      </c>
      <c r="F471" s="56">
        <f t="shared" ref="F471:W471" si="1273">SUM(F466:F470)</f>
        <v>-37.321000000000012</v>
      </c>
      <c r="G471" s="56">
        <f t="shared" si="1273"/>
        <v>25.105999999999984</v>
      </c>
      <c r="H471" s="56">
        <f t="shared" si="1273"/>
        <v>4.9429999999999907</v>
      </c>
      <c r="I471" s="56">
        <f t="shared" si="1273"/>
        <v>-47.951999999999956</v>
      </c>
      <c r="J471" s="56">
        <f t="shared" si="1273"/>
        <v>-23.845000000000027</v>
      </c>
      <c r="K471" s="56">
        <f t="shared" si="1273"/>
        <v>42.065000000000012</v>
      </c>
      <c r="L471" s="56">
        <f t="shared" si="1273"/>
        <v>42.771999999999977</v>
      </c>
      <c r="M471" s="56">
        <f t="shared" si="1273"/>
        <v>-26.805999999999969</v>
      </c>
      <c r="N471" s="56">
        <f t="shared" si="1273"/>
        <v>37.244999999999969</v>
      </c>
      <c r="O471" s="56">
        <f t="shared" si="1273"/>
        <v>111.13600000000002</v>
      </c>
      <c r="P471" s="56">
        <f t="shared" si="1273"/>
        <v>81.131000000000043</v>
      </c>
      <c r="Q471" s="56">
        <f t="shared" si="1273"/>
        <v>-115.88300000000001</v>
      </c>
      <c r="R471" s="56">
        <f t="shared" si="1273"/>
        <v>2.3860000000000383</v>
      </c>
      <c r="S471" s="56">
        <f t="shared" si="1273"/>
        <v>12.839999999999947</v>
      </c>
      <c r="T471" s="56">
        <f t="shared" si="1273"/>
        <v>117.006</v>
      </c>
      <c r="U471" s="56">
        <f t="shared" si="1273"/>
        <v>-23.392000000000017</v>
      </c>
      <c r="V471" s="56">
        <f t="shared" ref="V471" si="1274">SUM(V466:V470)</f>
        <v>-68.780999999999963</v>
      </c>
      <c r="W471" s="56">
        <f t="shared" ca="1" si="1273"/>
        <v>9.2539277785241865</v>
      </c>
      <c r="X471" s="56">
        <f t="shared" ref="X471:AA471" ca="1" si="1275">SUM(X466:X470)</f>
        <v>2.7629384762587108</v>
      </c>
      <c r="Y471" s="56">
        <f t="shared" si="1275"/>
        <v>6.7253026820516908</v>
      </c>
      <c r="Z471" s="56">
        <f t="shared" si="1275"/>
        <v>19.336810211383337</v>
      </c>
      <c r="AA471" s="56">
        <f t="shared" ca="1" si="1275"/>
        <v>16.1281601085863</v>
      </c>
      <c r="AB471" s="18"/>
      <c r="AC471" s="16">
        <v>-2.6844090000000009</v>
      </c>
      <c r="AD471" s="56">
        <f t="shared" ref="AD471:AR471" si="1276">SUM(AD466:AD470)</f>
        <v>3.4030000000000005</v>
      </c>
      <c r="AE471" s="56">
        <f t="shared" si="1276"/>
        <v>-7.4550000000000001</v>
      </c>
      <c r="AF471" s="56">
        <f t="shared" si="1276"/>
        <v>-18.483000000000004</v>
      </c>
      <c r="AG471" s="56">
        <f t="shared" si="1276"/>
        <v>11.358000000000001</v>
      </c>
      <c r="AH471" s="56">
        <f t="shared" si="1276"/>
        <v>1.4689999999999968</v>
      </c>
      <c r="AI471" s="56">
        <f t="shared" si="1276"/>
        <v>-10.247999999999999</v>
      </c>
      <c r="AJ471" s="56">
        <f t="shared" si="1276"/>
        <v>-4.9980000000000011</v>
      </c>
      <c r="AK471" s="56">
        <f t="shared" si="1276"/>
        <v>-6.2180000000000035</v>
      </c>
      <c r="AL471" s="56">
        <f t="shared" si="1276"/>
        <v>6.4990000000000059</v>
      </c>
      <c r="AM471" s="56">
        <f t="shared" si="1276"/>
        <v>3.33</v>
      </c>
      <c r="AN471" s="56">
        <f t="shared" si="1276"/>
        <v>32.237000000000002</v>
      </c>
      <c r="AO471" s="56">
        <f t="shared" si="1276"/>
        <v>-14.163999999999998</v>
      </c>
      <c r="AP471" s="56">
        <f t="shared" si="1276"/>
        <v>-16.721999999999994</v>
      </c>
      <c r="AQ471" s="56">
        <f t="shared" si="1276"/>
        <v>7.8069999999999915</v>
      </c>
      <c r="AR471" s="56">
        <f t="shared" si="1276"/>
        <v>-6.9469999999999956</v>
      </c>
      <c r="AS471" s="56">
        <f t="shared" ref="AS471" si="1277">SUM(AS466:AS470)</f>
        <v>1.7870000000000097</v>
      </c>
      <c r="AT471" s="56">
        <f t="shared" ref="AT471" si="1278">SUM(AT466:AT470)</f>
        <v>-22.945000000000022</v>
      </c>
      <c r="AU471" s="56">
        <f t="shared" ref="AU471" si="1279">SUM(AU466:AU470)</f>
        <v>14.410999999999998</v>
      </c>
      <c r="AV471" s="56">
        <f t="shared" ref="AV471" si="1280">SUM(AV466:AV470)</f>
        <v>10.753</v>
      </c>
      <c r="AW471" s="56">
        <f t="shared" ref="AW471" si="1281">SUM(AW466:AW470)</f>
        <v>-0.42599999999998417</v>
      </c>
      <c r="AX471" s="56">
        <f t="shared" ref="AX471" si="1282">SUM(AX466:AX470)</f>
        <v>-55.715000000000032</v>
      </c>
      <c r="AY471" s="56">
        <f t="shared" ref="AY471" si="1283">SUM(AY466:AY470)</f>
        <v>13.529000000000035</v>
      </c>
      <c r="AZ471" s="56">
        <f t="shared" ref="AZ471" si="1284">SUM(AZ466:AZ470)</f>
        <v>7.0419999999999519</v>
      </c>
      <c r="BA471" s="56">
        <f t="shared" ref="BA471" si="1285">SUM(BA466:BA470)</f>
        <v>-24.788999999999973</v>
      </c>
      <c r="BB471" s="56">
        <f t="shared" ref="BB471" si="1286">SUM(BB466:BB470)</f>
        <v>164.34700000000001</v>
      </c>
      <c r="BC471" s="56">
        <f t="shared" ref="BC471" si="1287">SUM(BC466:BC470)</f>
        <v>-19.525999999999996</v>
      </c>
      <c r="BD471" s="56">
        <f ca="1">SUM(BD466:BD470)</f>
        <v>34.086927778524199</v>
      </c>
      <c r="BE471" s="56">
        <f ca="1">SUM(BE466:BE470)</f>
        <v>44.953211478280053</v>
      </c>
      <c r="BF471" s="2"/>
      <c r="BG471" s="84"/>
      <c r="BH471" s="84">
        <f t="shared" si="1242"/>
        <v>0</v>
      </c>
      <c r="BI471" s="84">
        <f t="shared" si="1243"/>
        <v>0</v>
      </c>
      <c r="BJ471" s="84">
        <f t="shared" si="1244"/>
        <v>0</v>
      </c>
      <c r="BK471" s="84">
        <f t="shared" ca="1" si="1245"/>
        <v>0</v>
      </c>
    </row>
    <row r="472" spans="1:63" ht="11.25" customHeight="1">
      <c r="A472" s="2"/>
      <c r="B472" s="36" t="s">
        <v>270</v>
      </c>
      <c r="C472" s="2"/>
      <c r="D472" s="134">
        <f>D471/D476</f>
        <v>0</v>
      </c>
      <c r="E472" s="134">
        <f t="shared" ref="E472" si="1288">E471/E476</f>
        <v>-4.916692499867608E-2</v>
      </c>
      <c r="F472" s="134">
        <f t="shared" ref="F472" si="1289">F471/F476</f>
        <v>-0.10470891191827189</v>
      </c>
      <c r="G472" s="134">
        <f t="shared" ref="G472" si="1290">G471/G476</f>
        <v>6.9462379031921193E-2</v>
      </c>
      <c r="H472" s="134">
        <f t="shared" ref="H472" si="1291">H471/H476</f>
        <v>1.3639239709099795E-2</v>
      </c>
      <c r="I472" s="134">
        <f t="shared" ref="I472" si="1292">I471/I476</f>
        <v>-0.12885295860468099</v>
      </c>
      <c r="J472" s="134">
        <f t="shared" ref="J472" si="1293">J471/J476</f>
        <v>-5.7503504488320416E-2</v>
      </c>
      <c r="K472" s="134">
        <f t="shared" ref="K472" si="1294">K471/K476</f>
        <v>9.5997322216713366E-2</v>
      </c>
      <c r="L472" s="134">
        <f t="shared" ref="L472" si="1295">L471/L476</f>
        <v>8.7098557171429128E-2</v>
      </c>
      <c r="M472" s="134">
        <f t="shared" ref="M472" si="1296">M471/M476</f>
        <v>-5.0185268750332898E-2</v>
      </c>
      <c r="N472" s="134">
        <f t="shared" ref="N472" si="1297">N471/N476</f>
        <v>6.0744419509503968E-2</v>
      </c>
      <c r="O472" s="134">
        <f t="shared" ref="O472" si="1298">O471/O476</f>
        <v>0.17766640787676066</v>
      </c>
      <c r="P472" s="134">
        <f t="shared" ref="P472" si="1299">P471/P476</f>
        <v>0.1595079444446478</v>
      </c>
      <c r="Q472" s="134">
        <f t="shared" ref="Q472" si="1300">Q471/Q476</f>
        <v>-0.24100053611456559</v>
      </c>
      <c r="R472" s="134">
        <f t="shared" ref="R472" si="1301">R471/R476</f>
        <v>4.3641065311839948E-3</v>
      </c>
      <c r="S472" s="134">
        <f t="shared" ref="S472" si="1302">S471/S476</f>
        <v>2.0526625771308062E-2</v>
      </c>
      <c r="T472" s="134">
        <f t="shared" ref="T472:U472" si="1303">T471/T476</f>
        <v>0.19743043094418128</v>
      </c>
      <c r="U472" s="134">
        <f t="shared" si="1303"/>
        <v>-3.4731472216491872E-2</v>
      </c>
      <c r="V472" s="134">
        <f t="shared" ref="V472" si="1304">V471/V476</f>
        <v>-9.0538007508305943E-2</v>
      </c>
      <c r="W472" s="134">
        <f t="shared" ref="W472:AA472" ca="1" si="1305">W471/W476</f>
        <v>1.074608873769288E-2</v>
      </c>
      <c r="X472" s="134">
        <f t="shared" ca="1" si="1305"/>
        <v>3.4533723439318198E-3</v>
      </c>
      <c r="Y472" s="134">
        <f t="shared" si="1305"/>
        <v>8.3212089335804405E-3</v>
      </c>
      <c r="Z472" s="134">
        <f t="shared" si="1305"/>
        <v>2.1211238909302869E-2</v>
      </c>
      <c r="AA472" s="134">
        <f t="shared" ca="1" si="1305"/>
        <v>1.5607304257766299E-2</v>
      </c>
      <c r="AB472" s="2"/>
      <c r="AC472" s="134">
        <f t="shared" ref="AC472:AR472" si="1306">AC471/AC476</f>
        <v>-6.1110683634211328E-2</v>
      </c>
      <c r="AD472" s="134">
        <f t="shared" si="1306"/>
        <v>6.7490381182817041E-2</v>
      </c>
      <c r="AE472" s="134">
        <f t="shared" si="1306"/>
        <v>-0.10202964402534662</v>
      </c>
      <c r="AF472" s="134">
        <f t="shared" si="1306"/>
        <v>-0.11121072455745558</v>
      </c>
      <c r="AG472" s="134">
        <f t="shared" si="1306"/>
        <v>9.0225205544743226E-2</v>
      </c>
      <c r="AH472" s="134">
        <f t="shared" si="1306"/>
        <v>9.0510840968324093E-3</v>
      </c>
      <c r="AI472" s="134">
        <f t="shared" si="1306"/>
        <v>-5.0483504682335201E-2</v>
      </c>
      <c r="AJ472" s="134">
        <f t="shared" si="1306"/>
        <v>-1.9431366221769508E-2</v>
      </c>
      <c r="AK472" s="134">
        <f t="shared" si="1306"/>
        <v>-2.3326393187402712E-2</v>
      </c>
      <c r="AL472" s="134">
        <f t="shared" si="1306"/>
        <v>2.0475288824758138E-2</v>
      </c>
      <c r="AM472" s="134">
        <f t="shared" si="1306"/>
        <v>1.032142082261414E-2</v>
      </c>
      <c r="AN472" s="134">
        <f t="shared" si="1306"/>
        <v>9.6761896757694546E-2</v>
      </c>
      <c r="AO472" s="134">
        <f t="shared" si="1306"/>
        <v>-4.7893096009359502E-2</v>
      </c>
      <c r="AP472" s="134">
        <f t="shared" si="1306"/>
        <v>-3.9858129656908298E-2</v>
      </c>
      <c r="AQ472" s="134">
        <f t="shared" si="1306"/>
        <v>1.8279904748747876E-2</v>
      </c>
      <c r="AR472" s="134">
        <f t="shared" si="1306"/>
        <v>-1.3709064716968091E-2</v>
      </c>
      <c r="AS472" s="134">
        <f t="shared" ref="AS472" si="1307">AS471/AS476</f>
        <v>2.9931795036715605E-3</v>
      </c>
      <c r="AT472" s="134">
        <f t="shared" ref="AT472" si="1308">AT471/AT476</f>
        <v>-3.0079731937084946E-2</v>
      </c>
      <c r="AU472" s="134">
        <f t="shared" ref="AU472" si="1309">AU471/AU476</f>
        <v>1.7084826620604458E-2</v>
      </c>
      <c r="AV472" s="134">
        <f t="shared" ref="AV472" si="1310">AV471/AV476</f>
        <v>1.1343568883197003E-2</v>
      </c>
      <c r="AW472" s="134">
        <f t="shared" ref="AW472" si="1311">AW471/AW476</f>
        <v>-4.3582925723848376E-4</v>
      </c>
      <c r="AX472" s="134">
        <f t="shared" ref="AX472" si="1312">AX471/AX476</f>
        <v>-5.401495716675947E-2</v>
      </c>
      <c r="AY472" s="134">
        <f t="shared" ref="AY472" si="1313">AY471/AY476</f>
        <v>1.2644097193366722E-2</v>
      </c>
      <c r="AZ472" s="134">
        <f t="shared" ref="AZ472" si="1314">AZ471/AZ476</f>
        <v>5.2581479955571735E-3</v>
      </c>
      <c r="BA472" s="134">
        <f t="shared" ref="BA472" si="1315">BA471/BA476</f>
        <v>-1.5615953876087654E-2</v>
      </c>
      <c r="BB472" s="134">
        <f t="shared" ref="BB472" si="1316">BB471/BB476</f>
        <v>7.2594916805749171E-2</v>
      </c>
      <c r="BC472" s="134">
        <f t="shared" ref="BC472" si="1317">BC471/BC476</f>
        <v>-9.0325553166529116E-3</v>
      </c>
      <c r="BD472" s="134">
        <f t="shared" ref="BD472:BE472" ca="1" si="1318">BD471/BD476</f>
        <v>1.1807081278557889E-2</v>
      </c>
      <c r="BE472" s="134">
        <f t="shared" ca="1" si="1318"/>
        <v>1.2651170207560809E-2</v>
      </c>
      <c r="BF472" s="2"/>
      <c r="BG472" s="84"/>
      <c r="BH472" s="84"/>
      <c r="BI472" s="84"/>
      <c r="BJ472" s="84"/>
      <c r="BK472" s="84"/>
    </row>
    <row r="473" spans="1:63" ht="11.25" customHeight="1">
      <c r="A473" s="2"/>
      <c r="B473" s="36" t="s">
        <v>281</v>
      </c>
      <c r="C473" s="2"/>
      <c r="D473" s="258"/>
      <c r="E473" s="258">
        <f>E345-E471</f>
        <v>10.184000000000001</v>
      </c>
      <c r="F473" s="258">
        <f t="shared" ref="F473:U473" si="1319">F345</f>
        <v>-40.497</v>
      </c>
      <c r="G473" s="258">
        <f t="shared" si="1319"/>
        <v>2.2810000000000001</v>
      </c>
      <c r="H473" s="258">
        <f t="shared" si="1319"/>
        <v>-26.478999999999999</v>
      </c>
      <c r="I473" s="258">
        <f t="shared" si="1319"/>
        <v>-11.012</v>
      </c>
      <c r="J473" s="258">
        <f t="shared" si="1319"/>
        <v>68.704999999999998</v>
      </c>
      <c r="K473" s="258">
        <f t="shared" si="1319"/>
        <v>84.527000000000001</v>
      </c>
      <c r="L473" s="258">
        <f t="shared" si="1319"/>
        <v>36.603999999999999</v>
      </c>
      <c r="M473" s="258">
        <f t="shared" si="1319"/>
        <v>21.344000000000001</v>
      </c>
      <c r="N473" s="258">
        <f t="shared" si="1319"/>
        <v>19.111000000000001</v>
      </c>
      <c r="O473" s="258">
        <f t="shared" si="1319"/>
        <v>46.456000000000003</v>
      </c>
      <c r="P473" s="258">
        <f t="shared" si="1319"/>
        <v>32.372</v>
      </c>
      <c r="Q473" s="258">
        <f t="shared" si="1319"/>
        <v>-50.085000000000001</v>
      </c>
      <c r="R473" s="258">
        <f t="shared" si="1319"/>
        <v>-91.933999999999997</v>
      </c>
      <c r="S473" s="258">
        <f t="shared" si="1319"/>
        <v>4.782</v>
      </c>
      <c r="T473" s="258">
        <f t="shared" si="1319"/>
        <v>12.673999999999999</v>
      </c>
      <c r="U473" s="258">
        <f t="shared" si="1319"/>
        <v>-4.5540000000000003</v>
      </c>
      <c r="V473" s="258">
        <f t="shared" ref="V473" si="1320">V345</f>
        <v>-65.566999999999993</v>
      </c>
      <c r="W473" s="134"/>
      <c r="X473" s="134"/>
      <c r="Y473" s="134"/>
      <c r="Z473" s="134"/>
      <c r="AA473" s="134"/>
      <c r="AB473" s="2"/>
      <c r="AC473" s="258">
        <f t="shared" ref="AC473:BC473" si="1321">AC345</f>
        <v>-0.89200000000000002</v>
      </c>
      <c r="AD473" s="258">
        <f t="shared" si="1321"/>
        <v>3.3610000000000002</v>
      </c>
      <c r="AE473" s="258">
        <f t="shared" si="1321"/>
        <v>-4.5979999999999999</v>
      </c>
      <c r="AF473" s="258">
        <f t="shared" si="1321"/>
        <v>-12.333</v>
      </c>
      <c r="AG473" s="258">
        <f t="shared" si="1321"/>
        <v>5.7969999999999997</v>
      </c>
      <c r="AH473" s="258">
        <f t="shared" si="1321"/>
        <v>4.5229999999999997</v>
      </c>
      <c r="AI473" s="258">
        <f t="shared" si="1321"/>
        <v>-4.3390000000000004</v>
      </c>
      <c r="AJ473" s="258">
        <f t="shared" si="1321"/>
        <v>-5.3940000000000001</v>
      </c>
      <c r="AK473" s="258">
        <f t="shared" si="1321"/>
        <v>-7.4820000000000002</v>
      </c>
      <c r="AL473" s="258">
        <f t="shared" si="1321"/>
        <v>6.3109999999999999</v>
      </c>
      <c r="AM473" s="258">
        <f t="shared" si="1321"/>
        <v>-4.6070000000000002</v>
      </c>
      <c r="AN473" s="258">
        <f t="shared" si="1321"/>
        <v>37.881999999999998</v>
      </c>
      <c r="AO473" s="258">
        <f t="shared" si="1321"/>
        <v>-8.5169999999999995</v>
      </c>
      <c r="AP473" s="258">
        <f t="shared" si="1321"/>
        <v>-17.940999999999999</v>
      </c>
      <c r="AQ473" s="258">
        <f t="shared" si="1321"/>
        <v>6.8410000000000002</v>
      </c>
      <c r="AR473" s="258">
        <f t="shared" si="1321"/>
        <v>-14.677</v>
      </c>
      <c r="AS473" s="258">
        <f t="shared" si="1321"/>
        <v>-5.851</v>
      </c>
      <c r="AT473" s="258">
        <f t="shared" si="1321"/>
        <v>-46.938000000000002</v>
      </c>
      <c r="AU473" s="258">
        <f t="shared" si="1321"/>
        <v>2.0190000000000001</v>
      </c>
      <c r="AV473" s="258">
        <f t="shared" si="1321"/>
        <v>-20.513999999999999</v>
      </c>
      <c r="AW473" s="258">
        <f t="shared" si="1321"/>
        <v>-4.3520000000000003</v>
      </c>
      <c r="AX473" s="258">
        <f t="shared" si="1321"/>
        <v>-67.661000000000001</v>
      </c>
      <c r="AY473" s="258">
        <f t="shared" si="1321"/>
        <v>-6.702</v>
      </c>
      <c r="AZ473" s="258">
        <f t="shared" si="1321"/>
        <v>-38.880000000000003</v>
      </c>
      <c r="BA473" s="258">
        <f t="shared" si="1321"/>
        <v>115.741</v>
      </c>
      <c r="BB473" s="258">
        <f t="shared" si="1321"/>
        <v>123.514</v>
      </c>
      <c r="BC473" s="258">
        <f t="shared" si="1321"/>
        <v>-104.86499999999999</v>
      </c>
      <c r="BD473" s="134"/>
      <c r="BE473" s="134"/>
      <c r="BF473" s="2"/>
      <c r="BG473" s="84"/>
      <c r="BH473" s="84"/>
      <c r="BI473" s="84"/>
      <c r="BJ473" s="84"/>
      <c r="BK473" s="84"/>
    </row>
    <row r="474" spans="1:63" ht="11.25" customHeight="1">
      <c r="A474" s="2"/>
      <c r="B474" s="9"/>
      <c r="C474" s="2"/>
      <c r="D474" s="45"/>
      <c r="E474" s="45"/>
      <c r="F474" s="45"/>
      <c r="G474" s="45"/>
      <c r="H474" s="197"/>
      <c r="I474" s="197"/>
      <c r="J474" s="197"/>
      <c r="K474" s="197"/>
      <c r="L474" s="197"/>
      <c r="M474" s="197"/>
      <c r="N474" s="197"/>
      <c r="O474" s="197"/>
      <c r="P474" s="197"/>
      <c r="Q474" s="197"/>
      <c r="R474" s="197"/>
      <c r="S474" s="197"/>
      <c r="T474" s="47"/>
      <c r="U474" s="47"/>
      <c r="V474" s="47"/>
      <c r="W474" s="47"/>
      <c r="X474" s="47"/>
      <c r="Y474" s="47"/>
      <c r="Z474" s="47"/>
      <c r="AA474" s="47"/>
      <c r="AB474" s="2"/>
      <c r="AC474" s="2"/>
      <c r="AD474" s="2"/>
      <c r="AE474" s="2"/>
      <c r="AF474" s="2"/>
      <c r="AG474" s="2"/>
      <c r="AH474" s="2"/>
      <c r="AI474" s="2"/>
      <c r="AJ474" s="2"/>
      <c r="AK474" s="2"/>
      <c r="AL474" s="2"/>
      <c r="AM474" s="2"/>
      <c r="AN474" s="2"/>
      <c r="AO474" s="2"/>
      <c r="AP474" s="2"/>
      <c r="AQ474" s="2"/>
      <c r="AR474" s="2"/>
      <c r="AS474" s="2"/>
      <c r="AT474" s="2"/>
      <c r="AU474" s="2"/>
      <c r="AV474" s="45"/>
      <c r="AW474" s="45"/>
      <c r="AX474" s="45"/>
      <c r="AY474" s="45"/>
      <c r="AZ474" s="45"/>
      <c r="BA474" s="45"/>
      <c r="BB474" s="45"/>
      <c r="BC474" s="47"/>
      <c r="BD474" s="47"/>
      <c r="BE474" s="47"/>
      <c r="BF474" s="2"/>
      <c r="BG474" s="2"/>
      <c r="BH474" s="2"/>
      <c r="BI474" s="2"/>
      <c r="BJ474" s="2"/>
      <c r="BK474" s="2"/>
    </row>
    <row r="475" spans="1:63" ht="11.25" customHeight="1">
      <c r="A475" s="6"/>
      <c r="B475" s="32" t="s">
        <v>57</v>
      </c>
      <c r="C475" s="6"/>
      <c r="D475" s="45"/>
      <c r="E475" s="45"/>
      <c r="F475" s="45"/>
      <c r="G475" s="45"/>
      <c r="H475" s="45"/>
      <c r="I475" s="45"/>
      <c r="J475" s="45"/>
      <c r="K475" s="45"/>
      <c r="L475" s="45"/>
      <c r="M475" s="45"/>
      <c r="N475" s="45"/>
      <c r="O475" s="45"/>
      <c r="P475" s="45"/>
      <c r="Q475" s="45"/>
      <c r="R475" s="45"/>
      <c r="S475" s="47"/>
      <c r="T475" s="47"/>
      <c r="U475" s="47"/>
      <c r="V475" s="47"/>
      <c r="W475" s="47"/>
      <c r="X475" s="47"/>
      <c r="Y475" s="47"/>
      <c r="Z475" s="47"/>
      <c r="AA475" s="47"/>
      <c r="AB475" s="6"/>
      <c r="AC475" s="6"/>
      <c r="AD475" s="6"/>
      <c r="AE475" s="6"/>
      <c r="AF475" s="6"/>
      <c r="AG475" s="6"/>
      <c r="AH475" s="6"/>
      <c r="AI475" s="6"/>
      <c r="AJ475" s="6"/>
      <c r="AK475" s="6"/>
      <c r="AL475" s="6"/>
      <c r="AM475" s="6"/>
      <c r="AN475" s="6"/>
      <c r="AO475" s="6"/>
      <c r="AP475" s="6"/>
      <c r="AQ475" s="6"/>
      <c r="AR475" s="6"/>
      <c r="AS475" s="6"/>
      <c r="AT475" s="6"/>
      <c r="AU475" s="6"/>
      <c r="AV475" s="45"/>
      <c r="AW475" s="45"/>
      <c r="AX475" s="45"/>
      <c r="AY475" s="45"/>
      <c r="AZ475" s="45"/>
      <c r="BA475" s="45"/>
      <c r="BB475" s="45"/>
      <c r="BC475" s="47"/>
      <c r="BD475" s="47"/>
      <c r="BE475" s="47"/>
      <c r="BF475" s="6"/>
      <c r="BG475" s="6"/>
      <c r="BH475" s="6"/>
      <c r="BI475" s="6"/>
      <c r="BJ475" s="6"/>
      <c r="BK475" s="6"/>
    </row>
    <row r="476" spans="1:63" s="54" customFormat="1" ht="11.25" customHeight="1">
      <c r="A476" s="52"/>
      <c r="B476" s="35" t="s">
        <v>132</v>
      </c>
      <c r="C476" s="52"/>
      <c r="D476" s="176">
        <f t="shared" ref="D476:AA476" si="1322">D16</f>
        <v>310.59718300000003</v>
      </c>
      <c r="E476" s="176">
        <f t="shared" si="1322"/>
        <v>310.79836699999998</v>
      </c>
      <c r="F476" s="176">
        <f t="shared" si="1322"/>
        <v>356.42620400000004</v>
      </c>
      <c r="G476" s="176">
        <f t="shared" si="1322"/>
        <v>361.43305700000008</v>
      </c>
      <c r="H476" s="176">
        <f t="shared" si="1322"/>
        <v>362.41023000000007</v>
      </c>
      <c r="I476" s="176">
        <f t="shared" si="1322"/>
        <v>372.14512200000001</v>
      </c>
      <c r="J476" s="176">
        <f t="shared" si="1322"/>
        <v>414.67037899999997</v>
      </c>
      <c r="K476" s="176">
        <f t="shared" si="1322"/>
        <v>438.18930599999999</v>
      </c>
      <c r="L476" s="176">
        <f t="shared" si="1322"/>
        <v>491.07587300000006</v>
      </c>
      <c r="M476" s="176">
        <f t="shared" si="1322"/>
        <v>534.14080800000011</v>
      </c>
      <c r="N476" s="176">
        <f t="shared" si="1322"/>
        <v>613.14274299999988</v>
      </c>
      <c r="O476" s="176">
        <f t="shared" si="1322"/>
        <v>625.53186800000003</v>
      </c>
      <c r="P476" s="176">
        <f t="shared" si="1322"/>
        <v>508.63297299999999</v>
      </c>
      <c r="Q476" s="176">
        <f t="shared" si="1322"/>
        <v>480.84125399999999</v>
      </c>
      <c r="R476" s="176">
        <f t="shared" si="1322"/>
        <v>546.73275799999999</v>
      </c>
      <c r="S476" s="176">
        <f t="shared" si="1322"/>
        <v>625.52901499999996</v>
      </c>
      <c r="T476" s="176">
        <f t="shared" si="1322"/>
        <v>592.64420100000007</v>
      </c>
      <c r="U476" s="176">
        <f t="shared" si="1322"/>
        <v>673.51017699999989</v>
      </c>
      <c r="V476" s="176">
        <f t="shared" ref="V476" si="1323">V16</f>
        <v>759.69200000000001</v>
      </c>
      <c r="W476" s="176">
        <f t="shared" ca="1" si="1322"/>
        <v>861.14380817135782</v>
      </c>
      <c r="X476" s="176">
        <f t="shared" si="1322"/>
        <v>800.06967135000014</v>
      </c>
      <c r="Y476" s="176">
        <f t="shared" si="1322"/>
        <v>808.21221239999988</v>
      </c>
      <c r="Z476" s="176">
        <f t="shared" si="1322"/>
        <v>911.63040000000001</v>
      </c>
      <c r="AA476" s="176">
        <f t="shared" ca="1" si="1322"/>
        <v>1033.3725698056294</v>
      </c>
      <c r="AB476" s="52"/>
      <c r="AC476" s="176">
        <f t="shared" ref="AC476:BE476" si="1324">AC16</f>
        <v>43.927</v>
      </c>
      <c r="AD476" s="176">
        <f t="shared" si="1324"/>
        <v>50.421999999999997</v>
      </c>
      <c r="AE476" s="176">
        <f t="shared" si="1324"/>
        <v>73.066999999999993</v>
      </c>
      <c r="AF476" s="176">
        <f t="shared" si="1324"/>
        <v>166.19800000000001</v>
      </c>
      <c r="AG476" s="176">
        <f t="shared" si="1324"/>
        <v>125.88500000000001</v>
      </c>
      <c r="AH476" s="176">
        <f t="shared" si="1324"/>
        <v>162.30099999999999</v>
      </c>
      <c r="AI476" s="176">
        <f t="shared" si="1324"/>
        <v>202.99700000000001</v>
      </c>
      <c r="AJ476" s="176">
        <f t="shared" si="1324"/>
        <v>257.21300000000002</v>
      </c>
      <c r="AK476" s="176">
        <f t="shared" si="1324"/>
        <v>266.565</v>
      </c>
      <c r="AL476" s="176">
        <f t="shared" si="1324"/>
        <v>317.40699999999998</v>
      </c>
      <c r="AM476" s="176">
        <f t="shared" si="1324"/>
        <v>322.63</v>
      </c>
      <c r="AN476" s="176">
        <f t="shared" si="1324"/>
        <v>333.15800000000002</v>
      </c>
      <c r="AO476" s="176">
        <f t="shared" si="1324"/>
        <v>295.74200000000002</v>
      </c>
      <c r="AP476" s="176">
        <f t="shared" si="1324"/>
        <v>419.53800000000001</v>
      </c>
      <c r="AQ476" s="176">
        <f t="shared" si="1324"/>
        <v>427.08100000000002</v>
      </c>
      <c r="AR476" s="176">
        <f t="shared" si="1324"/>
        <v>506.745</v>
      </c>
      <c r="AS476" s="176">
        <f t="shared" si="1324"/>
        <v>597.024</v>
      </c>
      <c r="AT476" s="176">
        <f t="shared" si="1324"/>
        <v>762.80600000000004</v>
      </c>
      <c r="AU476" s="176">
        <f t="shared" si="1324"/>
        <v>843.49699999999996</v>
      </c>
      <c r="AV476" s="176">
        <f t="shared" si="1324"/>
        <v>947.93799999999999</v>
      </c>
      <c r="AW476" s="176">
        <f t="shared" si="1324"/>
        <v>977.44699999999989</v>
      </c>
      <c r="AX476" s="176">
        <f t="shared" si="1324"/>
        <v>1031.473557</v>
      </c>
      <c r="AY476" s="176">
        <f t="shared" si="1324"/>
        <v>1069.9854480000001</v>
      </c>
      <c r="AZ476" s="176">
        <f t="shared" si="1324"/>
        <v>1339.254811</v>
      </c>
      <c r="BA476" s="176">
        <f t="shared" si="1324"/>
        <v>1587.4150369999998</v>
      </c>
      <c r="BB476" s="176">
        <f t="shared" si="1324"/>
        <v>2263.8912920000002</v>
      </c>
      <c r="BC476" s="176">
        <f t="shared" si="1324"/>
        <v>2161.7359999999999</v>
      </c>
      <c r="BD476" s="176">
        <f t="shared" ca="1" si="1324"/>
        <v>2886.9901861713583</v>
      </c>
      <c r="BE476" s="176">
        <f t="shared" ca="1" si="1324"/>
        <v>3553.2848535556295</v>
      </c>
      <c r="BF476" s="52"/>
      <c r="BG476" s="84"/>
      <c r="BH476" s="84">
        <f>ROUND(BA476-SUM(H476:K476),1)</f>
        <v>0</v>
      </c>
      <c r="BI476" s="84">
        <f>ROUND(BB476-SUM(L476:O476),1)</f>
        <v>0</v>
      </c>
      <c r="BJ476" s="84">
        <f>ROUND(BC476-SUM(P476:S476),1)</f>
        <v>0</v>
      </c>
      <c r="BK476" s="84">
        <f ca="1">ROUND(BD476-SUM(T476:W476),1)</f>
        <v>0</v>
      </c>
    </row>
    <row r="477" spans="1:63" s="54" customFormat="1" ht="11.25" customHeight="1">
      <c r="A477" s="52"/>
      <c r="B477" s="35" t="s">
        <v>122</v>
      </c>
      <c r="C477" s="52"/>
      <c r="D477" s="176">
        <f t="shared" ref="D477:AA477" si="1325">D16-D29</f>
        <v>149.82</v>
      </c>
      <c r="E477" s="176">
        <f t="shared" si="1325"/>
        <v>146.07599999999999</v>
      </c>
      <c r="F477" s="176">
        <f t="shared" si="1325"/>
        <v>165.93199999999999</v>
      </c>
      <c r="G477" s="176">
        <f t="shared" si="1325"/>
        <v>166.297</v>
      </c>
      <c r="H477" s="176">
        <f t="shared" si="1325"/>
        <v>172.571</v>
      </c>
      <c r="I477" s="176">
        <f t="shared" si="1325"/>
        <v>185.94800000000001</v>
      </c>
      <c r="J477" s="176">
        <f t="shared" si="1325"/>
        <v>201.92500000000001</v>
      </c>
      <c r="K477" s="176">
        <f t="shared" si="1325"/>
        <v>207.434</v>
      </c>
      <c r="L477" s="176">
        <f t="shared" si="1325"/>
        <v>217.87299999999999</v>
      </c>
      <c r="M477" s="176">
        <f t="shared" si="1325"/>
        <v>218.673</v>
      </c>
      <c r="N477" s="176">
        <f t="shared" si="1325"/>
        <v>242.64300000000003</v>
      </c>
      <c r="O477" s="176">
        <f t="shared" si="1325"/>
        <v>236.34699999999998</v>
      </c>
      <c r="P477" s="176">
        <f t="shared" si="1325"/>
        <v>222.13300000000004</v>
      </c>
      <c r="Q477" s="176">
        <f t="shared" si="1325"/>
        <v>220.64100000000002</v>
      </c>
      <c r="R477" s="176">
        <f t="shared" si="1325"/>
        <v>250.09000000000003</v>
      </c>
      <c r="S477" s="176">
        <f t="shared" si="1325"/>
        <v>293.76100000000002</v>
      </c>
      <c r="T477" s="176">
        <f t="shared" si="1325"/>
        <v>278.13900000000001</v>
      </c>
      <c r="U477" s="176">
        <f t="shared" si="1325"/>
        <v>315.38499999999999</v>
      </c>
      <c r="V477" s="176">
        <f t="shared" ref="V477" si="1326">V16-V29</f>
        <v>320.34699999999998</v>
      </c>
      <c r="W477" s="176">
        <f t="shared" ca="1" si="1325"/>
        <v>361.68039943197033</v>
      </c>
      <c r="X477" s="176">
        <f t="shared" si="1325"/>
        <v>352.66172136321921</v>
      </c>
      <c r="Y477" s="176">
        <f t="shared" si="1325"/>
        <v>356.25086196658475</v>
      </c>
      <c r="Z477" s="176">
        <f t="shared" si="1325"/>
        <v>401.8364370299912</v>
      </c>
      <c r="AA477" s="176">
        <f t="shared" ca="1" si="1325"/>
        <v>455.49901755713722</v>
      </c>
      <c r="AB477" s="52"/>
      <c r="AC477" s="176">
        <f t="shared" ref="AC477:BE477" si="1327">AC16-AC29</f>
        <v>22.841999999999999</v>
      </c>
      <c r="AD477" s="176">
        <f t="shared" si="1327"/>
        <v>31.077000000000002</v>
      </c>
      <c r="AE477" s="176">
        <f t="shared" si="1327"/>
        <v>41.56</v>
      </c>
      <c r="AF477" s="176">
        <f t="shared" si="1327"/>
        <v>89.682000000000002</v>
      </c>
      <c r="AG477" s="176">
        <f t="shared" si="1327"/>
        <v>92.227999999999994</v>
      </c>
      <c r="AH477" s="176">
        <f t="shared" si="1327"/>
        <v>109.988</v>
      </c>
      <c r="AI477" s="176">
        <f t="shared" si="1327"/>
        <v>128.113</v>
      </c>
      <c r="AJ477" s="176">
        <f t="shared" si="1327"/>
        <v>141.39400000000001</v>
      </c>
      <c r="AK477" s="176">
        <f t="shared" si="1327"/>
        <v>148.36199999999999</v>
      </c>
      <c r="AL477" s="176">
        <f t="shared" si="1327"/>
        <v>161.59700000000001</v>
      </c>
      <c r="AM477" s="176">
        <f t="shared" si="1327"/>
        <v>180.28</v>
      </c>
      <c r="AN477" s="176">
        <f t="shared" si="1327"/>
        <v>191.40799999999999</v>
      </c>
      <c r="AO477" s="176">
        <f t="shared" si="1327"/>
        <v>166.41300000000001</v>
      </c>
      <c r="AP477" s="176">
        <f t="shared" si="1327"/>
        <v>212.48400000000001</v>
      </c>
      <c r="AQ477" s="176">
        <f t="shared" si="1327"/>
        <v>233.012</v>
      </c>
      <c r="AR477" s="176">
        <f t="shared" si="1327"/>
        <v>262.608</v>
      </c>
      <c r="AS477" s="176">
        <f t="shared" si="1327"/>
        <v>316.07900000000001</v>
      </c>
      <c r="AT477" s="176">
        <f t="shared" si="1327"/>
        <v>385.084</v>
      </c>
      <c r="AU477" s="176">
        <f t="shared" si="1327"/>
        <v>433.10199999999998</v>
      </c>
      <c r="AV477" s="176">
        <f t="shared" si="1327"/>
        <v>473.10599999999999</v>
      </c>
      <c r="AW477" s="176">
        <f t="shared" si="1327"/>
        <v>482.62099999999998</v>
      </c>
      <c r="AX477" s="176">
        <f t="shared" si="1327"/>
        <v>533.6</v>
      </c>
      <c r="AY477" s="176">
        <f t="shared" si="1327"/>
        <v>577.28300000000002</v>
      </c>
      <c r="AZ477" s="176">
        <f t="shared" si="1327"/>
        <v>628.125</v>
      </c>
      <c r="BA477" s="176">
        <f t="shared" si="1327"/>
        <v>767.87800000000004</v>
      </c>
      <c r="BB477" s="176">
        <f t="shared" si="1327"/>
        <v>915.53600000000006</v>
      </c>
      <c r="BC477" s="176">
        <f t="shared" si="1327"/>
        <v>986.625</v>
      </c>
      <c r="BD477" s="176">
        <f t="shared" ca="1" si="1327"/>
        <v>1275.5513994319704</v>
      </c>
      <c r="BE477" s="176">
        <f t="shared" ca="1" si="1327"/>
        <v>1566.2480379169324</v>
      </c>
      <c r="BF477" s="52"/>
      <c r="BG477" s="84"/>
      <c r="BH477" s="84">
        <f>ROUND(BA477-SUM(H477:K477),1)</f>
        <v>0</v>
      </c>
      <c r="BI477" s="84">
        <f>ROUND(BB477-SUM(L477:O477),1)</f>
        <v>0</v>
      </c>
      <c r="BJ477" s="84">
        <f>ROUND(BC477-SUM(P477:S477),1)</f>
        <v>0</v>
      </c>
      <c r="BK477" s="84">
        <f ca="1">ROUND(BD477-SUM(T477:W477),1)</f>
        <v>0</v>
      </c>
    </row>
    <row r="478" spans="1:63" s="54" customFormat="1" ht="11.25" customHeight="1">
      <c r="A478" s="52"/>
      <c r="B478" s="35"/>
      <c r="C478" s="52"/>
      <c r="D478" s="176"/>
      <c r="E478" s="176"/>
      <c r="F478" s="176"/>
      <c r="G478" s="176"/>
      <c r="H478" s="176"/>
      <c r="I478" s="176"/>
      <c r="J478" s="176"/>
      <c r="K478" s="176"/>
      <c r="L478" s="176"/>
      <c r="M478" s="176"/>
      <c r="N478" s="176"/>
      <c r="O478" s="176"/>
      <c r="P478" s="176"/>
      <c r="Q478" s="176"/>
      <c r="R478" s="176"/>
      <c r="S478" s="176"/>
      <c r="T478" s="176"/>
      <c r="U478" s="176"/>
      <c r="V478" s="176"/>
      <c r="W478" s="176"/>
      <c r="X478" s="176"/>
      <c r="Y478" s="176"/>
      <c r="Z478" s="176"/>
      <c r="AA478" s="176"/>
      <c r="AB478" s="52"/>
      <c r="AC478" s="52"/>
      <c r="AD478" s="52"/>
      <c r="AE478" s="52"/>
      <c r="AF478" s="52"/>
      <c r="AG478" s="52"/>
      <c r="AH478" s="52"/>
      <c r="AI478" s="52"/>
      <c r="AJ478" s="52"/>
      <c r="AK478" s="52"/>
      <c r="AL478" s="52"/>
      <c r="AM478" s="52"/>
      <c r="AN478" s="52"/>
      <c r="AO478" s="52"/>
      <c r="AP478" s="52"/>
      <c r="AQ478" s="52"/>
      <c r="AR478" s="52"/>
      <c r="AS478" s="52"/>
      <c r="AT478" s="52"/>
      <c r="AU478" s="52"/>
      <c r="AV478" s="176"/>
      <c r="AW478" s="176"/>
      <c r="AX478" s="176"/>
      <c r="AY478" s="176"/>
      <c r="AZ478" s="176"/>
      <c r="BA478" s="176"/>
      <c r="BB478" s="176"/>
      <c r="BC478" s="176"/>
      <c r="BD478" s="176"/>
      <c r="BE478" s="176"/>
      <c r="BF478" s="52"/>
      <c r="BG478" s="84"/>
      <c r="BH478" s="84"/>
      <c r="BI478" s="84"/>
      <c r="BJ478" s="84"/>
      <c r="BK478" s="84"/>
    </row>
    <row r="479" spans="1:63" ht="11.25" customHeight="1">
      <c r="A479" s="2"/>
      <c r="B479" s="184" t="s">
        <v>72</v>
      </c>
      <c r="C479" s="2"/>
      <c r="D479" s="173"/>
      <c r="E479" s="173"/>
      <c r="F479" s="173"/>
      <c r="G479" s="173"/>
      <c r="H479" s="173"/>
      <c r="I479" s="173"/>
      <c r="J479" s="173"/>
      <c r="K479" s="173"/>
      <c r="L479" s="173"/>
      <c r="M479" s="173"/>
      <c r="N479" s="173"/>
      <c r="O479" s="173"/>
      <c r="P479" s="173"/>
      <c r="Q479" s="173"/>
      <c r="R479" s="173"/>
      <c r="S479" s="183"/>
      <c r="T479" s="183"/>
      <c r="U479" s="183"/>
      <c r="V479" s="183"/>
      <c r="W479" s="183"/>
      <c r="X479" s="183"/>
      <c r="Y479" s="183"/>
      <c r="Z479" s="183"/>
      <c r="AA479" s="183"/>
      <c r="AB479" s="2"/>
      <c r="AC479" s="2"/>
      <c r="AD479" s="2"/>
      <c r="AE479" s="2"/>
      <c r="AF479" s="2"/>
      <c r="AG479" s="2"/>
      <c r="AH479" s="2"/>
      <c r="AI479" s="2"/>
      <c r="AJ479" s="2"/>
      <c r="AK479" s="2"/>
      <c r="AL479" s="2"/>
      <c r="AM479" s="2"/>
      <c r="AN479" s="2"/>
      <c r="AO479" s="2"/>
      <c r="AP479" s="2"/>
      <c r="AQ479" s="2"/>
      <c r="AR479" s="2"/>
      <c r="AS479" s="2"/>
      <c r="AT479" s="2"/>
      <c r="AU479" s="2"/>
      <c r="AV479" s="173"/>
      <c r="AW479" s="173"/>
      <c r="AX479" s="173"/>
      <c r="AZ479" s="173"/>
      <c r="BA479" s="173"/>
      <c r="BB479" s="173"/>
      <c r="BC479" s="173"/>
      <c r="BD479" s="173"/>
      <c r="BE479" s="173"/>
      <c r="BF479" s="2"/>
      <c r="BG479" s="2"/>
      <c r="BH479" s="2"/>
      <c r="BI479" s="2"/>
      <c r="BJ479" s="2"/>
      <c r="BK479" s="2"/>
    </row>
    <row r="480" spans="1:63" ht="11.25" customHeight="1">
      <c r="A480" s="2"/>
      <c r="B480" s="30" t="s">
        <v>72</v>
      </c>
      <c r="C480" s="2"/>
      <c r="D480" s="56">
        <f t="shared" ref="D480:U480" si="1328">D342</f>
        <v>68.554000000000002</v>
      </c>
      <c r="E480" s="56">
        <f t="shared" si="1328"/>
        <v>70.876000000000005</v>
      </c>
      <c r="F480" s="56">
        <f t="shared" si="1328"/>
        <v>94.733000000000004</v>
      </c>
      <c r="G480" s="56">
        <f t="shared" si="1328"/>
        <v>97.561999999999998</v>
      </c>
      <c r="H480" s="56">
        <f t="shared" si="1328"/>
        <v>100.9</v>
      </c>
      <c r="I480" s="56">
        <f t="shared" si="1328"/>
        <v>103.80500000000001</v>
      </c>
      <c r="J480" s="56">
        <f t="shared" si="1328"/>
        <v>107.027</v>
      </c>
      <c r="K480" s="56">
        <f t="shared" si="1328"/>
        <v>110.663</v>
      </c>
      <c r="L480" s="56">
        <f t="shared" si="1328"/>
        <v>111.102</v>
      </c>
      <c r="M480" s="56">
        <f t="shared" si="1328"/>
        <v>113.22499999999999</v>
      </c>
      <c r="N480" s="56">
        <f t="shared" si="1328"/>
        <v>105.345</v>
      </c>
      <c r="O480" s="56">
        <f t="shared" si="1328"/>
        <v>107.58199999999999</v>
      </c>
      <c r="P480" s="56">
        <f t="shared" si="1328"/>
        <v>110.32299999999999</v>
      </c>
      <c r="Q480" s="56">
        <f t="shared" si="1328"/>
        <v>123.93899999999999</v>
      </c>
      <c r="R480" s="56">
        <f t="shared" si="1328"/>
        <v>147.28100000000001</v>
      </c>
      <c r="S480" s="56">
        <f t="shared" si="1328"/>
        <v>150.648</v>
      </c>
      <c r="T480" s="56">
        <f t="shared" si="1328"/>
        <v>159.023</v>
      </c>
      <c r="U480" s="56">
        <f t="shared" si="1328"/>
        <v>165.166</v>
      </c>
      <c r="V480" s="56">
        <f t="shared" ref="V480" si="1329">V342</f>
        <v>168.22900000000001</v>
      </c>
      <c r="W480" s="56">
        <f ca="1">W481*W16</f>
        <v>198.06307587941231</v>
      </c>
      <c r="X480" s="632">
        <f ca="1">+'Simple Model (A)'!$K$51*'Historical Financials'!X$16/'Historical Financials'!$BE$16</f>
        <v>182.32341103025519</v>
      </c>
      <c r="Y480" s="632">
        <f ca="1">+'Simple Model (A)'!$K$51*'Historical Financials'!Y$16/'Historical Financials'!$BE$16</f>
        <v>184.17896925455938</v>
      </c>
      <c r="Z480" s="632">
        <f ca="1">+'Simple Model (A)'!$K$51*'Historical Financials'!Z$16/'Historical Financials'!$BE$16</f>
        <v>207.74636269666158</v>
      </c>
      <c r="AA480" s="632">
        <f ca="1">+'Simple Model (A)'!$K$51*'Historical Financials'!AA$16/'Historical Financials'!$BE$16</f>
        <v>235.48950615032311</v>
      </c>
      <c r="AB480" s="2"/>
      <c r="AC480" s="56">
        <f t="shared" ref="AC480:BC480" si="1330">AC342</f>
        <v>9.782</v>
      </c>
      <c r="AD480" s="56">
        <f t="shared" si="1330"/>
        <v>15.295</v>
      </c>
      <c r="AE480" s="56">
        <f t="shared" si="1330"/>
        <v>21.417000000000002</v>
      </c>
      <c r="AF480" s="56">
        <f t="shared" si="1330"/>
        <v>41.445999999999998</v>
      </c>
      <c r="AG480" s="56">
        <f t="shared" si="1330"/>
        <v>55.323</v>
      </c>
      <c r="AH480" s="56">
        <f t="shared" si="1330"/>
        <v>65.001000000000005</v>
      </c>
      <c r="AI480" s="56">
        <f t="shared" si="1330"/>
        <v>69.161000000000001</v>
      </c>
      <c r="AJ480" s="56">
        <f t="shared" si="1330"/>
        <v>69.817999999999998</v>
      </c>
      <c r="AK480" s="56">
        <f t="shared" si="1330"/>
        <v>75.649000000000001</v>
      </c>
      <c r="AL480" s="56">
        <f t="shared" si="1330"/>
        <v>73.715000000000003</v>
      </c>
      <c r="AM480" s="56">
        <f t="shared" si="1330"/>
        <v>80.004999999999995</v>
      </c>
      <c r="AN480" s="56">
        <f t="shared" si="1330"/>
        <v>81.512</v>
      </c>
      <c r="AO480" s="56">
        <f t="shared" si="1330"/>
        <v>80.814999999999998</v>
      </c>
      <c r="AP480" s="56">
        <f t="shared" si="1330"/>
        <v>87.81</v>
      </c>
      <c r="AQ480" s="56">
        <f t="shared" si="1330"/>
        <v>107.682</v>
      </c>
      <c r="AR480" s="56">
        <f t="shared" si="1330"/>
        <v>131.34899999999999</v>
      </c>
      <c r="AS480" s="56">
        <f t="shared" si="1330"/>
        <v>156.18199999999999</v>
      </c>
      <c r="AT480" s="56">
        <f t="shared" si="1330"/>
        <v>200.25200000000001</v>
      </c>
      <c r="AU480" s="56">
        <f t="shared" si="1330"/>
        <v>222.506</v>
      </c>
      <c r="AV480" s="56">
        <f t="shared" si="1330"/>
        <v>223.828</v>
      </c>
      <c r="AW480" s="56">
        <f t="shared" si="1330"/>
        <v>260.14299999999997</v>
      </c>
      <c r="AX480" s="56">
        <f t="shared" si="1330"/>
        <v>292.54599999999999</v>
      </c>
      <c r="AY480" s="56">
        <f t="shared" si="1330"/>
        <v>286.88400000000001</v>
      </c>
      <c r="AZ480" s="56">
        <f t="shared" si="1330"/>
        <v>331.72500000000002</v>
      </c>
      <c r="BA480" s="56">
        <f t="shared" si="1330"/>
        <v>422.39499999999998</v>
      </c>
      <c r="BB480" s="56">
        <f t="shared" si="1330"/>
        <v>437.25400000000002</v>
      </c>
      <c r="BC480" s="56">
        <f t="shared" si="1330"/>
        <v>532.19100000000003</v>
      </c>
      <c r="BD480" s="37">
        <f ca="1">SUM(T480:W480)</f>
        <v>690.48107587941229</v>
      </c>
      <c r="BE480" s="37">
        <f ca="1">+SUM(X480:AA480)</f>
        <v>809.73824913179919</v>
      </c>
      <c r="BF480" s="2"/>
      <c r="BG480" s="84">
        <f>ROUND(AZ480-SUM(D480:G480),1)</f>
        <v>0</v>
      </c>
      <c r="BH480" s="84">
        <f>ROUND(BA480-SUM(H480:K480),1)</f>
        <v>0</v>
      </c>
      <c r="BI480" s="84">
        <f>ROUND(BB480-SUM(L480:O480),1)</f>
        <v>0</v>
      </c>
      <c r="BJ480" s="84">
        <f>ROUND(BC480-SUM(P480:S480),1)</f>
        <v>0</v>
      </c>
      <c r="BK480" s="84">
        <f ca="1">ROUND(BD480-SUM(T480:W480),1)</f>
        <v>0</v>
      </c>
    </row>
    <row r="481" spans="1:64" ht="11.25" customHeight="1">
      <c r="A481" s="2"/>
      <c r="B481" s="35" t="s">
        <v>259</v>
      </c>
      <c r="C481" s="2"/>
      <c r="D481" s="120">
        <f t="shared" ref="D481:U481" si="1331">D480/D16</f>
        <v>0.2207167474535659</v>
      </c>
      <c r="E481" s="120">
        <f t="shared" si="1331"/>
        <v>0.2280449562336343</v>
      </c>
      <c r="F481" s="120">
        <f t="shared" si="1331"/>
        <v>0.26578573330708311</v>
      </c>
      <c r="G481" s="120">
        <f t="shared" si="1331"/>
        <v>0.26993103732622881</v>
      </c>
      <c r="H481" s="120">
        <f t="shared" si="1331"/>
        <v>0.27841377435730769</v>
      </c>
      <c r="I481" s="120">
        <f t="shared" si="1331"/>
        <v>0.27893688204785877</v>
      </c>
      <c r="J481" s="120">
        <f t="shared" si="1331"/>
        <v>0.2581013870778554</v>
      </c>
      <c r="K481" s="120">
        <f t="shared" si="1331"/>
        <v>0.25254609933360628</v>
      </c>
      <c r="L481" s="120">
        <f t="shared" si="1331"/>
        <v>0.2262420251299945</v>
      </c>
      <c r="M481" s="120">
        <f t="shared" si="1331"/>
        <v>0.21197594024682714</v>
      </c>
      <c r="N481" s="120">
        <f t="shared" si="1331"/>
        <v>0.17181154177013561</v>
      </c>
      <c r="O481" s="120">
        <f t="shared" si="1331"/>
        <v>0.17198484282498616</v>
      </c>
      <c r="P481" s="120">
        <f t="shared" si="1331"/>
        <v>0.21690099906283503</v>
      </c>
      <c r="Q481" s="120">
        <f t="shared" si="1331"/>
        <v>0.25775450623044915</v>
      </c>
      <c r="R481" s="120">
        <f t="shared" si="1331"/>
        <v>0.26938389523021777</v>
      </c>
      <c r="S481" s="120">
        <f t="shared" si="1331"/>
        <v>0.24083295320841352</v>
      </c>
      <c r="T481" s="120">
        <f t="shared" si="1331"/>
        <v>0.2683279440373702</v>
      </c>
      <c r="U481" s="120">
        <f t="shared" si="1331"/>
        <v>0.24523163218660618</v>
      </c>
      <c r="V481" s="120">
        <f t="shared" ref="V481" si="1332">V480/V16</f>
        <v>0.22144369033766317</v>
      </c>
      <c r="W481" s="142">
        <v>0.23</v>
      </c>
      <c r="X481" s="120">
        <f ca="1">X480/X16</f>
        <v>0.22788441751905331</v>
      </c>
      <c r="Y481" s="120">
        <f ca="1">Y480/Y16</f>
        <v>0.22788441751905331</v>
      </c>
      <c r="Z481" s="120">
        <f ca="1">Z480/Z16</f>
        <v>0.22788441751905331</v>
      </c>
      <c r="AA481" s="120">
        <f ca="1">AA480/AA16</f>
        <v>0.22788441751905331</v>
      </c>
      <c r="AB481" s="160"/>
      <c r="AC481" s="120">
        <f t="shared" ref="AC481:BE481" si="1333">AC480/AC16</f>
        <v>0.22268764085869738</v>
      </c>
      <c r="AD481" s="120">
        <f t="shared" si="1333"/>
        <v>0.30333981198683119</v>
      </c>
      <c r="AE481" s="120">
        <f t="shared" si="1333"/>
        <v>0.29311453871104609</v>
      </c>
      <c r="AF481" s="120">
        <f t="shared" si="1333"/>
        <v>0.24937724882369219</v>
      </c>
      <c r="AG481" s="120">
        <f t="shared" si="1333"/>
        <v>0.43947253445605117</v>
      </c>
      <c r="AH481" s="120">
        <f t="shared" si="1333"/>
        <v>0.40049660815398558</v>
      </c>
      <c r="AI481" s="120">
        <f t="shared" si="1333"/>
        <v>0.34069961625048645</v>
      </c>
      <c r="AJ481" s="120">
        <f t="shared" si="1333"/>
        <v>0.27144040153491461</v>
      </c>
      <c r="AK481" s="120">
        <f t="shared" si="1333"/>
        <v>0.28379194567929023</v>
      </c>
      <c r="AL481" s="120">
        <f t="shared" si="1333"/>
        <v>0.23224125491876363</v>
      </c>
      <c r="AM481" s="120">
        <f t="shared" si="1333"/>
        <v>0.24797755943340669</v>
      </c>
      <c r="AN481" s="120">
        <f t="shared" si="1333"/>
        <v>0.24466469362884877</v>
      </c>
      <c r="AO481" s="120">
        <f t="shared" si="1333"/>
        <v>0.27326182956766371</v>
      </c>
      <c r="AP481" s="120">
        <f t="shared" si="1333"/>
        <v>0.20930166039786621</v>
      </c>
      <c r="AQ481" s="120">
        <f t="shared" si="1333"/>
        <v>0.25213484093181388</v>
      </c>
      <c r="AR481" s="120">
        <f t="shared" si="1333"/>
        <v>0.2592013734718645</v>
      </c>
      <c r="AS481" s="120">
        <f t="shared" si="1333"/>
        <v>0.26160087366672025</v>
      </c>
      <c r="AT481" s="120">
        <f t="shared" si="1333"/>
        <v>0.26252022139311959</v>
      </c>
      <c r="AU481" s="120">
        <f t="shared" si="1333"/>
        <v>0.26378991270864033</v>
      </c>
      <c r="AV481" s="120">
        <f t="shared" si="1333"/>
        <v>0.23612092773999988</v>
      </c>
      <c r="AW481" s="120">
        <f t="shared" si="1333"/>
        <v>0.26614537668027011</v>
      </c>
      <c r="AX481" s="120">
        <f t="shared" si="1333"/>
        <v>0.28361948594286646</v>
      </c>
      <c r="AY481" s="120">
        <f t="shared" si="1333"/>
        <v>0.26811953427613344</v>
      </c>
      <c r="AZ481" s="120">
        <f t="shared" si="1333"/>
        <v>0.24769371539707691</v>
      </c>
      <c r="BA481" s="120">
        <f t="shared" si="1333"/>
        <v>0.2660898316789726</v>
      </c>
      <c r="BB481" s="120">
        <f t="shared" si="1333"/>
        <v>0.19314266614529652</v>
      </c>
      <c r="BC481" s="120">
        <f t="shared" si="1333"/>
        <v>0.24618686093028938</v>
      </c>
      <c r="BD481" s="120">
        <f t="shared" ca="1" si="1333"/>
        <v>0.23916987289628028</v>
      </c>
      <c r="BE481" s="120">
        <f t="shared" ca="1" si="1333"/>
        <v>0.22788441751905328</v>
      </c>
      <c r="BF481" s="2"/>
      <c r="BG481" s="84"/>
      <c r="BH481" s="84"/>
      <c r="BI481" s="84"/>
      <c r="BJ481" s="84"/>
      <c r="BK481" s="84"/>
    </row>
    <row r="482" spans="1:64" ht="11.25" customHeight="1">
      <c r="A482" s="2"/>
      <c r="B482" s="18"/>
      <c r="C482" s="2"/>
      <c r="D482" s="70"/>
      <c r="E482" s="70"/>
      <c r="F482" s="70"/>
      <c r="G482" s="70"/>
      <c r="H482" s="70"/>
      <c r="I482" s="70"/>
      <c r="J482" s="70"/>
      <c r="K482" s="70"/>
      <c r="L482" s="70"/>
      <c r="M482" s="70"/>
      <c r="N482" s="70"/>
      <c r="O482" s="70"/>
      <c r="P482" s="70"/>
      <c r="Q482" s="70"/>
      <c r="R482" s="70"/>
      <c r="S482" s="166"/>
      <c r="T482" s="166"/>
      <c r="U482" s="166"/>
      <c r="V482" s="166"/>
      <c r="W482" s="166"/>
      <c r="X482" s="166"/>
      <c r="Y482" s="166"/>
      <c r="Z482" s="166"/>
      <c r="AA482" s="166"/>
      <c r="AB482" s="2"/>
      <c r="AC482" s="2"/>
      <c r="AD482" s="2"/>
      <c r="AE482" s="2"/>
      <c r="AF482" s="2"/>
      <c r="AG482" s="2"/>
      <c r="AH482" s="2"/>
      <c r="AI482" s="2"/>
      <c r="AJ482" s="2"/>
      <c r="AK482" s="2"/>
      <c r="AL482" s="2"/>
      <c r="AM482" s="2"/>
      <c r="AN482" s="2"/>
      <c r="AO482" s="2"/>
      <c r="AP482" s="2"/>
      <c r="AQ482" s="2"/>
      <c r="AR482" s="2"/>
      <c r="AS482" s="2"/>
      <c r="AT482" s="2"/>
      <c r="AU482" s="2"/>
      <c r="AV482" s="24"/>
      <c r="AW482" s="24"/>
      <c r="AX482" s="24"/>
      <c r="AY482" s="24"/>
      <c r="AZ482" s="24"/>
      <c r="BA482" s="24"/>
      <c r="BB482" s="24"/>
      <c r="BC482" s="24"/>
      <c r="BD482" s="24"/>
      <c r="BE482" s="24"/>
      <c r="BF482" s="2"/>
      <c r="BG482" s="2"/>
      <c r="BH482" s="2"/>
      <c r="BI482" s="2"/>
      <c r="BJ482" s="2"/>
      <c r="BK482" s="2"/>
    </row>
    <row r="483" spans="1:64" s="54" customFormat="1" ht="11.25" customHeight="1">
      <c r="A483" s="31"/>
      <c r="B483" s="184" t="s">
        <v>363</v>
      </c>
      <c r="C483" s="31"/>
      <c r="D483" s="165"/>
      <c r="E483" s="165"/>
      <c r="F483" s="165"/>
      <c r="G483" s="165"/>
      <c r="H483" s="165"/>
      <c r="I483" s="165"/>
      <c r="J483" s="165"/>
      <c r="K483" s="165"/>
      <c r="L483" s="165"/>
      <c r="M483" s="165"/>
      <c r="N483" s="165"/>
      <c r="O483" s="165"/>
      <c r="P483" s="165"/>
      <c r="Q483" s="165"/>
      <c r="R483" s="165"/>
      <c r="S483" s="165"/>
      <c r="T483" s="165"/>
      <c r="U483" s="165"/>
      <c r="V483" s="165"/>
      <c r="W483" s="176"/>
      <c r="X483" s="176"/>
      <c r="Y483" s="176"/>
      <c r="Z483" s="176"/>
      <c r="AA483" s="176"/>
      <c r="AB483" s="169"/>
      <c r="AC483" s="169"/>
      <c r="AD483" s="169"/>
      <c r="AE483" s="169"/>
      <c r="AF483" s="169"/>
      <c r="AG483" s="169"/>
      <c r="AH483" s="169"/>
      <c r="AI483" s="169"/>
      <c r="AJ483" s="169"/>
      <c r="AK483" s="169"/>
      <c r="AL483" s="169"/>
      <c r="AM483" s="169"/>
      <c r="AN483" s="169"/>
      <c r="AO483" s="169"/>
      <c r="AP483" s="169"/>
      <c r="AQ483" s="169"/>
      <c r="AR483" s="169"/>
      <c r="AS483" s="169"/>
      <c r="AT483" s="169"/>
      <c r="AU483" s="169"/>
      <c r="AV483" s="165"/>
      <c r="AW483" s="165"/>
      <c r="AX483" s="165"/>
      <c r="AY483" s="165"/>
      <c r="AZ483" s="165"/>
      <c r="BA483" s="165"/>
      <c r="BB483" s="495"/>
      <c r="BC483" s="495"/>
      <c r="BD483" s="165"/>
      <c r="BE483" s="165"/>
      <c r="BF483" s="31"/>
      <c r="BG483" s="31"/>
      <c r="BH483" s="31"/>
      <c r="BI483" s="31"/>
      <c r="BJ483" s="31"/>
      <c r="BK483" s="31"/>
    </row>
    <row r="484" spans="1:64" s="54" customFormat="1" ht="11.25" customHeight="1">
      <c r="A484" s="18"/>
      <c r="B484" s="30" t="s">
        <v>363</v>
      </c>
      <c r="C484" s="18"/>
      <c r="D484" s="26">
        <f t="shared" ref="D484:U484" si="1334">-D352</f>
        <v>192.56</v>
      </c>
      <c r="E484" s="26">
        <f t="shared" si="1334"/>
        <v>126.69799999999999</v>
      </c>
      <c r="F484" s="26">
        <f t="shared" si="1334"/>
        <v>99.305999999999997</v>
      </c>
      <c r="G484" s="26">
        <f t="shared" si="1334"/>
        <v>88.674999999999997</v>
      </c>
      <c r="H484" s="26">
        <f t="shared" si="1334"/>
        <v>248.029</v>
      </c>
      <c r="I484" s="26">
        <f t="shared" si="1334"/>
        <v>166.971</v>
      </c>
      <c r="J484" s="26">
        <f t="shared" si="1334"/>
        <v>188.64</v>
      </c>
      <c r="K484" s="26">
        <f t="shared" si="1334"/>
        <v>235.55600000000001</v>
      </c>
      <c r="L484" s="26">
        <f t="shared" si="1334"/>
        <v>262.13499999999999</v>
      </c>
      <c r="M484" s="26">
        <f t="shared" si="1334"/>
        <v>217.72300000000001</v>
      </c>
      <c r="N484" s="26">
        <f t="shared" si="1334"/>
        <v>265.97000000000003</v>
      </c>
      <c r="O484" s="26">
        <f t="shared" si="1334"/>
        <v>336.84399999999999</v>
      </c>
      <c r="P484" s="26">
        <f t="shared" si="1334"/>
        <v>302.49900000000002</v>
      </c>
      <c r="Q484" s="26">
        <f t="shared" si="1334"/>
        <v>250.53399999999999</v>
      </c>
      <c r="R484" s="26">
        <f t="shared" si="1334"/>
        <v>226.624</v>
      </c>
      <c r="S484" s="26">
        <f t="shared" si="1334"/>
        <v>170.16</v>
      </c>
      <c r="T484" s="26">
        <f t="shared" si="1334"/>
        <v>181.30500000000001</v>
      </c>
      <c r="U484" s="26">
        <f t="shared" si="1334"/>
        <v>205.67400000000001</v>
      </c>
      <c r="V484" s="26">
        <f t="shared" ref="V484" si="1335">-V352</f>
        <v>207.07900000000001</v>
      </c>
      <c r="W484" s="26">
        <f ca="1">W485*W16</f>
        <v>396.12615175882462</v>
      </c>
      <c r="X484" s="632">
        <f ca="1">+'Simple Model (A)'!$K$59*'Historical Financials'!X$16/'Historical Financials'!$BE$16</f>
        <v>280.0243849725</v>
      </c>
      <c r="Y484" s="632">
        <f ca="1">+'Simple Model (A)'!$K$59*'Historical Financials'!Y$16/'Historical Financials'!$BE$16</f>
        <v>282.87427433999994</v>
      </c>
      <c r="Z484" s="632">
        <f ca="1">+'Simple Model (A)'!$K$59*'Historical Financials'!Z$16/'Historical Financials'!$BE$16</f>
        <v>319.07063999999997</v>
      </c>
      <c r="AA484" s="632">
        <f ca="1">+'Simple Model (A)'!$K$59*'Historical Financials'!AA$16/'Historical Financials'!$BE$16</f>
        <v>361.68039943197027</v>
      </c>
      <c r="AB484" s="18"/>
      <c r="AC484" s="26">
        <f t="shared" ref="AC484:BC484" si="1336">-AC352</f>
        <v>38.648000000000003</v>
      </c>
      <c r="AD484" s="26">
        <f t="shared" si="1336"/>
        <v>41.113999999999997</v>
      </c>
      <c r="AE484" s="26">
        <f t="shared" si="1336"/>
        <v>38.484999999999999</v>
      </c>
      <c r="AF484" s="26">
        <f t="shared" si="1336"/>
        <v>103.762</v>
      </c>
      <c r="AG484" s="26">
        <f t="shared" si="1336"/>
        <v>70.200999999999993</v>
      </c>
      <c r="AH484" s="26">
        <f t="shared" si="1336"/>
        <v>55.234999999999999</v>
      </c>
      <c r="AI484" s="26">
        <f t="shared" si="1336"/>
        <v>37.871000000000002</v>
      </c>
      <c r="AJ484" s="26">
        <f t="shared" si="1336"/>
        <v>81.094999999999999</v>
      </c>
      <c r="AK484" s="26">
        <f t="shared" si="1336"/>
        <v>79.879000000000005</v>
      </c>
      <c r="AL484" s="26">
        <f t="shared" si="1336"/>
        <v>78.736999999999995</v>
      </c>
      <c r="AM484" s="26">
        <f t="shared" si="1336"/>
        <v>84.001000000000005</v>
      </c>
      <c r="AN484" s="26">
        <f t="shared" si="1336"/>
        <v>59.222999999999999</v>
      </c>
      <c r="AO484" s="26">
        <f t="shared" si="1336"/>
        <v>87.784999999999997</v>
      </c>
      <c r="AP484" s="26">
        <f t="shared" si="1336"/>
        <v>186.94399999999999</v>
      </c>
      <c r="AQ484" s="26">
        <f t="shared" si="1336"/>
        <v>213.96299999999999</v>
      </c>
      <c r="AR484" s="26">
        <f t="shared" si="1336"/>
        <v>246.137</v>
      </c>
      <c r="AS484" s="26">
        <f t="shared" si="1336"/>
        <v>287.59500000000003</v>
      </c>
      <c r="AT484" s="26">
        <f t="shared" si="1336"/>
        <v>288.54000000000002</v>
      </c>
      <c r="AU484" s="26">
        <f t="shared" si="1336"/>
        <v>257.517</v>
      </c>
      <c r="AV484" s="26">
        <f t="shared" si="1336"/>
        <v>328.04500000000002</v>
      </c>
      <c r="AW484" s="26">
        <f t="shared" si="1336"/>
        <v>330.58800000000002</v>
      </c>
      <c r="AX484" s="26">
        <f t="shared" si="1336"/>
        <v>315.58199999999999</v>
      </c>
      <c r="AY484" s="26">
        <f t="shared" si="1336"/>
        <v>460.42200000000003</v>
      </c>
      <c r="AZ484" s="26">
        <f t="shared" si="1336"/>
        <v>507.23899999999998</v>
      </c>
      <c r="BA484" s="26">
        <f t="shared" si="1336"/>
        <v>839.19600000000003</v>
      </c>
      <c r="BB484" s="26">
        <f t="shared" si="1336"/>
        <v>1082.672</v>
      </c>
      <c r="BC484" s="26">
        <f t="shared" si="1336"/>
        <v>949.81700000000001</v>
      </c>
      <c r="BD484" s="19">
        <f ca="1">SUM(T484:W484)</f>
        <v>990.18415175882456</v>
      </c>
      <c r="BE484" s="37">
        <f ca="1">+SUM(X484:AA484)</f>
        <v>1243.6496987444702</v>
      </c>
      <c r="BF484" s="18"/>
      <c r="BG484" s="84">
        <f>ROUND(AZ484-SUM(D484:G484),1)</f>
        <v>0</v>
      </c>
      <c r="BH484" s="84">
        <f>ROUND(BA484-SUM(H484:K484),1)</f>
        <v>0</v>
      </c>
      <c r="BI484" s="84">
        <f>ROUND(BB484-SUM(L484:O484),1)</f>
        <v>0</v>
      </c>
      <c r="BJ484" s="84">
        <f>ROUND(BC484-SUM(P484:S484),1)</f>
        <v>0</v>
      </c>
      <c r="BK484" s="84">
        <f ca="1">ROUND(BD484-SUM(T484:W484),1)</f>
        <v>0</v>
      </c>
      <c r="BL484" s="19"/>
    </row>
    <row r="485" spans="1:64" s="54" customFormat="1" ht="11.25" customHeight="1">
      <c r="A485" s="31"/>
      <c r="B485" s="35" t="s">
        <v>723</v>
      </c>
      <c r="C485" s="31"/>
      <c r="D485" s="136">
        <f>D484/D$16</f>
        <v>0.61996698791695093</v>
      </c>
      <c r="E485" s="136">
        <f t="shared" ref="E485:U485" si="1337">E484/E$16</f>
        <v>0.40765336453650031</v>
      </c>
      <c r="F485" s="136">
        <f t="shared" si="1337"/>
        <v>0.27861587864622878</v>
      </c>
      <c r="G485" s="136">
        <f t="shared" si="1337"/>
        <v>0.2453428049333074</v>
      </c>
      <c r="H485" s="136">
        <f t="shared" si="1337"/>
        <v>0.68438741367758837</v>
      </c>
      <c r="I485" s="136">
        <f t="shared" si="1337"/>
        <v>0.44867174155785389</v>
      </c>
      <c r="J485" s="136">
        <f t="shared" si="1337"/>
        <v>0.45491554148361296</v>
      </c>
      <c r="K485" s="136">
        <f t="shared" si="1337"/>
        <v>0.53756674746416566</v>
      </c>
      <c r="L485" s="136">
        <f t="shared" si="1337"/>
        <v>0.53379735069981737</v>
      </c>
      <c r="M485" s="136">
        <f t="shared" si="1337"/>
        <v>0.40761349205882053</v>
      </c>
      <c r="N485" s="136">
        <f t="shared" si="1337"/>
        <v>0.43378153462056074</v>
      </c>
      <c r="O485" s="136">
        <f t="shared" si="1337"/>
        <v>0.53849214921213251</v>
      </c>
      <c r="P485" s="136">
        <f t="shared" si="1337"/>
        <v>0.59472943371290254</v>
      </c>
      <c r="Q485" s="136">
        <f t="shared" si="1337"/>
        <v>0.52103266497179546</v>
      </c>
      <c r="R485" s="136">
        <f t="shared" si="1337"/>
        <v>0.4145059842929697</v>
      </c>
      <c r="S485" s="136">
        <f t="shared" si="1337"/>
        <v>0.27202575087584069</v>
      </c>
      <c r="T485" s="136">
        <f t="shared" si="1337"/>
        <v>0.30592554469287719</v>
      </c>
      <c r="U485" s="136">
        <f t="shared" si="1337"/>
        <v>0.30537623190213509</v>
      </c>
      <c r="V485" s="136">
        <f t="shared" ref="V485" si="1338">V484/V$16</f>
        <v>0.27258283620203977</v>
      </c>
      <c r="W485" s="196">
        <v>0.46</v>
      </c>
      <c r="X485" s="136">
        <f t="shared" ref="X485:AA485" ca="1" si="1339">X484/X$16</f>
        <v>0.34999999999999992</v>
      </c>
      <c r="Y485" s="136">
        <f t="shared" ca="1" si="1339"/>
        <v>0.35</v>
      </c>
      <c r="Z485" s="136">
        <f t="shared" ca="1" si="1339"/>
        <v>0.35</v>
      </c>
      <c r="AA485" s="136">
        <f t="shared" ca="1" si="1339"/>
        <v>0.35</v>
      </c>
      <c r="AB485" s="169"/>
      <c r="AC485" s="136">
        <f>AC484/AC$16</f>
        <v>0.87982334327406841</v>
      </c>
      <c r="AD485" s="136">
        <f t="shared" ref="AD485" si="1340">AD484/AD$16</f>
        <v>0.81539804053786047</v>
      </c>
      <c r="AE485" s="136">
        <f t="shared" ref="AE485" si="1341">AE484/AE$16</f>
        <v>0.52670836355673567</v>
      </c>
      <c r="AF485" s="136">
        <f t="shared" ref="AF485" si="1342">AF484/AF$16</f>
        <v>0.6243276092371749</v>
      </c>
      <c r="AG485" s="136">
        <f t="shared" ref="AG485" si="1343">AG484/AG$16</f>
        <v>0.55765976883663648</v>
      </c>
      <c r="AH485" s="136">
        <f t="shared" ref="AH485" si="1344">AH484/AH$16</f>
        <v>0.34032445887579255</v>
      </c>
      <c r="AI485" s="136">
        <f t="shared" ref="AI485" si="1345">AI484/AI$16</f>
        <v>0.186559407281881</v>
      </c>
      <c r="AJ485" s="136">
        <f t="shared" ref="AJ485" si="1346">AJ484/AJ$16</f>
        <v>0.31528344212773068</v>
      </c>
      <c r="AK485" s="136">
        <f t="shared" ref="AK485" si="1347">AK484/AK$16</f>
        <v>0.29966049556393376</v>
      </c>
      <c r="AL485" s="136">
        <f t="shared" ref="AL485" si="1348">AL484/AL$16</f>
        <v>0.24806321221649175</v>
      </c>
      <c r="AM485" s="136">
        <f t="shared" ref="AM485" si="1349">AM484/AM$16</f>
        <v>0.26036326442054369</v>
      </c>
      <c r="AN485" s="136">
        <f t="shared" ref="AN485" si="1350">AN484/AN$16</f>
        <v>0.17776250307661828</v>
      </c>
      <c r="AO485" s="136">
        <f t="shared" ref="AO485" si="1351">AO484/AO$16</f>
        <v>0.2968296691034753</v>
      </c>
      <c r="AP485" s="136">
        <f t="shared" ref="AP485" si="1352">AP484/AP$16</f>
        <v>0.44559491631270587</v>
      </c>
      <c r="AQ485" s="136">
        <f t="shared" ref="AQ485" si="1353">AQ484/AQ$16</f>
        <v>0.50098927369749524</v>
      </c>
      <c r="AR485" s="136">
        <f t="shared" ref="AR485" si="1354">AR484/AR$16</f>
        <v>0.48572161540814413</v>
      </c>
      <c r="AS485" s="136">
        <f t="shared" ref="AS485" si="1355">AS484/AS$16</f>
        <v>0.48171430294259532</v>
      </c>
      <c r="AT485" s="136">
        <f t="shared" ref="AT485" si="1356">AT484/AT$16</f>
        <v>0.37826131414802716</v>
      </c>
      <c r="AU485" s="136">
        <f t="shared" ref="AU485" si="1357">AU484/AU$16</f>
        <v>0.30529687716731657</v>
      </c>
      <c r="AV485" s="136">
        <f t="shared" ref="AV485" si="1358">AV484/AV$16</f>
        <v>0.34606166226061202</v>
      </c>
      <c r="AW485" s="136">
        <f t="shared" ref="AW485" si="1359">AW484/AW$16</f>
        <v>0.33821578049756157</v>
      </c>
      <c r="AX485" s="136">
        <f t="shared" ref="AX485" si="1360">AX484/AX$16</f>
        <v>0.30595258391098046</v>
      </c>
      <c r="AY485" s="136">
        <f t="shared" ref="AY485" si="1361">AY484/AY$16</f>
        <v>0.43030678675173906</v>
      </c>
      <c r="AZ485" s="136">
        <f t="shared" ref="AZ485" si="1362">AZ484/AZ$16</f>
        <v>0.37874719271775681</v>
      </c>
      <c r="BA485" s="136">
        <f t="shared" ref="BA485" si="1363">BA484/BA$16</f>
        <v>0.5286556952276118</v>
      </c>
      <c r="BB485" s="136">
        <f t="shared" ref="BB485" si="1364">BB484/BB$16</f>
        <v>0.47823497701761553</v>
      </c>
      <c r="BC485" s="136">
        <f t="shared" ref="BC485" si="1365">BC484/BC$16</f>
        <v>0.43937696369954521</v>
      </c>
      <c r="BD485" s="136">
        <f ca="1">BD484/BD$16</f>
        <v>0.34298147479052493</v>
      </c>
      <c r="BE485" s="136">
        <f ca="1">BE484/BE$16</f>
        <v>0.35</v>
      </c>
      <c r="BF485" s="31"/>
      <c r="BG485" s="31"/>
      <c r="BH485" s="31"/>
      <c r="BI485" s="31"/>
      <c r="BJ485" s="31"/>
      <c r="BK485" s="31"/>
      <c r="BL485" s="19"/>
    </row>
    <row r="486" spans="1:64" s="207" customFormat="1" ht="11.25" customHeight="1">
      <c r="A486" s="35"/>
      <c r="B486" s="35" t="s">
        <v>260</v>
      </c>
      <c r="C486" s="35"/>
      <c r="D486" s="33">
        <f>D484+AY486</f>
        <v>3963.9290000000001</v>
      </c>
      <c r="E486" s="33">
        <f>E484+D486</f>
        <v>4090.627</v>
      </c>
      <c r="F486" s="33">
        <f t="shared" ref="F486:W486" si="1366">F484+E486</f>
        <v>4189.933</v>
      </c>
      <c r="G486" s="33">
        <f t="shared" si="1366"/>
        <v>4278.6080000000002</v>
      </c>
      <c r="H486" s="33">
        <f t="shared" si="1366"/>
        <v>4526.6370000000006</v>
      </c>
      <c r="I486" s="33">
        <f t="shared" si="1366"/>
        <v>4693.6080000000002</v>
      </c>
      <c r="J486" s="33">
        <f t="shared" si="1366"/>
        <v>4882.2480000000005</v>
      </c>
      <c r="K486" s="33">
        <f t="shared" si="1366"/>
        <v>5117.8040000000001</v>
      </c>
      <c r="L486" s="33">
        <f t="shared" si="1366"/>
        <v>5379.9390000000003</v>
      </c>
      <c r="M486" s="33">
        <f t="shared" si="1366"/>
        <v>5597.6620000000003</v>
      </c>
      <c r="N486" s="33">
        <f t="shared" si="1366"/>
        <v>5863.6320000000005</v>
      </c>
      <c r="O486" s="33">
        <f t="shared" si="1366"/>
        <v>6200.4760000000006</v>
      </c>
      <c r="P486" s="33">
        <f t="shared" si="1366"/>
        <v>6502.9750000000004</v>
      </c>
      <c r="Q486" s="33">
        <f t="shared" si="1366"/>
        <v>6753.509</v>
      </c>
      <c r="R486" s="33">
        <f t="shared" si="1366"/>
        <v>6980.1329999999998</v>
      </c>
      <c r="S486" s="33">
        <f t="shared" si="1366"/>
        <v>7150.2929999999997</v>
      </c>
      <c r="T486" s="33">
        <f t="shared" si="1366"/>
        <v>7331.598</v>
      </c>
      <c r="U486" s="33">
        <f t="shared" ref="U486:V486" si="1367">U484+T486</f>
        <v>7537.2719999999999</v>
      </c>
      <c r="V486" s="33">
        <f t="shared" si="1367"/>
        <v>7744.3509999999997</v>
      </c>
      <c r="W486" s="33">
        <f t="shared" ca="1" si="1366"/>
        <v>8140.4771517588242</v>
      </c>
      <c r="X486" s="33">
        <f t="shared" ref="X486" ca="1" si="1368">X484+W486</f>
        <v>8420.5015367313244</v>
      </c>
      <c r="Y486" s="33">
        <f t="shared" ref="Y486" ca="1" si="1369">Y484+X486</f>
        <v>8703.3758110713243</v>
      </c>
      <c r="Z486" s="33">
        <f t="shared" ref="Z486" ca="1" si="1370">Z484+Y486</f>
        <v>9022.4464510713242</v>
      </c>
      <c r="AA486" s="33">
        <f t="shared" ref="AA486" ca="1" si="1371">AA484+Z486</f>
        <v>9384.1268505032949</v>
      </c>
      <c r="AB486" s="160"/>
      <c r="AC486" s="257">
        <f>AC484</f>
        <v>38.648000000000003</v>
      </c>
      <c r="AD486" s="257">
        <f>AC486+AD484</f>
        <v>79.762</v>
      </c>
      <c r="AE486" s="257">
        <f t="shared" ref="AE486:BE486" si="1372">AD486+AE484</f>
        <v>118.247</v>
      </c>
      <c r="AF486" s="257">
        <f t="shared" si="1372"/>
        <v>222.00900000000001</v>
      </c>
      <c r="AG486" s="257">
        <f t="shared" si="1372"/>
        <v>292.21000000000004</v>
      </c>
      <c r="AH486" s="257">
        <f t="shared" si="1372"/>
        <v>347.44500000000005</v>
      </c>
      <c r="AI486" s="257">
        <f t="shared" si="1372"/>
        <v>385.31600000000003</v>
      </c>
      <c r="AJ486" s="257">
        <f t="shared" si="1372"/>
        <v>466.41100000000006</v>
      </c>
      <c r="AK486" s="257">
        <f t="shared" si="1372"/>
        <v>546.29000000000008</v>
      </c>
      <c r="AL486" s="257">
        <f t="shared" si="1372"/>
        <v>625.02700000000004</v>
      </c>
      <c r="AM486" s="257">
        <f t="shared" si="1372"/>
        <v>709.02800000000002</v>
      </c>
      <c r="AN486" s="257">
        <f t="shared" si="1372"/>
        <v>768.25099999999998</v>
      </c>
      <c r="AO486" s="257">
        <f t="shared" si="1372"/>
        <v>856.03599999999994</v>
      </c>
      <c r="AP486" s="257">
        <f t="shared" si="1372"/>
        <v>1042.98</v>
      </c>
      <c r="AQ486" s="257">
        <f t="shared" si="1372"/>
        <v>1256.943</v>
      </c>
      <c r="AR486" s="257">
        <f t="shared" si="1372"/>
        <v>1503.08</v>
      </c>
      <c r="AS486" s="257">
        <f t="shared" si="1372"/>
        <v>1790.675</v>
      </c>
      <c r="AT486" s="257">
        <f t="shared" si="1372"/>
        <v>2079.2150000000001</v>
      </c>
      <c r="AU486" s="257">
        <f t="shared" si="1372"/>
        <v>2336.732</v>
      </c>
      <c r="AV486" s="257">
        <f t="shared" si="1372"/>
        <v>2664.777</v>
      </c>
      <c r="AW486" s="257">
        <f t="shared" si="1372"/>
        <v>2995.3650000000002</v>
      </c>
      <c r="AX486" s="257">
        <f t="shared" si="1372"/>
        <v>3310.9470000000001</v>
      </c>
      <c r="AY486" s="257">
        <f t="shared" si="1372"/>
        <v>3771.3690000000001</v>
      </c>
      <c r="AZ486" s="257">
        <f t="shared" si="1372"/>
        <v>4278.6080000000002</v>
      </c>
      <c r="BA486" s="257">
        <f t="shared" si="1372"/>
        <v>5117.8040000000001</v>
      </c>
      <c r="BB486" s="257">
        <f t="shared" si="1372"/>
        <v>6200.4760000000006</v>
      </c>
      <c r="BC486" s="257">
        <f t="shared" si="1372"/>
        <v>7150.2930000000006</v>
      </c>
      <c r="BD486" s="257">
        <f t="shared" ca="1" si="1372"/>
        <v>8140.4771517588251</v>
      </c>
      <c r="BE486" s="257">
        <f t="shared" ca="1" si="1372"/>
        <v>9384.1268505032949</v>
      </c>
      <c r="BF486" s="35"/>
      <c r="BG486" s="35"/>
      <c r="BH486" s="35"/>
      <c r="BI486" s="35"/>
      <c r="BJ486" s="35"/>
      <c r="BK486" s="35"/>
      <c r="BL486" s="317"/>
    </row>
    <row r="487" spans="1:64" s="207" customFormat="1" ht="11.25" customHeight="1">
      <c r="A487" s="35"/>
      <c r="B487" s="35" t="s">
        <v>453</v>
      </c>
      <c r="C487" s="35"/>
      <c r="D487" s="33">
        <f t="shared" ref="D487:W487" si="1373">D484/D294</f>
        <v>6.3911332385992319</v>
      </c>
      <c r="E487" s="33">
        <f t="shared" si="1373"/>
        <v>4.2369739836661573</v>
      </c>
      <c r="F487" s="33">
        <f t="shared" si="1373"/>
        <v>3.3827107733237356</v>
      </c>
      <c r="G487" s="33">
        <f t="shared" si="1373"/>
        <v>3.1129421760152112</v>
      </c>
      <c r="H487" s="33">
        <f t="shared" si="1373"/>
        <v>8.828452541118871</v>
      </c>
      <c r="I487" s="33">
        <f t="shared" si="1373"/>
        <v>5.9653687711581842</v>
      </c>
      <c r="J487" s="33">
        <f t="shared" si="1373"/>
        <v>6.7676815366712617</v>
      </c>
      <c r="K487" s="33">
        <f t="shared" si="1373"/>
        <v>8.4589627582777318</v>
      </c>
      <c r="L487" s="33">
        <f t="shared" si="1373"/>
        <v>9.3592233702986984</v>
      </c>
      <c r="M487" s="33">
        <f t="shared" si="1373"/>
        <v>7.3940057961930767</v>
      </c>
      <c r="N487" s="33">
        <f t="shared" si="1373"/>
        <v>8.7497672496774399</v>
      </c>
      <c r="O487" s="33">
        <f t="shared" si="1373"/>
        <v>10.746626094306617</v>
      </c>
      <c r="P487" s="33">
        <f t="shared" si="1373"/>
        <v>9.9439158007569297</v>
      </c>
      <c r="Q487" s="33">
        <f t="shared" si="1373"/>
        <v>8.1541669835945125</v>
      </c>
      <c r="R487" s="33">
        <f t="shared" si="1373"/>
        <v>7.1498924742920593</v>
      </c>
      <c r="S487" s="33">
        <f t="shared" si="1373"/>
        <v>5.3477554276841941</v>
      </c>
      <c r="T487" s="33">
        <f t="shared" si="1373"/>
        <v>5.7627948396405912</v>
      </c>
      <c r="U487" s="33">
        <f t="shared" si="1373"/>
        <v>6.3533221078150186</v>
      </c>
      <c r="V487" s="33">
        <f t="shared" ref="V487" si="1374">V484/V294</f>
        <v>6.4108384682257178</v>
      </c>
      <c r="W487" s="33">
        <f t="shared" ca="1" si="1373"/>
        <v>12.223523602633865</v>
      </c>
      <c r="X487" s="33">
        <f t="shared" ref="X487:AA487" ca="1" si="1375">X484/X294</f>
        <v>8.5757628693381935</v>
      </c>
      <c r="Y487" s="33">
        <f t="shared" ca="1" si="1375"/>
        <v>8.6630408948641762</v>
      </c>
      <c r="Z487" s="33">
        <f t="shared" ca="1" si="1375"/>
        <v>9.7715566716687583</v>
      </c>
      <c r="AA487" s="33">
        <f t="shared" ca="1" si="1375"/>
        <v>11.076483001009716</v>
      </c>
      <c r="AB487" s="160"/>
      <c r="AC487" s="33"/>
      <c r="AD487" s="33"/>
      <c r="AE487" s="33"/>
      <c r="AF487" s="33"/>
      <c r="AG487" s="33"/>
      <c r="AH487" s="33"/>
      <c r="AI487" s="33"/>
      <c r="AJ487" s="33"/>
      <c r="AK487" s="33"/>
      <c r="AL487" s="33"/>
      <c r="AM487" s="33"/>
      <c r="AN487" s="33"/>
      <c r="AO487" s="33"/>
      <c r="AP487" s="33"/>
      <c r="AQ487" s="33"/>
      <c r="AR487" s="33"/>
      <c r="AS487" s="33"/>
      <c r="AT487" s="33"/>
      <c r="AU487" s="33"/>
      <c r="AV487" s="33"/>
      <c r="AW487" s="33"/>
      <c r="AX487" s="33">
        <f t="shared" ref="AX487:BD487" si="1376">AX484/AX294</f>
        <v>10.464261018225365</v>
      </c>
      <c r="AY487" s="33">
        <f t="shared" si="1376"/>
        <v>14.896023188026941</v>
      </c>
      <c r="AZ487" s="33">
        <f t="shared" si="1376"/>
        <v>17.214519384970341</v>
      </c>
      <c r="BA487" s="33">
        <f t="shared" si="1376"/>
        <v>30.024542819416755</v>
      </c>
      <c r="BB487" s="33">
        <f t="shared" si="1376"/>
        <v>36.319471339599865</v>
      </c>
      <c r="BC487" s="33">
        <f t="shared" si="1376"/>
        <v>30.471807617963133</v>
      </c>
      <c r="BD487" s="29">
        <f t="shared" ca="1" si="1376"/>
        <v>30.812726991414038</v>
      </c>
      <c r="BE487" s="29">
        <f t="shared" ref="BE487" ca="1" si="1377">BE484/BE294</f>
        <v>38.086843436880848</v>
      </c>
      <c r="BF487" s="35"/>
      <c r="BG487" s="35"/>
      <c r="BH487" s="35"/>
      <c r="BI487" s="35"/>
      <c r="BJ487" s="35"/>
      <c r="BK487" s="35"/>
      <c r="BL487" s="317"/>
    </row>
    <row r="488" spans="1:64" s="207" customFormat="1" ht="11.25" hidden="1" customHeight="1" outlineLevel="1">
      <c r="A488" s="35"/>
      <c r="B488" s="35"/>
      <c r="C488" s="35"/>
      <c r="D488" s="33"/>
      <c r="E488" s="33"/>
      <c r="F488" s="33"/>
      <c r="G488" s="33"/>
      <c r="H488" s="33"/>
      <c r="I488" s="33"/>
      <c r="J488" s="33"/>
      <c r="K488" s="33"/>
      <c r="L488" s="33"/>
      <c r="M488" s="33"/>
      <c r="N488" s="33"/>
      <c r="O488" s="33"/>
      <c r="P488" s="33"/>
      <c r="Q488" s="33"/>
      <c r="R488" s="33"/>
      <c r="S488" s="33"/>
      <c r="T488" s="33"/>
      <c r="U488" s="33"/>
      <c r="V488" s="33"/>
      <c r="W488" s="33"/>
      <c r="X488" s="33"/>
      <c r="Y488" s="33"/>
      <c r="Z488" s="33"/>
      <c r="AA488" s="33"/>
      <c r="AB488" s="160"/>
      <c r="AC488" s="33"/>
      <c r="AD488" s="33"/>
      <c r="AE488" s="33"/>
      <c r="AF488" s="33"/>
      <c r="AG488" s="33"/>
      <c r="AH488" s="33"/>
      <c r="AI488" s="33"/>
      <c r="AJ488" s="33"/>
      <c r="AK488" s="33"/>
      <c r="AL488" s="33"/>
      <c r="AM488" s="33"/>
      <c r="AN488" s="33"/>
      <c r="AO488" s="33"/>
      <c r="AP488" s="33"/>
      <c r="AQ488" s="33"/>
      <c r="AR488" s="33"/>
      <c r="AS488" s="33"/>
      <c r="AT488" s="33"/>
      <c r="AU488" s="33"/>
      <c r="AV488" s="33"/>
      <c r="AW488" s="33"/>
      <c r="AX488" s="33"/>
      <c r="AY488" s="33"/>
      <c r="AZ488" s="33"/>
      <c r="BA488" s="33"/>
      <c r="BB488" s="33"/>
      <c r="BC488" s="33"/>
      <c r="BD488" s="29"/>
      <c r="BE488" s="29"/>
      <c r="BF488" s="35"/>
      <c r="BG488" s="35"/>
      <c r="BH488" s="35"/>
      <c r="BI488" s="35"/>
      <c r="BJ488" s="35"/>
      <c r="BK488" s="35"/>
      <c r="BL488" s="317"/>
    </row>
    <row r="489" spans="1:64" s="207" customFormat="1" ht="11.25" hidden="1" customHeight="1" outlineLevel="1">
      <c r="A489" s="35"/>
      <c r="B489" s="94" t="s">
        <v>461</v>
      </c>
      <c r="C489" s="35"/>
      <c r="D489" s="33"/>
      <c r="E489" s="33"/>
      <c r="F489" s="33"/>
      <c r="G489" s="33"/>
      <c r="H489" s="33"/>
      <c r="I489" s="33"/>
      <c r="J489" s="33"/>
      <c r="K489" s="33"/>
      <c r="L489" s="33"/>
      <c r="M489" s="33"/>
      <c r="N489" s="33"/>
      <c r="O489" s="33"/>
      <c r="P489" s="33"/>
      <c r="Q489" s="33"/>
      <c r="R489" s="33"/>
      <c r="S489" s="33"/>
      <c r="T489" s="33"/>
      <c r="U489" s="33"/>
      <c r="V489" s="33"/>
      <c r="W489" s="33"/>
      <c r="X489" s="33"/>
      <c r="Y489" s="33"/>
      <c r="Z489" s="33"/>
      <c r="AA489" s="33"/>
      <c r="AB489" s="160"/>
      <c r="AC489" s="33"/>
      <c r="AD489" s="33"/>
      <c r="AE489" s="33"/>
      <c r="AF489" s="33"/>
      <c r="AG489" s="33"/>
      <c r="AH489" s="33"/>
      <c r="AI489" s="33"/>
      <c r="AJ489" s="33"/>
      <c r="AK489" s="33"/>
      <c r="AL489" s="33"/>
      <c r="AM489" s="33"/>
      <c r="AN489" s="33"/>
      <c r="AO489" s="33"/>
      <c r="AP489" s="33"/>
      <c r="AQ489" s="33"/>
      <c r="AR489" s="33"/>
      <c r="AS489" s="33"/>
      <c r="AT489" s="33"/>
      <c r="AU489" s="33"/>
      <c r="AV489" s="33"/>
      <c r="AW489" s="33"/>
      <c r="AX489" s="33"/>
      <c r="AY489" s="33"/>
      <c r="AZ489" s="33"/>
      <c r="BA489" s="33"/>
      <c r="BB489" s="33"/>
      <c r="BC489" s="33"/>
      <c r="BD489" s="689"/>
      <c r="BE489" s="29"/>
      <c r="BF489" s="35"/>
      <c r="BG489" s="35"/>
      <c r="BH489" s="35"/>
      <c r="BI489" s="35"/>
      <c r="BJ489" s="35"/>
      <c r="BK489" s="35"/>
      <c r="BL489" s="317"/>
    </row>
    <row r="490" spans="1:64" s="207" customFormat="1" ht="11.25" hidden="1" customHeight="1" outlineLevel="1">
      <c r="A490" s="35"/>
      <c r="B490" s="35" t="s">
        <v>463</v>
      </c>
      <c r="C490" s="35"/>
      <c r="D490" s="33"/>
      <c r="E490" s="33"/>
      <c r="F490" s="33"/>
      <c r="G490" s="33"/>
      <c r="H490" s="33"/>
      <c r="I490" s="33"/>
      <c r="J490" s="33"/>
      <c r="K490" s="33"/>
      <c r="L490" s="33"/>
      <c r="M490" s="33"/>
      <c r="N490" s="33"/>
      <c r="O490" s="33"/>
      <c r="P490" s="33"/>
      <c r="Q490" s="33"/>
      <c r="R490" s="33"/>
      <c r="S490" s="33"/>
      <c r="T490" s="33"/>
      <c r="U490" s="33"/>
      <c r="V490" s="33"/>
      <c r="W490" s="33"/>
      <c r="X490" s="33"/>
      <c r="Y490" s="33"/>
      <c r="Z490" s="33"/>
      <c r="AA490" s="33"/>
      <c r="AB490" s="160"/>
      <c r="AC490" s="33"/>
      <c r="AD490" s="33"/>
      <c r="AE490" s="33"/>
      <c r="AF490" s="33"/>
      <c r="AG490" s="33"/>
      <c r="AH490" s="33"/>
      <c r="AI490" s="33"/>
      <c r="AJ490" s="33"/>
      <c r="AK490" s="33"/>
      <c r="AL490" s="33"/>
      <c r="AM490" s="33"/>
      <c r="AN490" s="33"/>
      <c r="AO490" s="33"/>
      <c r="AP490" s="33"/>
      <c r="AQ490" s="33"/>
      <c r="AR490" s="33"/>
      <c r="AS490" s="33"/>
      <c r="AT490" s="33"/>
      <c r="AU490" s="33"/>
      <c r="AV490" s="33"/>
      <c r="AW490" s="33"/>
      <c r="AX490" s="351">
        <v>29.6</v>
      </c>
      <c r="AY490" s="351">
        <v>30.6</v>
      </c>
      <c r="AZ490" s="351">
        <v>29.9</v>
      </c>
      <c r="BA490" s="351">
        <v>27.95</v>
      </c>
      <c r="BB490" s="351">
        <v>27.6</v>
      </c>
      <c r="BC490" s="351">
        <v>30.7</v>
      </c>
      <c r="BD490" s="351">
        <v>31.1</v>
      </c>
      <c r="BE490" s="351"/>
      <c r="BF490" s="35"/>
      <c r="BG490" s="35"/>
      <c r="BH490" s="35"/>
      <c r="BI490" s="35"/>
      <c r="BJ490" s="35"/>
      <c r="BK490" s="35"/>
      <c r="BL490" s="317"/>
    </row>
    <row r="491" spans="1:64" s="207" customFormat="1" ht="11.25" hidden="1" customHeight="1" outlineLevel="1">
      <c r="A491" s="35"/>
      <c r="B491" s="35" t="s">
        <v>462</v>
      </c>
      <c r="C491" s="35"/>
      <c r="D491" s="33"/>
      <c r="E491" s="33"/>
      <c r="F491" s="33"/>
      <c r="G491" s="33"/>
      <c r="H491" s="33"/>
      <c r="I491" s="33"/>
      <c r="J491" s="33"/>
      <c r="K491" s="33"/>
      <c r="L491" s="33"/>
      <c r="M491" s="33"/>
      <c r="N491" s="33"/>
      <c r="O491" s="33"/>
      <c r="P491" s="33"/>
      <c r="Q491" s="33"/>
      <c r="R491" s="33"/>
      <c r="S491" s="33"/>
      <c r="T491" s="33"/>
      <c r="U491" s="33"/>
      <c r="V491" s="33"/>
      <c r="W491" s="33"/>
      <c r="X491" s="33"/>
      <c r="Y491" s="33"/>
      <c r="Z491" s="33"/>
      <c r="AA491" s="33"/>
      <c r="AB491" s="160"/>
      <c r="AC491" s="33"/>
      <c r="AD491" s="33"/>
      <c r="AE491" s="33"/>
      <c r="AF491" s="33"/>
      <c r="AG491" s="33"/>
      <c r="AH491" s="33"/>
      <c r="AI491" s="33"/>
      <c r="AJ491" s="33"/>
      <c r="AK491" s="33"/>
      <c r="AL491" s="33"/>
      <c r="AM491" s="33"/>
      <c r="AN491" s="33"/>
      <c r="AO491" s="33"/>
      <c r="AP491" s="33"/>
      <c r="AQ491" s="33"/>
      <c r="AR491" s="33"/>
      <c r="AS491" s="33"/>
      <c r="AT491" s="33"/>
      <c r="AU491" s="33"/>
      <c r="AV491" s="33"/>
      <c r="AW491" s="33"/>
      <c r="AX491" s="33">
        <f>AX484/AX490</f>
        <v>10.661554054054053</v>
      </c>
      <c r="AY491" s="33">
        <f>AY484/AY490</f>
        <v>15.046470588235294</v>
      </c>
      <c r="AZ491" s="33">
        <f>AZ484/AZ490</f>
        <v>16.964515050167225</v>
      </c>
      <c r="BA491" s="33">
        <f t="shared" ref="BA491:BD491" si="1378">BA484/BA490</f>
        <v>30.024901610017892</v>
      </c>
      <c r="BB491" s="33">
        <f t="shared" si="1378"/>
        <v>39.227246376811593</v>
      </c>
      <c r="BC491" s="33">
        <f t="shared" si="1378"/>
        <v>30.938664495114008</v>
      </c>
      <c r="BD491" s="29">
        <f t="shared" ca="1" si="1378"/>
        <v>31.838718706071528</v>
      </c>
      <c r="BE491" s="29"/>
      <c r="BF491" s="35"/>
      <c r="BG491" s="35"/>
      <c r="BH491" s="35"/>
      <c r="BI491" s="35"/>
      <c r="BJ491" s="35"/>
      <c r="BK491" s="35"/>
      <c r="BL491" s="317"/>
    </row>
    <row r="492" spans="1:64" ht="11.25" hidden="1" customHeight="1" outlineLevel="1">
      <c r="A492" s="2"/>
      <c r="B492" s="36" t="s">
        <v>464</v>
      </c>
      <c r="C492" s="2"/>
      <c r="D492" s="70"/>
      <c r="E492" s="70"/>
      <c r="F492" s="70"/>
      <c r="G492" s="70"/>
      <c r="H492" s="70"/>
      <c r="I492" s="70"/>
      <c r="J492" s="70"/>
      <c r="K492" s="70"/>
      <c r="L492" s="70"/>
      <c r="M492" s="70"/>
      <c r="N492" s="70"/>
      <c r="O492" s="70"/>
      <c r="P492" s="70"/>
      <c r="Q492" s="70"/>
      <c r="R492" s="70"/>
      <c r="S492" s="166"/>
      <c r="T492" s="166"/>
      <c r="U492" s="166"/>
      <c r="V492" s="166"/>
      <c r="W492" s="166"/>
      <c r="X492" s="166"/>
      <c r="Y492" s="166"/>
      <c r="Z492" s="166"/>
      <c r="AA492" s="166"/>
      <c r="AB492" s="2"/>
      <c r="AC492" s="2"/>
      <c r="AD492" s="2"/>
      <c r="AE492" s="2"/>
      <c r="AF492" s="2"/>
      <c r="AG492" s="2"/>
      <c r="AH492" s="2"/>
      <c r="AI492" s="2"/>
      <c r="AJ492" s="2"/>
      <c r="AK492" s="2"/>
      <c r="AL492" s="2"/>
      <c r="AM492" s="2"/>
      <c r="AN492" s="2"/>
      <c r="AO492" s="2"/>
      <c r="AP492" s="2"/>
      <c r="AQ492" s="2"/>
      <c r="AR492" s="2"/>
      <c r="AS492" s="2"/>
      <c r="AT492" s="2"/>
      <c r="AU492" s="2"/>
      <c r="AV492" s="24"/>
      <c r="AW492" s="24"/>
      <c r="AX492" s="33" t="s">
        <v>460</v>
      </c>
      <c r="AY492" s="33" t="s">
        <v>455</v>
      </c>
      <c r="AZ492" s="33" t="s">
        <v>454</v>
      </c>
      <c r="BA492" s="33" t="s">
        <v>456</v>
      </c>
      <c r="BB492" s="33" t="s">
        <v>457</v>
      </c>
      <c r="BC492" s="33" t="s">
        <v>459</v>
      </c>
      <c r="BD492" s="33" t="s">
        <v>458</v>
      </c>
      <c r="BE492" s="33"/>
      <c r="BF492" s="2"/>
      <c r="BG492" s="2"/>
      <c r="BH492" s="2"/>
      <c r="BI492" s="2"/>
      <c r="BJ492" s="2"/>
      <c r="BK492" s="2"/>
    </row>
    <row r="493" spans="1:64" ht="11.25" customHeight="1" collapsed="1">
      <c r="A493" s="2"/>
      <c r="B493" s="36"/>
      <c r="C493" s="2"/>
      <c r="D493" s="70"/>
      <c r="E493" s="70"/>
      <c r="F493" s="70"/>
      <c r="G493" s="70"/>
      <c r="H493" s="70"/>
      <c r="I493" s="70"/>
      <c r="J493" s="70"/>
      <c r="K493" s="70"/>
      <c r="L493" s="70"/>
      <c r="M493" s="70"/>
      <c r="N493" s="70"/>
      <c r="O493" s="70"/>
      <c r="P493" s="70"/>
      <c r="Q493" s="70"/>
      <c r="R493" s="70"/>
      <c r="S493" s="166"/>
      <c r="T493" s="166"/>
      <c r="U493" s="166"/>
      <c r="V493" s="166"/>
      <c r="W493" s="166"/>
      <c r="X493" s="166"/>
      <c r="Y493" s="166"/>
      <c r="Z493" s="166"/>
      <c r="AA493" s="166"/>
      <c r="AB493" s="2"/>
      <c r="AC493" s="2"/>
      <c r="AD493" s="2"/>
      <c r="AE493" s="2"/>
      <c r="AF493" s="2"/>
      <c r="AG493" s="2"/>
      <c r="AH493" s="2"/>
      <c r="AI493" s="2"/>
      <c r="AJ493" s="2"/>
      <c r="AK493" s="2"/>
      <c r="AL493" s="2"/>
      <c r="AM493" s="2"/>
      <c r="AN493" s="2"/>
      <c r="AO493" s="2"/>
      <c r="AP493" s="2"/>
      <c r="AQ493" s="2"/>
      <c r="AR493" s="2"/>
      <c r="AS493" s="2"/>
      <c r="AT493" s="2"/>
      <c r="AU493" s="2"/>
      <c r="AV493" s="24"/>
      <c r="AW493" s="24"/>
      <c r="AX493" s="24"/>
      <c r="AY493" s="24"/>
      <c r="AZ493" s="24"/>
      <c r="BA493" s="24"/>
      <c r="BB493" s="24"/>
      <c r="BC493" s="24"/>
      <c r="BD493" s="24"/>
      <c r="BE493" s="24"/>
      <c r="BF493" s="2"/>
      <c r="BG493" s="2"/>
      <c r="BH493" s="2"/>
      <c r="BI493" s="2"/>
      <c r="BJ493" s="2"/>
      <c r="BK493" s="2"/>
    </row>
    <row r="494" spans="1:64" s="54" customFormat="1" ht="11.25" customHeight="1">
      <c r="A494" s="31"/>
      <c r="B494" s="184" t="s">
        <v>32</v>
      </c>
      <c r="C494" s="31"/>
      <c r="D494" s="165"/>
      <c r="E494" s="165"/>
      <c r="F494" s="165"/>
      <c r="G494" s="165"/>
      <c r="H494" s="165"/>
      <c r="I494" s="165"/>
      <c r="J494" s="165"/>
      <c r="K494" s="165"/>
      <c r="L494" s="165"/>
      <c r="M494" s="165"/>
      <c r="N494" s="165"/>
      <c r="O494" s="165"/>
      <c r="P494" s="165"/>
      <c r="Q494" s="165"/>
      <c r="R494" s="165"/>
      <c r="S494" s="165"/>
      <c r="T494" s="165"/>
      <c r="U494" s="165"/>
      <c r="V494" s="165"/>
      <c r="W494" s="165"/>
      <c r="X494" s="165"/>
      <c r="Y494" s="165"/>
      <c r="Z494" s="165"/>
      <c r="AA494" s="165"/>
      <c r="AB494" s="169"/>
      <c r="AC494" s="169"/>
      <c r="AD494" s="169"/>
      <c r="AE494" s="169"/>
      <c r="AF494" s="169"/>
      <c r="AG494" s="169"/>
      <c r="AH494" s="169"/>
      <c r="AI494" s="169"/>
      <c r="AJ494" s="169"/>
      <c r="AK494" s="169"/>
      <c r="AL494" s="169"/>
      <c r="AM494" s="169"/>
      <c r="AN494" s="169"/>
      <c r="AO494" s="169"/>
      <c r="AP494" s="169"/>
      <c r="AQ494" s="169"/>
      <c r="AR494" s="169"/>
      <c r="AS494" s="169"/>
      <c r="AT494" s="169"/>
      <c r="AU494" s="169"/>
      <c r="AV494" s="165"/>
      <c r="AW494" s="165"/>
      <c r="AX494" s="165"/>
      <c r="AY494" s="165"/>
      <c r="AZ494" s="165"/>
      <c r="BA494" s="165"/>
      <c r="BB494" s="165"/>
      <c r="BC494" s="165"/>
      <c r="BD494" s="165"/>
      <c r="BE494" s="165"/>
      <c r="BF494" s="31"/>
      <c r="BG494" s="31"/>
      <c r="BH494" s="31"/>
      <c r="BI494" s="31"/>
      <c r="BJ494" s="31"/>
      <c r="BK494" s="31"/>
    </row>
    <row r="495" spans="1:64" s="54" customFormat="1" ht="11.25" customHeight="1">
      <c r="A495" s="18"/>
      <c r="B495" s="30" t="s">
        <v>32</v>
      </c>
      <c r="C495" s="18"/>
      <c r="D495" s="239">
        <v>1.41E-3</v>
      </c>
      <c r="E495" s="239">
        <f>(2.988-D495)/1000</f>
        <v>2.9865899999999999E-3</v>
      </c>
      <c r="F495" s="239">
        <f>(4.873-SUM(D495:E495))/1000</f>
        <v>4.8686034100000001E-3</v>
      </c>
      <c r="G495" s="26">
        <f>AZ495-SUM(D495:F495)</f>
        <v>-2.6531934100000008E-3</v>
      </c>
      <c r="H495" s="239">
        <v>1.704E-3</v>
      </c>
      <c r="I495" s="239">
        <f>(3.454-H495)/1000</f>
        <v>3.4522960000000001E-3</v>
      </c>
      <c r="J495" s="239">
        <f>(6.007-SUM(H495:I495))/1000</f>
        <v>6.0018437039999996E-3</v>
      </c>
      <c r="K495" s="26">
        <f>BA495-SUM(H495:J495)</f>
        <v>-3.3701397039999992E-3</v>
      </c>
      <c r="L495" s="239">
        <v>2.7452999999999998E-2</v>
      </c>
      <c r="M495" s="239">
        <f>(141.801-L495)/1000</f>
        <v>0.14177354699999997</v>
      </c>
      <c r="N495" s="239">
        <f>(222.091-SUM(L495:M495))/1000</f>
        <v>0.22192177345300002</v>
      </c>
      <c r="O495" s="26">
        <f>BB495-SUM(L495:N495)</f>
        <v>-8.8800320452999959E-2</v>
      </c>
      <c r="P495" s="239">
        <v>0.100772</v>
      </c>
      <c r="Q495" s="239">
        <f>(228.352-P495)/1000</f>
        <v>0.228251228</v>
      </c>
      <c r="R495" s="239">
        <f>(355.701-SUM(P495:Q495))/1000</f>
        <v>0.35537197677200005</v>
      </c>
      <c r="S495" s="26">
        <f>BC495-SUM(P495:R495)</f>
        <v>-0.20134520477200007</v>
      </c>
      <c r="T495" s="239">
        <v>0.18183099999999999</v>
      </c>
      <c r="U495" s="239">
        <f>(412.787-T495)/1000</f>
        <v>0.41260516899999999</v>
      </c>
      <c r="V495" s="26">
        <f t="shared" ref="V495:AA495" si="1379">V496*V16</f>
        <v>0.46540179607107568</v>
      </c>
      <c r="W495" s="26">
        <f t="shared" ca="1" si="1379"/>
        <v>0.52755310704658698</v>
      </c>
      <c r="X495" s="26">
        <f t="shared" si="1379"/>
        <v>0.49013792698657521</v>
      </c>
      <c r="Y495" s="26">
        <f t="shared" si="1379"/>
        <v>0.49512620280000003</v>
      </c>
      <c r="Z495" s="26">
        <f t="shared" si="1379"/>
        <v>0.55848215528529077</v>
      </c>
      <c r="AA495" s="26">
        <f t="shared" ca="1" si="1379"/>
        <v>0.63306372845590442</v>
      </c>
      <c r="AB495" s="18"/>
      <c r="AC495" s="239">
        <v>0</v>
      </c>
      <c r="AD495" s="239">
        <v>0</v>
      </c>
      <c r="AE495" s="239">
        <v>0</v>
      </c>
      <c r="AF495" s="239">
        <v>0</v>
      </c>
      <c r="AG495" s="239">
        <v>0</v>
      </c>
      <c r="AH495" s="239">
        <v>0</v>
      </c>
      <c r="AI495" s="239">
        <v>0</v>
      </c>
      <c r="AJ495" s="239">
        <v>0</v>
      </c>
      <c r="AK495" s="239">
        <v>0</v>
      </c>
      <c r="AL495" s="239">
        <v>0</v>
      </c>
      <c r="AM495" s="239">
        <v>0</v>
      </c>
      <c r="AN495" s="239">
        <v>0</v>
      </c>
      <c r="AO495" s="239">
        <v>0</v>
      </c>
      <c r="AP495" s="239">
        <v>0</v>
      </c>
      <c r="AQ495" s="239">
        <v>0</v>
      </c>
      <c r="AR495" s="239">
        <v>6.1999999999999998E-3</v>
      </c>
      <c r="AS495" s="239">
        <v>5.3E-3</v>
      </c>
      <c r="AT495" s="239">
        <v>0</v>
      </c>
      <c r="AU495" s="239">
        <v>0</v>
      </c>
      <c r="AV495" s="239">
        <v>0</v>
      </c>
      <c r="AW495" s="239">
        <v>0</v>
      </c>
      <c r="AX495" s="239">
        <v>0</v>
      </c>
      <c r="AY495" s="239">
        <v>2.8180000000000002E-3</v>
      </c>
      <c r="AZ495" s="239">
        <v>6.6119999999999998E-3</v>
      </c>
      <c r="BA495" s="239">
        <v>7.7880000000000007E-3</v>
      </c>
      <c r="BB495" s="239">
        <v>0.30234800000000001</v>
      </c>
      <c r="BC495" s="239">
        <v>0.48305000000000003</v>
      </c>
      <c r="BD495" s="19">
        <f ca="1">SUM(T495:W495)</f>
        <v>1.5873910721176627</v>
      </c>
      <c r="BE495" s="37">
        <f ca="1">+SUM(X495:AA495)</f>
        <v>2.1768100135277706</v>
      </c>
      <c r="BF495" s="18"/>
      <c r="BG495" s="84">
        <f>ROUND(AZ495-SUM(D495:G495),1)</f>
        <v>0</v>
      </c>
      <c r="BH495" s="84">
        <f>ROUND(BA495-SUM(H495:K495),1)</f>
        <v>0</v>
      </c>
      <c r="BI495" s="84">
        <f>ROUND(BB495-SUM(L495:O495),1)</f>
        <v>0</v>
      </c>
      <c r="BJ495" s="84">
        <f>ROUND(BC495-SUM(P495:S495),1)</f>
        <v>0</v>
      </c>
      <c r="BK495" s="84">
        <f ca="1">ROUND(BD495-SUM(T495:W495),1)</f>
        <v>0</v>
      </c>
    </row>
    <row r="496" spans="1:64" s="54" customFormat="1" ht="11.25" customHeight="1">
      <c r="A496" s="31"/>
      <c r="B496" s="35" t="s">
        <v>726</v>
      </c>
      <c r="C496" s="31"/>
      <c r="D496" s="165">
        <f>D495/D$16</f>
        <v>4.5396419451750145E-6</v>
      </c>
      <c r="E496" s="165">
        <f t="shared" ref="E496:U496" si="1380">E495/E$16</f>
        <v>9.6094134239772244E-6</v>
      </c>
      <c r="F496" s="165">
        <f t="shared" si="1380"/>
        <v>1.3659499092272126E-5</v>
      </c>
      <c r="G496" s="165">
        <f t="shared" si="1380"/>
        <v>-7.3407602282488517E-6</v>
      </c>
      <c r="H496" s="165">
        <f t="shared" si="1380"/>
        <v>4.7018540287894181E-6</v>
      </c>
      <c r="I496" s="165">
        <f t="shared" si="1380"/>
        <v>9.2767466128442222E-6</v>
      </c>
      <c r="J496" s="165">
        <f t="shared" si="1380"/>
        <v>1.4473770030243708E-5</v>
      </c>
      <c r="K496" s="165">
        <f t="shared" si="1380"/>
        <v>-7.6910587681023854E-6</v>
      </c>
      <c r="L496" s="165">
        <f t="shared" si="1380"/>
        <v>5.5903784953409824E-5</v>
      </c>
      <c r="M496" s="165">
        <f t="shared" si="1380"/>
        <v>2.6542354539591732E-4</v>
      </c>
      <c r="N496" s="165">
        <f t="shared" si="1380"/>
        <v>3.6194144999119731E-4</v>
      </c>
      <c r="O496" s="165">
        <f t="shared" si="1380"/>
        <v>-1.4195970660442828E-4</v>
      </c>
      <c r="P496" s="165">
        <f t="shared" si="1380"/>
        <v>1.9812321526390701E-4</v>
      </c>
      <c r="Q496" s="165">
        <f t="shared" si="1380"/>
        <v>4.7469144151262861E-4</v>
      </c>
      <c r="R496" s="165">
        <f t="shared" si="1380"/>
        <v>6.4999210596413553E-4</v>
      </c>
      <c r="S496" s="165">
        <f t="shared" si="1380"/>
        <v>-3.2187988077899164E-4</v>
      </c>
      <c r="T496" s="165">
        <f t="shared" si="1380"/>
        <v>3.0681309239706875E-4</v>
      </c>
      <c r="U496" s="165">
        <f t="shared" si="1380"/>
        <v>6.1261905623736417E-4</v>
      </c>
      <c r="V496" s="199">
        <f t="shared" ref="V496:W496" si="1381">U496</f>
        <v>6.1261905623736417E-4</v>
      </c>
      <c r="W496" s="199">
        <f t="shared" si="1381"/>
        <v>6.1261905623736417E-4</v>
      </c>
      <c r="X496" s="199">
        <f t="shared" ref="X496" si="1382">W496</f>
        <v>6.1261905623736417E-4</v>
      </c>
      <c r="Y496" s="199">
        <f t="shared" ref="Y496" si="1383">X496</f>
        <v>6.1261905623736417E-4</v>
      </c>
      <c r="Z496" s="199">
        <f t="shared" ref="Z496" si="1384">Y496</f>
        <v>6.1261905623736417E-4</v>
      </c>
      <c r="AA496" s="199">
        <f t="shared" ref="AA496" si="1385">Z496</f>
        <v>6.1261905623736417E-4</v>
      </c>
      <c r="AB496" s="169"/>
      <c r="AC496" s="510">
        <f>AC495/AC$16</f>
        <v>0</v>
      </c>
      <c r="AD496" s="510">
        <f t="shared" ref="AD496:BE496" si="1386">AD495/AD$16</f>
        <v>0</v>
      </c>
      <c r="AE496" s="510">
        <f t="shared" si="1386"/>
        <v>0</v>
      </c>
      <c r="AF496" s="510">
        <f t="shared" si="1386"/>
        <v>0</v>
      </c>
      <c r="AG496" s="510">
        <f t="shared" si="1386"/>
        <v>0</v>
      </c>
      <c r="AH496" s="510">
        <f t="shared" si="1386"/>
        <v>0</v>
      </c>
      <c r="AI496" s="510">
        <f t="shared" si="1386"/>
        <v>0</v>
      </c>
      <c r="AJ496" s="510">
        <f t="shared" si="1386"/>
        <v>0</v>
      </c>
      <c r="AK496" s="510">
        <f t="shared" si="1386"/>
        <v>0</v>
      </c>
      <c r="AL496" s="510">
        <f t="shared" si="1386"/>
        <v>0</v>
      </c>
      <c r="AM496" s="510">
        <f t="shared" si="1386"/>
        <v>0</v>
      </c>
      <c r="AN496" s="510">
        <f t="shared" si="1386"/>
        <v>0</v>
      </c>
      <c r="AO496" s="510">
        <f t="shared" si="1386"/>
        <v>0</v>
      </c>
      <c r="AP496" s="510">
        <f t="shared" si="1386"/>
        <v>0</v>
      </c>
      <c r="AQ496" s="510">
        <f t="shared" si="1386"/>
        <v>0</v>
      </c>
      <c r="AR496" s="510">
        <f t="shared" si="1386"/>
        <v>1.2234950517518673E-5</v>
      </c>
      <c r="AS496" s="510">
        <f t="shared" si="1386"/>
        <v>8.8773650640510272E-6</v>
      </c>
      <c r="AT496" s="510">
        <f t="shared" si="1386"/>
        <v>0</v>
      </c>
      <c r="AU496" s="510">
        <f t="shared" si="1386"/>
        <v>0</v>
      </c>
      <c r="AV496" s="510">
        <f t="shared" si="1386"/>
        <v>0</v>
      </c>
      <c r="AW496" s="510">
        <f t="shared" si="1386"/>
        <v>0</v>
      </c>
      <c r="AX496" s="510">
        <f t="shared" si="1386"/>
        <v>0</v>
      </c>
      <c r="AY496" s="510">
        <f t="shared" si="1386"/>
        <v>2.633680677870303E-6</v>
      </c>
      <c r="AZ496" s="510">
        <f t="shared" si="1386"/>
        <v>4.9370739202817765E-6</v>
      </c>
      <c r="BA496" s="510">
        <f t="shared" si="1386"/>
        <v>4.9060893455553183E-6</v>
      </c>
      <c r="BB496" s="510">
        <f t="shared" si="1386"/>
        <v>1.3355234903213717E-4</v>
      </c>
      <c r="BC496" s="510">
        <f t="shared" si="1386"/>
        <v>2.2345466791504607E-4</v>
      </c>
      <c r="BD496" s="510">
        <f t="shared" ca="1" si="1386"/>
        <v>5.4984290550111434E-4</v>
      </c>
      <c r="BE496" s="510">
        <f t="shared" ca="1" si="1386"/>
        <v>6.1261905623736417E-4</v>
      </c>
      <c r="BF496" s="31"/>
      <c r="BG496" s="31"/>
      <c r="BH496" s="31"/>
      <c r="BI496" s="31"/>
      <c r="BJ496" s="31"/>
      <c r="BK496" s="31"/>
    </row>
    <row r="497" spans="1:63" s="54" customFormat="1" ht="11.25" customHeight="1">
      <c r="A497" s="31"/>
      <c r="B497" s="35"/>
      <c r="C497" s="31"/>
      <c r="D497" s="165"/>
      <c r="E497" s="165"/>
      <c r="F497" s="165"/>
      <c r="G497" s="165"/>
      <c r="H497" s="165"/>
      <c r="I497" s="165"/>
      <c r="J497" s="165"/>
      <c r="K497" s="165"/>
      <c r="L497" s="165"/>
      <c r="M497" s="165"/>
      <c r="N497" s="165"/>
      <c r="O497" s="165"/>
      <c r="P497" s="165"/>
      <c r="Q497" s="165"/>
      <c r="R497" s="165"/>
      <c r="S497" s="165"/>
      <c r="T497" s="165"/>
      <c r="U497" s="199"/>
      <c r="V497" s="199"/>
      <c r="W497" s="199"/>
      <c r="X497" s="199"/>
      <c r="Y497" s="199"/>
      <c r="Z497" s="199"/>
      <c r="AA497" s="199"/>
      <c r="AB497" s="169"/>
      <c r="AC497" s="169"/>
      <c r="AD497" s="169"/>
      <c r="AE497" s="169"/>
      <c r="AF497" s="169"/>
      <c r="AG497" s="169"/>
      <c r="AH497" s="169"/>
      <c r="AI497" s="169"/>
      <c r="AJ497" s="169"/>
      <c r="AK497" s="169"/>
      <c r="AL497" s="169"/>
      <c r="AM497" s="169"/>
      <c r="AN497" s="169"/>
      <c r="AO497" s="169"/>
      <c r="AP497" s="169"/>
      <c r="AQ497" s="169"/>
      <c r="AR497" s="165"/>
      <c r="AS497" s="165"/>
      <c r="AT497" s="165"/>
      <c r="AU497" s="165"/>
      <c r="AV497" s="165"/>
      <c r="AW497" s="165"/>
      <c r="AX497" s="165"/>
      <c r="AY497" s="165"/>
      <c r="AZ497" s="165"/>
      <c r="BA497" s="165"/>
      <c r="BB497" s="165"/>
      <c r="BC497" s="165"/>
      <c r="BD497" s="165"/>
      <c r="BE497" s="165"/>
      <c r="BF497" s="31"/>
      <c r="BG497" s="31"/>
      <c r="BH497" s="31"/>
      <c r="BI497" s="31"/>
      <c r="BJ497" s="31"/>
      <c r="BK497" s="31"/>
    </row>
    <row r="498" spans="1:63" ht="11.25" customHeight="1">
      <c r="A498" s="2"/>
      <c r="B498" s="128" t="s">
        <v>9</v>
      </c>
      <c r="C498" s="6"/>
      <c r="D498" s="236"/>
      <c r="E498" s="236"/>
      <c r="F498" s="236"/>
      <c r="G498" s="236"/>
      <c r="H498" s="236"/>
      <c r="I498" s="236"/>
      <c r="J498" s="236"/>
      <c r="K498" s="236"/>
      <c r="L498" s="236"/>
      <c r="M498" s="236"/>
      <c r="N498" s="236"/>
      <c r="O498" s="236"/>
      <c r="P498" s="236"/>
      <c r="Q498" s="236"/>
      <c r="R498" s="236"/>
      <c r="S498" s="236"/>
      <c r="T498" s="236"/>
      <c r="U498" s="236"/>
      <c r="V498" s="120"/>
      <c r="W498" s="120"/>
      <c r="X498" s="120"/>
      <c r="Y498" s="120"/>
      <c r="Z498" s="120"/>
      <c r="AA498" s="120"/>
      <c r="AB498" s="2"/>
      <c r="AC498" s="2"/>
      <c r="AD498" s="2"/>
      <c r="AE498" s="2"/>
      <c r="AF498" s="2"/>
      <c r="AG498" s="2"/>
      <c r="AH498" s="2"/>
      <c r="AI498" s="2"/>
      <c r="AJ498" s="2"/>
      <c r="AK498" s="2"/>
      <c r="AL498" s="2"/>
      <c r="AM498" s="2"/>
      <c r="AN498" s="2"/>
      <c r="AO498" s="2"/>
      <c r="AP498" s="2"/>
      <c r="AQ498" s="2"/>
      <c r="AR498" s="2"/>
      <c r="AS498" s="2"/>
      <c r="AT498" s="2"/>
      <c r="AU498" s="2"/>
      <c r="AV498" s="2"/>
      <c r="AW498" s="236"/>
      <c r="AX498" s="120"/>
      <c r="AY498" s="120"/>
      <c r="AZ498" s="120"/>
      <c r="BA498" s="120"/>
      <c r="BB498" s="120"/>
      <c r="BC498" s="120"/>
      <c r="BD498" s="120"/>
      <c r="BE498" s="120"/>
      <c r="BF498" s="2"/>
      <c r="BG498" s="2"/>
      <c r="BH498" s="2"/>
      <c r="BI498" s="2"/>
      <c r="BJ498" s="2"/>
      <c r="BK498" s="2"/>
    </row>
    <row r="499" spans="1:63" ht="11.25" customHeight="1">
      <c r="A499" s="2"/>
      <c r="B499" s="75" t="s">
        <v>426</v>
      </c>
      <c r="C499" s="270"/>
      <c r="D499" s="270"/>
      <c r="E499" s="270"/>
      <c r="F499" s="270"/>
      <c r="G499" s="270"/>
      <c r="H499" s="270"/>
      <c r="I499" s="270"/>
      <c r="J499" s="270"/>
      <c r="K499" s="270"/>
      <c r="L499" s="270"/>
      <c r="M499" s="270"/>
      <c r="N499" s="270"/>
      <c r="O499" s="270"/>
      <c r="P499" s="270"/>
      <c r="Q499" s="270"/>
      <c r="R499" s="270"/>
      <c r="S499" s="270"/>
      <c r="T499" s="270"/>
      <c r="U499" s="270"/>
      <c r="V499" s="270"/>
      <c r="W499" s="270"/>
      <c r="X499" s="270"/>
      <c r="Y499" s="270"/>
      <c r="Z499" s="270"/>
      <c r="AA499" s="270"/>
      <c r="AB499" s="270"/>
      <c r="AC499" s="270"/>
      <c r="AD499" s="270"/>
      <c r="AE499" s="270"/>
      <c r="AF499" s="270"/>
      <c r="AG499" s="270"/>
      <c r="AH499" s="270"/>
      <c r="AI499" s="270"/>
      <c r="AJ499" s="270"/>
      <c r="AK499" s="270"/>
      <c r="AL499" s="270"/>
      <c r="AM499" s="270"/>
      <c r="AN499" s="270"/>
      <c r="AO499" s="270"/>
      <c r="AP499" s="270"/>
      <c r="AQ499" s="270"/>
      <c r="AR499" s="270"/>
      <c r="AS499" s="270"/>
      <c r="AT499" s="270"/>
      <c r="AU499" s="270"/>
      <c r="AV499" s="270"/>
      <c r="AW499" s="270"/>
      <c r="AX499" s="270"/>
      <c r="AY499" s="270"/>
      <c r="AZ499" s="270"/>
      <c r="BA499" s="270"/>
      <c r="BB499" s="270"/>
      <c r="BC499" s="270"/>
      <c r="BD499" s="270"/>
      <c r="BE499" s="270"/>
      <c r="BF499" s="2"/>
      <c r="BG499" s="2"/>
      <c r="BH499" s="2"/>
      <c r="BI499" s="2"/>
      <c r="BJ499" s="2"/>
      <c r="BK499" s="2"/>
    </row>
    <row r="500" spans="1:63" ht="11.25" customHeight="1">
      <c r="A500" s="2"/>
      <c r="B500" s="116"/>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row>
    <row r="501" spans="1:63" ht="11.25" customHeight="1">
      <c r="A501" s="2"/>
      <c r="B501" s="157" t="s">
        <v>536</v>
      </c>
      <c r="C501" s="185"/>
      <c r="D501" s="4"/>
      <c r="E501" s="4"/>
      <c r="F501" s="47"/>
      <c r="G501" s="47"/>
      <c r="H501" s="47"/>
      <c r="I501" s="47"/>
      <c r="J501" s="47"/>
      <c r="K501" s="47"/>
      <c r="L501" s="47"/>
      <c r="M501" s="47"/>
      <c r="N501" s="47"/>
      <c r="O501" s="47"/>
      <c r="P501" s="47"/>
      <c r="Q501" s="47"/>
      <c r="R501" s="47"/>
      <c r="S501" s="47"/>
      <c r="T501" s="47"/>
      <c r="U501" s="47"/>
      <c r="V501" s="47"/>
      <c r="W501" s="47"/>
      <c r="X501" s="47"/>
      <c r="Y501" s="47"/>
      <c r="Z501" s="47"/>
      <c r="AA501" s="47"/>
      <c r="AB501" s="4"/>
      <c r="AC501" s="4"/>
      <c r="AD501" s="4"/>
      <c r="AE501" s="4"/>
      <c r="AF501" s="4"/>
      <c r="AG501" s="4"/>
      <c r="AH501" s="4"/>
      <c r="AI501" s="4"/>
      <c r="AJ501" s="4"/>
      <c r="AK501" s="4"/>
      <c r="AL501" s="4"/>
      <c r="AM501" s="4"/>
      <c r="AN501" s="4"/>
      <c r="AO501" s="4"/>
      <c r="AP501" s="4"/>
      <c r="AQ501" s="4"/>
      <c r="AR501" s="4"/>
      <c r="AS501" s="4"/>
      <c r="AT501" s="4"/>
      <c r="AU501" s="4"/>
      <c r="AV501" s="47"/>
      <c r="AW501" s="47"/>
      <c r="AX501" s="47"/>
      <c r="AY501" s="47"/>
      <c r="BD501" s="47"/>
      <c r="BE501" s="47"/>
      <c r="BF501" s="2"/>
      <c r="BG501" s="2"/>
      <c r="BH501" s="2"/>
      <c r="BI501" s="2"/>
      <c r="BJ501" s="2"/>
      <c r="BK501" s="2"/>
    </row>
    <row r="502" spans="1:63" ht="11.25" customHeight="1">
      <c r="A502" s="2"/>
      <c r="B502" s="167"/>
      <c r="C502" s="4"/>
      <c r="D502" s="4"/>
      <c r="E502" s="4"/>
      <c r="F502" s="47"/>
      <c r="G502" s="47"/>
      <c r="H502" s="47"/>
      <c r="I502" s="47"/>
      <c r="J502" s="47"/>
      <c r="K502" s="47"/>
      <c r="L502" s="47"/>
      <c r="M502" s="47"/>
      <c r="N502" s="47"/>
      <c r="O502" s="47"/>
      <c r="P502" s="47"/>
      <c r="Q502" s="47"/>
      <c r="R502" s="47"/>
      <c r="S502" s="47"/>
      <c r="T502" s="47"/>
      <c r="U502" s="47"/>
      <c r="V502" s="47"/>
      <c r="W502" s="47"/>
      <c r="X502" s="47"/>
      <c r="Y502" s="47"/>
      <c r="Z502" s="47"/>
      <c r="AA502" s="47"/>
      <c r="AB502" s="4"/>
      <c r="AC502" s="4"/>
      <c r="AD502" s="4"/>
      <c r="AE502" s="4"/>
      <c r="AF502" s="4"/>
      <c r="AG502" s="4"/>
      <c r="AH502" s="4"/>
      <c r="AI502" s="4"/>
      <c r="AJ502" s="4"/>
      <c r="AK502" s="4"/>
      <c r="AL502" s="4"/>
      <c r="AM502" s="4"/>
      <c r="AN502" s="4"/>
      <c r="AO502" s="4"/>
      <c r="AP502" s="4"/>
      <c r="AQ502" s="4"/>
      <c r="AR502" s="4"/>
      <c r="AS502" s="4"/>
      <c r="AT502" s="4"/>
      <c r="AU502" s="4"/>
      <c r="AV502" s="47"/>
      <c r="AW502" s="47"/>
      <c r="AX502" s="47"/>
      <c r="AY502" s="47"/>
      <c r="BD502" s="47"/>
      <c r="BE502" s="47"/>
      <c r="BF502" s="2"/>
      <c r="BG502" s="2"/>
      <c r="BH502" s="2"/>
      <c r="BI502" s="2"/>
      <c r="BJ502" s="2"/>
      <c r="BK502" s="2"/>
    </row>
    <row r="503" spans="1:63" s="438" customFormat="1" ht="11.25" customHeight="1">
      <c r="A503" s="55"/>
      <c r="B503" s="128" t="s">
        <v>635</v>
      </c>
      <c r="C503" s="55"/>
      <c r="D503" s="117">
        <f t="shared" ref="D503:AA503" si="1387">D50*4</f>
        <v>514.08873200000016</v>
      </c>
      <c r="E503" s="117">
        <f t="shared" si="1387"/>
        <v>524.77346799999998</v>
      </c>
      <c r="F503" s="117">
        <f t="shared" si="1387"/>
        <v>600.19281600000022</v>
      </c>
      <c r="G503" s="117">
        <f t="shared" si="1387"/>
        <v>628.08022800000026</v>
      </c>
      <c r="H503" s="117">
        <f t="shared" si="1387"/>
        <v>602.15292000000022</v>
      </c>
      <c r="I503" s="117">
        <f t="shared" si="1387"/>
        <v>582.66848800000002</v>
      </c>
      <c r="J503" s="117">
        <f t="shared" si="1387"/>
        <v>684.01351599999987</v>
      </c>
      <c r="K503" s="117">
        <f t="shared" si="1387"/>
        <v>731.08922399999994</v>
      </c>
      <c r="L503" s="117">
        <f t="shared" si="1387"/>
        <v>895.15949200000023</v>
      </c>
      <c r="M503" s="117">
        <f t="shared" si="1387"/>
        <v>1048.4952320000004</v>
      </c>
      <c r="N503" s="117">
        <f t="shared" si="1387"/>
        <v>1241.2989719999994</v>
      </c>
      <c r="O503" s="117">
        <f t="shared" si="1387"/>
        <v>1300.1634720000002</v>
      </c>
      <c r="P503" s="117">
        <f t="shared" si="1387"/>
        <v>924.95189199999982</v>
      </c>
      <c r="Q503" s="117">
        <f t="shared" si="1387"/>
        <v>807.83301599999993</v>
      </c>
      <c r="R503" s="117">
        <f t="shared" si="1387"/>
        <v>912.25903199999982</v>
      </c>
      <c r="S503" s="117">
        <f t="shared" si="1387"/>
        <v>1040.8200599999998</v>
      </c>
      <c r="T503" s="117">
        <f t="shared" si="1387"/>
        <v>996.07280400000025</v>
      </c>
      <c r="U503" s="117">
        <f t="shared" si="1387"/>
        <v>1146.2247079999997</v>
      </c>
      <c r="V503" s="117">
        <f t="shared" ref="V503" si="1388">V50*4</f>
        <v>1443.0640000000001</v>
      </c>
      <c r="W503" s="117">
        <f t="shared" ca="1" si="1387"/>
        <v>1636.1732355255797</v>
      </c>
      <c r="X503" s="117">
        <f t="shared" si="1387"/>
        <v>1453.6025379801235</v>
      </c>
      <c r="Y503" s="117">
        <f t="shared" si="1387"/>
        <v>1468.3962725256606</v>
      </c>
      <c r="Z503" s="117">
        <f t="shared" si="1387"/>
        <v>1656.2910838800353</v>
      </c>
      <c r="AA503" s="117">
        <f t="shared" ca="1" si="1387"/>
        <v>1877.4777296756042</v>
      </c>
      <c r="AB503" s="55"/>
      <c r="AC503" s="117">
        <f t="shared" ref="AC503:BE503" si="1389">AC50</f>
        <v>14.928000000000001</v>
      </c>
      <c r="AD503" s="117">
        <f t="shared" si="1389"/>
        <v>13.807999999999996</v>
      </c>
      <c r="AE503" s="117">
        <f t="shared" si="1389"/>
        <v>24.829999999999991</v>
      </c>
      <c r="AF503" s="117">
        <f t="shared" si="1389"/>
        <v>61.295000000000002</v>
      </c>
      <c r="AG503" s="117">
        <f t="shared" si="1389"/>
        <v>12.778000000000013</v>
      </c>
      <c r="AH503" s="117">
        <f t="shared" si="1389"/>
        <v>31.588999999999988</v>
      </c>
      <c r="AI503" s="117">
        <f t="shared" si="1389"/>
        <v>51.301000000000016</v>
      </c>
      <c r="AJ503" s="117">
        <f t="shared" si="1389"/>
        <v>88.482000000000014</v>
      </c>
      <c r="AK503" s="117">
        <f t="shared" si="1389"/>
        <v>90.968000000000004</v>
      </c>
      <c r="AL503" s="117">
        <f t="shared" si="1389"/>
        <v>127.26499999999997</v>
      </c>
      <c r="AM503" s="117">
        <f t="shared" si="1389"/>
        <v>111.72199999999999</v>
      </c>
      <c r="AN503" s="117">
        <f t="shared" si="1389"/>
        <v>104.43500000000003</v>
      </c>
      <c r="AO503" s="117">
        <f t="shared" si="1389"/>
        <v>91.962000000000018</v>
      </c>
      <c r="AP503" s="117">
        <f t="shared" si="1389"/>
        <v>159.17500000000001</v>
      </c>
      <c r="AQ503" s="117">
        <f t="shared" si="1389"/>
        <v>141.55700000000002</v>
      </c>
      <c r="AR503" s="117">
        <f t="shared" si="1389"/>
        <v>181.17699999999999</v>
      </c>
      <c r="AS503" s="117">
        <f t="shared" si="1389"/>
        <v>209.42899999999997</v>
      </c>
      <c r="AT503" s="117">
        <f t="shared" si="1389"/>
        <v>295.87000000000006</v>
      </c>
      <c r="AU503" s="117">
        <f t="shared" si="1389"/>
        <v>320.048</v>
      </c>
      <c r="AV503" s="117">
        <f t="shared" si="1389"/>
        <v>377.95799999999997</v>
      </c>
      <c r="AW503" s="117">
        <f t="shared" si="1389"/>
        <v>385.55899999999991</v>
      </c>
      <c r="AX503" s="117">
        <f t="shared" si="1389"/>
        <v>383.62355700000001</v>
      </c>
      <c r="AY503" s="117">
        <f t="shared" si="1389"/>
        <v>372.70144800000014</v>
      </c>
      <c r="AZ503" s="117">
        <f t="shared" si="1389"/>
        <v>566.78381100000001</v>
      </c>
      <c r="BA503" s="117">
        <f t="shared" si="1389"/>
        <v>649.98103699999967</v>
      </c>
      <c r="BB503" s="117">
        <f t="shared" si="1389"/>
        <v>1121.2792920000002</v>
      </c>
      <c r="BC503" s="117">
        <f t="shared" si="1389"/>
        <v>921.46599999999989</v>
      </c>
      <c r="BD503" s="117">
        <f t="shared" ca="1" si="1389"/>
        <v>1305.3836868813955</v>
      </c>
      <c r="BE503" s="117">
        <f t="shared" ca="1" si="1389"/>
        <v>1613.9419060153559</v>
      </c>
      <c r="BF503" s="55"/>
      <c r="BG503" s="437"/>
      <c r="BH503" s="437"/>
      <c r="BI503" s="437"/>
      <c r="BJ503" s="437"/>
      <c r="BK503" s="437"/>
    </row>
    <row r="504" spans="1:63" s="159" customFormat="1" ht="11.25" customHeight="1">
      <c r="A504" s="52"/>
      <c r="B504" s="35" t="s">
        <v>249</v>
      </c>
      <c r="C504" s="52"/>
      <c r="D504" s="134"/>
      <c r="E504" s="134"/>
      <c r="F504" s="134"/>
      <c r="G504" s="134"/>
      <c r="H504" s="120">
        <f t="shared" ref="H504:AA504" si="1390">H51</f>
        <v>0.1713015332146981</v>
      </c>
      <c r="I504" s="120">
        <f t="shared" si="1390"/>
        <v>0.11032383214922747</v>
      </c>
      <c r="J504" s="120">
        <f t="shared" si="1390"/>
        <v>0.13965628672236496</v>
      </c>
      <c r="K504" s="120">
        <f t="shared" si="1390"/>
        <v>0.16400611165234702</v>
      </c>
      <c r="L504" s="120">
        <f t="shared" si="1390"/>
        <v>0.48659827473725437</v>
      </c>
      <c r="M504" s="120">
        <f t="shared" si="1390"/>
        <v>0.79947131789972548</v>
      </c>
      <c r="N504" s="120">
        <f t="shared" si="1390"/>
        <v>0.814728719483373</v>
      </c>
      <c r="O504" s="120">
        <f t="shared" si="1390"/>
        <v>0.77839233477745839</v>
      </c>
      <c r="P504" s="120">
        <f t="shared" si="1390"/>
        <v>3.3281666860769388E-2</v>
      </c>
      <c r="Q504" s="120">
        <f t="shared" si="1390"/>
        <v>-0.22953105427188092</v>
      </c>
      <c r="R504" s="120">
        <f t="shared" si="1390"/>
        <v>-0.26507710666177831</v>
      </c>
      <c r="S504" s="120">
        <f t="shared" si="1390"/>
        <v>-0.19946984943444124</v>
      </c>
      <c r="T504" s="120">
        <f t="shared" si="1390"/>
        <v>7.6891471453955917E-2</v>
      </c>
      <c r="U504" s="120">
        <f t="shared" si="1390"/>
        <v>0.41888816784878702</v>
      </c>
      <c r="V504" s="120">
        <f t="shared" ref="V504" si="1391">V51</f>
        <v>0.58185772832118188</v>
      </c>
      <c r="W504" s="120">
        <f t="shared" ca="1" si="1390"/>
        <v>0.57200394035985425</v>
      </c>
      <c r="X504" s="120">
        <f t="shared" si="1390"/>
        <v>0.45933362716338477</v>
      </c>
      <c r="Y504" s="120">
        <f t="shared" si="1390"/>
        <v>0.28107190699789109</v>
      </c>
      <c r="Z504" s="120">
        <f t="shared" si="1390"/>
        <v>0.1477599634389295</v>
      </c>
      <c r="AA504" s="120">
        <f t="shared" ca="1" si="1390"/>
        <v>0.14748101784742351</v>
      </c>
      <c r="AB504" s="52"/>
      <c r="AC504" s="52"/>
      <c r="AD504" s="120">
        <f t="shared" ref="AD504:BE504" si="1392">AD51</f>
        <v>-7.5026795284030334E-2</v>
      </c>
      <c r="AE504" s="120">
        <f t="shared" si="1392"/>
        <v>0.79823290845886419</v>
      </c>
      <c r="AF504" s="120">
        <f t="shared" si="1392"/>
        <v>1.4685863874345557</v>
      </c>
      <c r="AG504" s="120">
        <f t="shared" si="1392"/>
        <v>-0.79153275144791557</v>
      </c>
      <c r="AH504" s="120">
        <f t="shared" si="1392"/>
        <v>1.4721396149632144</v>
      </c>
      <c r="AI504" s="120">
        <f t="shared" si="1392"/>
        <v>0.62401468865744514</v>
      </c>
      <c r="AJ504" s="120">
        <f t="shared" si="1392"/>
        <v>0.72476170055164579</v>
      </c>
      <c r="AK504" s="120">
        <f t="shared" si="1392"/>
        <v>2.8096109943265279E-2</v>
      </c>
      <c r="AL504" s="120">
        <f t="shared" si="1392"/>
        <v>0.39900844252924061</v>
      </c>
      <c r="AM504" s="120">
        <f t="shared" si="1392"/>
        <v>-0.12213098652418164</v>
      </c>
      <c r="AN504" s="120">
        <f t="shared" si="1392"/>
        <v>-6.522439626931098E-2</v>
      </c>
      <c r="AO504" s="120">
        <f t="shared" si="1392"/>
        <v>-0.11943314023076568</v>
      </c>
      <c r="AP504" s="120">
        <f t="shared" si="1392"/>
        <v>0.73087797133598631</v>
      </c>
      <c r="AQ504" s="120">
        <f t="shared" si="1392"/>
        <v>-0.11068321030312545</v>
      </c>
      <c r="AR504" s="120">
        <f t="shared" si="1392"/>
        <v>0.27988725389772307</v>
      </c>
      <c r="AS504" s="120">
        <f t="shared" si="1392"/>
        <v>0.15593590797948953</v>
      </c>
      <c r="AT504" s="120">
        <f t="shared" si="1392"/>
        <v>0.41274608578563665</v>
      </c>
      <c r="AU504" s="120">
        <f t="shared" si="1392"/>
        <v>8.171832223611708E-2</v>
      </c>
      <c r="AV504" s="120">
        <f t="shared" si="1392"/>
        <v>0.18094160875868615</v>
      </c>
      <c r="AW504" s="120">
        <f t="shared" si="1392"/>
        <v>2.0110700130702153E-2</v>
      </c>
      <c r="AX504" s="120">
        <f t="shared" si="1392"/>
        <v>-5.0198361340285658E-3</v>
      </c>
      <c r="AY504" s="120">
        <f t="shared" si="1392"/>
        <v>-2.8470902791821628E-2</v>
      </c>
      <c r="AZ504" s="120">
        <f t="shared" si="1392"/>
        <v>0.52074485903258361</v>
      </c>
      <c r="BA504" s="120">
        <f t="shared" si="1392"/>
        <v>0.14678828926537513</v>
      </c>
      <c r="BB504" s="120">
        <f t="shared" si="1392"/>
        <v>0.72509539228296083</v>
      </c>
      <c r="BC504" s="120">
        <f t="shared" si="1392"/>
        <v>-0.17820117915813627</v>
      </c>
      <c r="BD504" s="120">
        <f t="shared" ca="1" si="1392"/>
        <v>0.41663793008249428</v>
      </c>
      <c r="BE504" s="120">
        <f t="shared" ca="1" si="1392"/>
        <v>0.23637358290505084</v>
      </c>
      <c r="BF504" s="52"/>
      <c r="BG504" s="52"/>
      <c r="BH504" s="52"/>
      <c r="BI504" s="52"/>
      <c r="BJ504" s="52"/>
      <c r="BK504" s="52"/>
    </row>
    <row r="505" spans="1:63" s="54" customFormat="1" ht="11.25" customHeight="1">
      <c r="A505" s="18"/>
      <c r="B505" s="35" t="s">
        <v>17</v>
      </c>
      <c r="C505" s="18"/>
      <c r="D505" s="120">
        <f>D52</f>
        <v>0.41379056229238248</v>
      </c>
      <c r="E505" s="120">
        <f>E52</f>
        <v>0.42211729831900952</v>
      </c>
      <c r="F505" s="120">
        <f>F52</f>
        <v>0.42097972123284189</v>
      </c>
      <c r="G505" s="120">
        <f>G52</f>
        <v>0.43443745379382948</v>
      </c>
      <c r="H505" s="120">
        <f t="shared" ref="H505:AA505" si="1393">H52</f>
        <v>0.41538074132178893</v>
      </c>
      <c r="I505" s="120">
        <f t="shared" si="1393"/>
        <v>0.39142558477496314</v>
      </c>
      <c r="J505" s="120">
        <f t="shared" si="1393"/>
        <v>0.4123838780391883</v>
      </c>
      <c r="K505" s="120">
        <f t="shared" si="1393"/>
        <v>0.41710809345949668</v>
      </c>
      <c r="L505" s="120">
        <f t="shared" si="1393"/>
        <v>0.45571343514162022</v>
      </c>
      <c r="M505" s="120">
        <f t="shared" si="1393"/>
        <v>0.4907391535604223</v>
      </c>
      <c r="N505" s="120">
        <f t="shared" si="1393"/>
        <v>0.50612152968105817</v>
      </c>
      <c r="O505" s="120">
        <f t="shared" si="1393"/>
        <v>0.51962319528059608</v>
      </c>
      <c r="P505" s="120">
        <f t="shared" si="1393"/>
        <v>0.45462639127801879</v>
      </c>
      <c r="Q505" s="120">
        <f t="shared" si="1393"/>
        <v>0.4200102472904706</v>
      </c>
      <c r="R505" s="120">
        <f t="shared" si="1393"/>
        <v>0.41714119862559973</v>
      </c>
      <c r="S505" s="120">
        <f t="shared" si="1393"/>
        <v>0.41597593198774313</v>
      </c>
      <c r="T505" s="120">
        <f t="shared" si="1393"/>
        <v>0.42018162091153244</v>
      </c>
      <c r="U505" s="120">
        <f t="shared" si="1393"/>
        <v>0.42546673648852673</v>
      </c>
      <c r="V505" s="120">
        <f t="shared" ref="V505" si="1394">V52</f>
        <v>0.47488455847896255</v>
      </c>
      <c r="W505" s="120">
        <f t="shared" ca="1" si="1393"/>
        <v>0.47499999999999998</v>
      </c>
      <c r="X505" s="120">
        <f t="shared" si="1393"/>
        <v>0.4542112362312718</v>
      </c>
      <c r="Y505" s="120">
        <f t="shared" si="1393"/>
        <v>0.4542112362312718</v>
      </c>
      <c r="Z505" s="120">
        <f t="shared" si="1393"/>
        <v>0.45421123623127185</v>
      </c>
      <c r="AA505" s="120">
        <f t="shared" ca="1" si="1393"/>
        <v>0.45421123623127174</v>
      </c>
      <c r="AB505" s="18"/>
      <c r="AC505" s="120">
        <f>AC52</f>
        <v>0.33983654699842925</v>
      </c>
      <c r="AD505" s="120">
        <f t="shared" ref="AD505:BE505" si="1395">AD52</f>
        <v>0.2738487168299551</v>
      </c>
      <c r="AE505" s="120">
        <f t="shared" si="1395"/>
        <v>0.33982509203881361</v>
      </c>
      <c r="AF505" s="120">
        <f t="shared" si="1395"/>
        <v>0.36880708552449487</v>
      </c>
      <c r="AG505" s="120">
        <f t="shared" si="1395"/>
        <v>0.10150534217738422</v>
      </c>
      <c r="AH505" s="120">
        <f t="shared" si="1395"/>
        <v>0.19463219573508475</v>
      </c>
      <c r="AI505" s="120">
        <f t="shared" si="1395"/>
        <v>0.25271802046335667</v>
      </c>
      <c r="AJ505" s="120">
        <f t="shared" si="1395"/>
        <v>0.34400283033905754</v>
      </c>
      <c r="AK505" s="120">
        <f t="shared" si="1395"/>
        <v>0.34126010541518953</v>
      </c>
      <c r="AL505" s="120">
        <f t="shared" si="1395"/>
        <v>0.40095208990349923</v>
      </c>
      <c r="AM505" s="120">
        <f t="shared" si="1395"/>
        <v>0.34628521836159065</v>
      </c>
      <c r="AN505" s="120">
        <f t="shared" si="1395"/>
        <v>0.31346988515959401</v>
      </c>
      <c r="AO505" s="120">
        <f t="shared" si="1395"/>
        <v>0.31095346619688785</v>
      </c>
      <c r="AP505" s="120">
        <f t="shared" si="1395"/>
        <v>0.37940544122344105</v>
      </c>
      <c r="AQ505" s="120">
        <f t="shared" si="1395"/>
        <v>0.33145234744697144</v>
      </c>
      <c r="AR505" s="120">
        <f t="shared" si="1395"/>
        <v>0.35753090805040011</v>
      </c>
      <c r="AS505" s="120">
        <f t="shared" si="1395"/>
        <v>0.35078824301870609</v>
      </c>
      <c r="AT505" s="120">
        <f t="shared" si="1395"/>
        <v>0.38787057259644003</v>
      </c>
      <c r="AU505" s="120">
        <f t="shared" si="1395"/>
        <v>0.37942992091258182</v>
      </c>
      <c r="AV505" s="120">
        <f t="shared" si="1395"/>
        <v>0.39871594977730607</v>
      </c>
      <c r="AW505" s="120">
        <f t="shared" si="1395"/>
        <v>0.39445514692868255</v>
      </c>
      <c r="AX505" s="120">
        <f t="shared" si="1395"/>
        <v>0.37191797540186483</v>
      </c>
      <c r="AY505" s="120">
        <f t="shared" si="1395"/>
        <v>0.34832384748469969</v>
      </c>
      <c r="AZ505" s="120">
        <f t="shared" si="1395"/>
        <v>0.42320834418118808</v>
      </c>
      <c r="BA505" s="120">
        <f t="shared" si="1395"/>
        <v>0.40945878793511753</v>
      </c>
      <c r="BB505" s="120">
        <f t="shared" si="1395"/>
        <v>0.49528848666996861</v>
      </c>
      <c r="BC505" s="120">
        <f t="shared" si="1395"/>
        <v>0.42626204124833</v>
      </c>
      <c r="BD505" s="120">
        <f t="shared" ca="1" si="1395"/>
        <v>0.45216076352949336</v>
      </c>
      <c r="BE505" s="120">
        <f t="shared" ca="1" si="1395"/>
        <v>0.45421123623127174</v>
      </c>
      <c r="BF505" s="18"/>
      <c r="BG505" s="18"/>
      <c r="BH505" s="18"/>
      <c r="BI505" s="18"/>
      <c r="BJ505" s="18"/>
      <c r="BK505" s="18"/>
    </row>
    <row r="506" spans="1:63" s="54" customFormat="1" ht="11.25" customHeight="1">
      <c r="A506" s="18"/>
      <c r="B506" s="35" t="s">
        <v>100</v>
      </c>
      <c r="C506" s="18"/>
      <c r="D506" s="120"/>
      <c r="E506" s="120"/>
      <c r="F506" s="120"/>
      <c r="G506" s="120"/>
      <c r="H506" s="120">
        <f t="shared" ref="H506:AA506" si="1396">H53</f>
        <v>0.42491318837126096</v>
      </c>
      <c r="I506" s="120">
        <f t="shared" si="1396"/>
        <v>0.23593350618137837</v>
      </c>
      <c r="J506" s="120">
        <f t="shared" si="1396"/>
        <v>0.35978147170940161</v>
      </c>
      <c r="K506" s="120">
        <f t="shared" si="1396"/>
        <v>0.33550687189000011</v>
      </c>
      <c r="L506" s="120">
        <f t="shared" si="1396"/>
        <v>0.56931781703372053</v>
      </c>
      <c r="M506" s="120">
        <f t="shared" si="1396"/>
        <v>0.71888757580865481</v>
      </c>
      <c r="N506" s="120">
        <f t="shared" si="1396"/>
        <v>0.70196858238661342</v>
      </c>
      <c r="O506" s="120">
        <f t="shared" si="1396"/>
        <v>0.75940331167244324</v>
      </c>
      <c r="P506" s="120">
        <f t="shared" si="1396"/>
        <v>0.42422154000375489</v>
      </c>
      <c r="Q506" s="120" t="str">
        <f t="shared" si="1396"/>
        <v>n/m</v>
      </c>
      <c r="R506" s="120" t="str">
        <f t="shared" si="1396"/>
        <v>n/m</v>
      </c>
      <c r="S506" s="120" t="str">
        <f t="shared" si="1396"/>
        <v>n/m</v>
      </c>
      <c r="T506" s="120">
        <f t="shared" si="1396"/>
        <v>0.2116410915931391</v>
      </c>
      <c r="U506" s="120">
        <f t="shared" si="1396"/>
        <v>0.43908442359435412</v>
      </c>
      <c r="V506" s="120">
        <f t="shared" ref="V506" si="1397">V53</f>
        <v>0.62312976301822132</v>
      </c>
      <c r="W506" s="120">
        <f t="shared" ca="1" si="1396"/>
        <v>0.63170182091727956</v>
      </c>
      <c r="X506" s="120">
        <f t="shared" si="1396"/>
        <v>0.55143870857338417</v>
      </c>
      <c r="Y506" s="120">
        <f t="shared" si="1396"/>
        <v>0.59793373494499713</v>
      </c>
      <c r="Z506" s="120">
        <f t="shared" si="1396"/>
        <v>0.35084462499281821</v>
      </c>
      <c r="AA506" s="120">
        <f t="shared" ca="1" si="1396"/>
        <v>0.35026741738763056</v>
      </c>
      <c r="AB506" s="18"/>
      <c r="AC506" s="120"/>
      <c r="AD506" s="120">
        <f t="shared" ref="AD506:BE506" si="1398">AD53</f>
        <v>-0.17244033872209469</v>
      </c>
      <c r="AE506" s="120">
        <f t="shared" si="1398"/>
        <v>0.48672996246411998</v>
      </c>
      <c r="AF506" s="120">
        <f t="shared" si="1398"/>
        <v>0.39154524272261659</v>
      </c>
      <c r="AG506" s="120" t="str">
        <f t="shared" si="1398"/>
        <v>n/m</v>
      </c>
      <c r="AH506" s="120">
        <f t="shared" si="1398"/>
        <v>0.51655865553602764</v>
      </c>
      <c r="AI506" s="120">
        <f t="shared" si="1398"/>
        <v>0.48437192844505639</v>
      </c>
      <c r="AJ506" s="120">
        <f t="shared" si="1398"/>
        <v>0.68579386159067424</v>
      </c>
      <c r="AK506" s="120">
        <f t="shared" si="1398"/>
        <v>0.26582549187339571</v>
      </c>
      <c r="AL506" s="120">
        <f t="shared" si="1398"/>
        <v>0.71391762715864793</v>
      </c>
      <c r="AM506" s="120">
        <f t="shared" si="1398"/>
        <v>-2.9758759333716136</v>
      </c>
      <c r="AN506" s="120">
        <f t="shared" si="1398"/>
        <v>-0.69215425531914421</v>
      </c>
      <c r="AO506" s="120" t="str">
        <f t="shared" si="1398"/>
        <v>n/m</v>
      </c>
      <c r="AP506" s="120">
        <f t="shared" si="1398"/>
        <v>0.54293353581698922</v>
      </c>
      <c r="AQ506" s="120">
        <f t="shared" si="1398"/>
        <v>-2.3356754606920296</v>
      </c>
      <c r="AR506" s="120">
        <f t="shared" si="1398"/>
        <v>0.49733882305683852</v>
      </c>
      <c r="AS506" s="120">
        <f t="shared" si="1398"/>
        <v>0.31294099402961911</v>
      </c>
      <c r="AT506" s="120">
        <f t="shared" si="1398"/>
        <v>0.52141366372706366</v>
      </c>
      <c r="AU506" s="120">
        <f t="shared" si="1398"/>
        <v>0.29963688639377334</v>
      </c>
      <c r="AV506" s="120">
        <f t="shared" si="1398"/>
        <v>0.55447573271033357</v>
      </c>
      <c r="AW506" s="120">
        <f t="shared" si="1398"/>
        <v>0.25758243247822588</v>
      </c>
      <c r="AX506" s="120">
        <f t="shared" si="1398"/>
        <v>-3.5823918966368745E-2</v>
      </c>
      <c r="AY506" s="120">
        <f t="shared" si="1398"/>
        <v>-0.28360354987502001</v>
      </c>
      <c r="AZ506" s="120">
        <f t="shared" si="1398"/>
        <v>0.72077402656461875</v>
      </c>
      <c r="BA506" s="120">
        <f t="shared" si="1398"/>
        <v>0.33525608571939225</v>
      </c>
      <c r="BB506" s="120">
        <f t="shared" si="1398"/>
        <v>0.696695932069338</v>
      </c>
      <c r="BC506" s="120" t="str">
        <f t="shared" si="1398"/>
        <v>n/m</v>
      </c>
      <c r="BD506" s="120">
        <f t="shared" ca="1" si="1398"/>
        <v>0.5293560439935</v>
      </c>
      <c r="BE506" s="120">
        <f t="shared" ca="1" si="1398"/>
        <v>0.46309573562293882</v>
      </c>
      <c r="BF506" s="18"/>
      <c r="BG506" s="18"/>
      <c r="BH506" s="18"/>
      <c r="BI506" s="18"/>
      <c r="BJ506" s="18"/>
      <c r="BK506" s="18"/>
    </row>
    <row r="507" spans="1:63" s="54" customFormat="1" ht="11.25" customHeight="1">
      <c r="A507" s="18"/>
      <c r="B507" s="36"/>
      <c r="C507" s="18"/>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Z507" s="120"/>
      <c r="AA507" s="120"/>
      <c r="AB507" s="18"/>
      <c r="AC507" s="120"/>
      <c r="AD507" s="120"/>
      <c r="AE507" s="120"/>
      <c r="AF507" s="120"/>
      <c r="AG507" s="120"/>
      <c r="AH507" s="120"/>
      <c r="AI507" s="120"/>
      <c r="AJ507" s="120"/>
      <c r="AK507" s="120"/>
      <c r="AL507" s="120"/>
      <c r="AM507" s="120"/>
      <c r="AN507" s="120"/>
      <c r="AO507" s="120"/>
      <c r="AP507" s="120"/>
      <c r="AQ507" s="120"/>
      <c r="AR507" s="120"/>
      <c r="AS507" s="120"/>
      <c r="AT507" s="120"/>
      <c r="AU507" s="120"/>
      <c r="AV507" s="120"/>
      <c r="AW507" s="120"/>
      <c r="AX507" s="120"/>
      <c r="AY507" s="120"/>
      <c r="AZ507" s="120"/>
      <c r="BA507" s="120"/>
      <c r="BB507" s="120"/>
      <c r="BC507" s="120"/>
      <c r="BD507" s="120"/>
      <c r="BE507" s="120"/>
      <c r="BF507" s="18"/>
      <c r="BG507" s="18"/>
      <c r="BH507" s="18"/>
      <c r="BI507" s="18"/>
      <c r="BJ507" s="18"/>
      <c r="BK507" s="18"/>
    </row>
    <row r="508" spans="1:63" s="54" customFormat="1" ht="11.25" customHeight="1">
      <c r="A508" s="18"/>
      <c r="B508" s="263" t="s">
        <v>537</v>
      </c>
      <c r="C508" s="18"/>
      <c r="D508" s="56"/>
      <c r="E508" s="56"/>
      <c r="F508" s="56"/>
      <c r="G508" s="56"/>
      <c r="H508" s="56"/>
      <c r="I508" s="56"/>
      <c r="J508" s="56"/>
      <c r="K508" s="56"/>
      <c r="L508" s="56"/>
      <c r="M508" s="56"/>
      <c r="N508" s="56"/>
      <c r="O508" s="56"/>
      <c r="P508" s="56"/>
      <c r="Q508" s="56"/>
      <c r="R508" s="56"/>
      <c r="S508" s="56"/>
      <c r="T508" s="56"/>
      <c r="U508" s="56"/>
      <c r="V508" s="56"/>
      <c r="W508" s="56"/>
      <c r="X508" s="56"/>
      <c r="Y508" s="56"/>
      <c r="Z508" s="56"/>
      <c r="AA508" s="56"/>
      <c r="AB508" s="18"/>
      <c r="AC508" s="56"/>
      <c r="AD508" s="56"/>
      <c r="AE508" s="56"/>
      <c r="AF508" s="56"/>
      <c r="AG508" s="56"/>
      <c r="AH508" s="56"/>
      <c r="AI508" s="56"/>
      <c r="AJ508" s="56"/>
      <c r="AK508" s="56"/>
      <c r="AL508" s="56"/>
      <c r="AM508" s="56"/>
      <c r="AN508" s="56"/>
      <c r="AO508" s="56"/>
      <c r="AP508" s="56"/>
      <c r="AQ508" s="56"/>
      <c r="AR508" s="56"/>
      <c r="AS508" s="56"/>
      <c r="AT508" s="56"/>
      <c r="AU508" s="56"/>
      <c r="AV508" s="56"/>
      <c r="AW508" s="56"/>
      <c r="AX508" s="56"/>
      <c r="AY508" s="56"/>
      <c r="AZ508" s="56"/>
      <c r="BA508" s="56"/>
      <c r="BB508" s="56"/>
      <c r="BC508" s="56"/>
      <c r="BD508" s="56"/>
      <c r="BE508" s="56"/>
      <c r="BF508" s="18"/>
      <c r="BG508" s="86"/>
      <c r="BH508" s="86"/>
      <c r="BI508" s="86"/>
      <c r="BJ508" s="86"/>
      <c r="BK508" s="86"/>
    </row>
    <row r="509" spans="1:63" s="54" customFormat="1" ht="11.25" customHeight="1">
      <c r="A509" s="18"/>
      <c r="B509" s="25" t="s">
        <v>547</v>
      </c>
      <c r="C509" s="18"/>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c r="AB509" s="18"/>
      <c r="AC509" s="56"/>
      <c r="AD509" s="56"/>
      <c r="AE509" s="56"/>
      <c r="AF509" s="56"/>
      <c r="AG509" s="56"/>
      <c r="AH509" s="56"/>
      <c r="AI509" s="56"/>
      <c r="AJ509" s="56"/>
      <c r="AK509" s="56"/>
      <c r="AL509" s="56"/>
      <c r="AM509" s="56"/>
      <c r="AN509" s="56"/>
      <c r="AO509" s="56"/>
      <c r="AP509" s="56"/>
      <c r="AQ509" s="56"/>
      <c r="AR509" s="56"/>
      <c r="AS509" s="56"/>
      <c r="AT509" s="56"/>
      <c r="AU509" s="56"/>
      <c r="AV509" s="56"/>
      <c r="AW509" s="56"/>
      <c r="AX509" s="56"/>
      <c r="AY509" s="56"/>
      <c r="AZ509" s="56"/>
      <c r="BA509" s="56"/>
      <c r="BB509" s="56"/>
      <c r="BC509" s="56"/>
      <c r="BD509" s="56"/>
      <c r="BE509" s="56"/>
      <c r="BF509" s="18"/>
      <c r="BG509" s="86"/>
      <c r="BH509" s="86"/>
      <c r="BI509" s="86"/>
      <c r="BJ509" s="86"/>
      <c r="BK509" s="86"/>
    </row>
    <row r="510" spans="1:63" s="54" customFormat="1" ht="11.25" customHeight="1">
      <c r="A510" s="18"/>
      <c r="B510" s="2" t="s">
        <v>540</v>
      </c>
      <c r="C510" s="18"/>
      <c r="D510" s="56">
        <f t="shared" ref="D510:U510" si="1399">D397</f>
        <v>146.42099999999999</v>
      </c>
      <c r="E510" s="56">
        <f t="shared" si="1399"/>
        <v>149.6</v>
      </c>
      <c r="F510" s="56">
        <f t="shared" si="1399"/>
        <v>162.578</v>
      </c>
      <c r="G510" s="56">
        <f t="shared" si="1399"/>
        <v>146.03800000000001</v>
      </c>
      <c r="H510" s="56">
        <f t="shared" si="1399"/>
        <v>167.47900000000001</v>
      </c>
      <c r="I510" s="56">
        <f t="shared" si="1399"/>
        <v>178.26</v>
      </c>
      <c r="J510" s="56">
        <f t="shared" si="1399"/>
        <v>187.16800000000001</v>
      </c>
      <c r="K510" s="56">
        <f t="shared" si="1399"/>
        <v>198.30199999999999</v>
      </c>
      <c r="L510" s="56">
        <f t="shared" si="1399"/>
        <v>213.428</v>
      </c>
      <c r="M510" s="56">
        <f t="shared" si="1399"/>
        <v>222.06899999999999</v>
      </c>
      <c r="N510" s="56">
        <f t="shared" si="1399"/>
        <v>261.53800000000001</v>
      </c>
      <c r="O510" s="56">
        <f t="shared" si="1399"/>
        <v>231.34</v>
      </c>
      <c r="P510" s="56">
        <f t="shared" si="1399"/>
        <v>148.047</v>
      </c>
      <c r="Q510" s="56">
        <f t="shared" si="1399"/>
        <v>191.02699999999999</v>
      </c>
      <c r="R510" s="56">
        <f t="shared" si="1399"/>
        <v>222.82400000000001</v>
      </c>
      <c r="S510" s="56">
        <f t="shared" si="1399"/>
        <v>201.93799999999999</v>
      </c>
      <c r="T510" s="56">
        <f t="shared" si="1399"/>
        <v>201.98</v>
      </c>
      <c r="U510" s="56">
        <f t="shared" si="1399"/>
        <v>210.21</v>
      </c>
      <c r="V510" s="56">
        <f t="shared" ref="V510" si="1400">V397</f>
        <v>249.97399999999999</v>
      </c>
      <c r="W510" s="56">
        <f ca="1">W450</f>
        <v>283.3563632417177</v>
      </c>
      <c r="X510" s="56">
        <f t="shared" ref="X510:AA510" si="1401">X450</f>
        <v>269.11035692236874</v>
      </c>
      <c r="Y510" s="56">
        <f t="shared" si="1401"/>
        <v>268.86181753339736</v>
      </c>
      <c r="Z510" s="56">
        <f t="shared" si="1401"/>
        <v>299.96879999999999</v>
      </c>
      <c r="AA510" s="56">
        <f t="shared" ca="1" si="1401"/>
        <v>340.02763589006122</v>
      </c>
      <c r="AB510" s="18"/>
      <c r="AC510" s="56">
        <f t="shared" ref="AC510:BB510" si="1402">AC397</f>
        <v>9.3019999999999996</v>
      </c>
      <c r="AD510" s="56">
        <f t="shared" si="1402"/>
        <v>7.4509999999999996</v>
      </c>
      <c r="AE510" s="56">
        <f t="shared" si="1402"/>
        <v>12.621</v>
      </c>
      <c r="AF510" s="56">
        <f t="shared" si="1402"/>
        <v>28.004000000000001</v>
      </c>
      <c r="AG510" s="56">
        <f t="shared" si="1402"/>
        <v>16.946999999999999</v>
      </c>
      <c r="AH510" s="56">
        <f t="shared" si="1402"/>
        <v>16.725000000000001</v>
      </c>
      <c r="AI510" s="56">
        <f t="shared" si="1402"/>
        <v>26.401</v>
      </c>
      <c r="AJ510" s="56">
        <f t="shared" si="1402"/>
        <v>27.544</v>
      </c>
      <c r="AK510" s="56">
        <f t="shared" si="1402"/>
        <v>38.478000000000002</v>
      </c>
      <c r="AL510" s="56">
        <f t="shared" si="1402"/>
        <v>31.588999999999999</v>
      </c>
      <c r="AM510" s="56">
        <f t="shared" si="1402"/>
        <v>42.423999999999999</v>
      </c>
      <c r="AN510" s="56">
        <f t="shared" si="1402"/>
        <v>18.497</v>
      </c>
      <c r="AO510" s="56">
        <f t="shared" si="1402"/>
        <v>35.381999999999998</v>
      </c>
      <c r="AP510" s="56">
        <f t="shared" si="1402"/>
        <v>42.981999999999999</v>
      </c>
      <c r="AQ510" s="56">
        <f t="shared" si="1402"/>
        <v>40.948</v>
      </c>
      <c r="AR510" s="56">
        <f t="shared" si="1402"/>
        <v>58.131</v>
      </c>
      <c r="AS510" s="56">
        <f t="shared" si="1402"/>
        <v>71.941999999999993</v>
      </c>
      <c r="AT510" s="56">
        <f t="shared" si="1402"/>
        <v>115.048</v>
      </c>
      <c r="AU510" s="56">
        <f t="shared" si="1402"/>
        <v>85.564999999999998</v>
      </c>
      <c r="AV510" s="56">
        <f t="shared" si="1402"/>
        <v>129.30500000000001</v>
      </c>
      <c r="AW510" s="56">
        <f t="shared" si="1402"/>
        <v>122.31699999999999</v>
      </c>
      <c r="AX510" s="56">
        <f t="shared" si="1402"/>
        <v>129.19800000000001</v>
      </c>
      <c r="AY510" s="56">
        <f t="shared" si="1402"/>
        <v>139.77099999999999</v>
      </c>
      <c r="AZ510" s="56">
        <f t="shared" si="1402"/>
        <v>146.03800000000001</v>
      </c>
      <c r="BA510" s="56">
        <f t="shared" si="1402"/>
        <v>198.30199999999999</v>
      </c>
      <c r="BB510" s="56">
        <f t="shared" si="1402"/>
        <v>231.34</v>
      </c>
      <c r="BC510" s="56">
        <f>BC397</f>
        <v>201.93799999999999</v>
      </c>
      <c r="BD510" s="56">
        <f ca="1">BD450</f>
        <v>283.3563632417177</v>
      </c>
      <c r="BE510" s="56">
        <f ca="1">BE450</f>
        <v>340.02763589006122</v>
      </c>
      <c r="BF510" s="18"/>
      <c r="BG510" s="86"/>
      <c r="BH510" s="86"/>
      <c r="BI510" s="86"/>
      <c r="BJ510" s="86"/>
      <c r="BK510" s="86"/>
    </row>
    <row r="511" spans="1:63" s="54" customFormat="1" ht="11.25" customHeight="1">
      <c r="A511" s="18"/>
      <c r="B511" s="2" t="s">
        <v>541</v>
      </c>
      <c r="C511" s="18"/>
      <c r="D511" s="56">
        <f t="shared" ref="D511:U511" si="1403">D398</f>
        <v>78.278000000000006</v>
      </c>
      <c r="E511" s="56">
        <f t="shared" si="1403"/>
        <v>85.787999999999997</v>
      </c>
      <c r="F511" s="56">
        <f t="shared" si="1403"/>
        <v>109.51</v>
      </c>
      <c r="G511" s="56">
        <f t="shared" si="1403"/>
        <v>137.35300000000001</v>
      </c>
      <c r="H511" s="56">
        <f t="shared" si="1403"/>
        <v>154.56800000000001</v>
      </c>
      <c r="I511" s="56">
        <f t="shared" si="1403"/>
        <v>170.43899999999999</v>
      </c>
      <c r="J511" s="56">
        <f t="shared" si="1403"/>
        <v>182.23400000000001</v>
      </c>
      <c r="K511" s="56">
        <f t="shared" si="1403"/>
        <v>193.102</v>
      </c>
      <c r="L511" s="56">
        <f t="shared" si="1403"/>
        <v>200.119</v>
      </c>
      <c r="M511" s="56">
        <f t="shared" si="1403"/>
        <v>217.43799999999999</v>
      </c>
      <c r="N511" s="56">
        <f t="shared" si="1403"/>
        <v>218.33600000000001</v>
      </c>
      <c r="O511" s="56">
        <f t="shared" si="1403"/>
        <v>221.149</v>
      </c>
      <c r="P511" s="56">
        <f t="shared" si="1403"/>
        <v>216.06800000000001</v>
      </c>
      <c r="Q511" s="56">
        <f t="shared" si="1403"/>
        <v>234.333</v>
      </c>
      <c r="R511" s="56">
        <f t="shared" si="1403"/>
        <v>262.08999999999997</v>
      </c>
      <c r="S511" s="56">
        <f t="shared" si="1403"/>
        <v>250.99700000000001</v>
      </c>
      <c r="T511" s="56">
        <f t="shared" si="1403"/>
        <v>267.12299999999999</v>
      </c>
      <c r="U511" s="56">
        <f t="shared" si="1403"/>
        <v>272.49099999999999</v>
      </c>
      <c r="V511" s="56">
        <f t="shared" ref="V511" si="1404">V398</f>
        <v>292.88400000000001</v>
      </c>
      <c r="W511" s="56">
        <f ca="1">W449</f>
        <v>330.67393204004787</v>
      </c>
      <c r="X511" s="56">
        <f t="shared" ref="X511:AA511" si="1405">X449</f>
        <v>329.59349133479736</v>
      </c>
      <c r="Y511" s="56">
        <f t="shared" si="1405"/>
        <v>329.28909218092571</v>
      </c>
      <c r="Z511" s="56">
        <f t="shared" si="1405"/>
        <v>367.3874361960373</v>
      </c>
      <c r="AA511" s="56">
        <f t="shared" ca="1" si="1405"/>
        <v>416.44958204136327</v>
      </c>
      <c r="AB511" s="18"/>
      <c r="AC511" s="56">
        <f t="shared" ref="AC511:BC511" si="1406">AC398</f>
        <v>4.8760000000000003</v>
      </c>
      <c r="AD511" s="56">
        <f t="shared" si="1406"/>
        <v>4.0570000000000004</v>
      </c>
      <c r="AE511" s="56">
        <f t="shared" si="1406"/>
        <v>5.8419999999999996</v>
      </c>
      <c r="AF511" s="56">
        <f t="shared" si="1406"/>
        <v>12.786</v>
      </c>
      <c r="AG511" s="56">
        <f t="shared" si="1406"/>
        <v>9.8279999999999994</v>
      </c>
      <c r="AH511" s="56">
        <f t="shared" si="1406"/>
        <v>11.201000000000001</v>
      </c>
      <c r="AI511" s="56">
        <f t="shared" si="1406"/>
        <v>12.135</v>
      </c>
      <c r="AJ511" s="56">
        <f t="shared" si="1406"/>
        <v>15.555999999999999</v>
      </c>
      <c r="AK511" s="56">
        <f t="shared" si="1406"/>
        <v>17.728000000000002</v>
      </c>
      <c r="AL511" s="56">
        <f t="shared" si="1406"/>
        <v>21.431000000000001</v>
      </c>
      <c r="AM511" s="56">
        <f t="shared" si="1406"/>
        <v>23.861999999999998</v>
      </c>
      <c r="AN511" s="56">
        <f t="shared" si="1406"/>
        <v>14.877000000000001</v>
      </c>
      <c r="AO511" s="56">
        <f t="shared" si="1406"/>
        <v>20.914000000000001</v>
      </c>
      <c r="AP511" s="56">
        <f t="shared" si="1406"/>
        <v>28.405999999999999</v>
      </c>
      <c r="AQ511" s="56">
        <f t="shared" si="1406"/>
        <v>24.841000000000001</v>
      </c>
      <c r="AR511" s="56">
        <f t="shared" si="1406"/>
        <v>37.831000000000003</v>
      </c>
      <c r="AS511" s="56">
        <f t="shared" si="1406"/>
        <v>37.494999999999997</v>
      </c>
      <c r="AT511" s="56">
        <f t="shared" si="1406"/>
        <v>66.337999999999994</v>
      </c>
      <c r="AU511" s="56">
        <f t="shared" si="1406"/>
        <v>67.052000000000007</v>
      </c>
      <c r="AV511" s="56">
        <f t="shared" si="1406"/>
        <v>48.682000000000002</v>
      </c>
      <c r="AW511" s="56">
        <f t="shared" si="1406"/>
        <v>73.881</v>
      </c>
      <c r="AX511" s="56">
        <f t="shared" si="1406"/>
        <v>103.23099999999999</v>
      </c>
      <c r="AY511" s="56">
        <f t="shared" si="1406"/>
        <v>82.980999999999995</v>
      </c>
      <c r="AZ511" s="56">
        <f t="shared" si="1406"/>
        <v>137.35300000000001</v>
      </c>
      <c r="BA511" s="56">
        <f t="shared" si="1406"/>
        <v>193.102</v>
      </c>
      <c r="BB511" s="56">
        <f t="shared" si="1406"/>
        <v>221.149</v>
      </c>
      <c r="BC511" s="56">
        <f t="shared" si="1406"/>
        <v>250.99700000000001</v>
      </c>
      <c r="BD511" s="56">
        <f ca="1">BD449</f>
        <v>330.67393204004787</v>
      </c>
      <c r="BE511" s="56">
        <f ca="1">BE449</f>
        <v>416.44958204136327</v>
      </c>
      <c r="BF511" s="18"/>
      <c r="BG511" s="86"/>
      <c r="BH511" s="86"/>
      <c r="BI511" s="86"/>
      <c r="BJ511" s="86"/>
      <c r="BK511" s="86"/>
    </row>
    <row r="512" spans="1:63" s="54" customFormat="1" ht="13.5" customHeight="1">
      <c r="A512" s="18"/>
      <c r="B512" s="2" t="s">
        <v>207</v>
      </c>
      <c r="C512" s="18"/>
      <c r="D512" s="70">
        <f t="shared" ref="D512:U512" si="1407">D399</f>
        <v>16.218</v>
      </c>
      <c r="E512" s="70">
        <f t="shared" si="1407"/>
        <v>19.628</v>
      </c>
      <c r="F512" s="70">
        <f t="shared" si="1407"/>
        <v>15.166</v>
      </c>
      <c r="G512" s="70">
        <f t="shared" si="1407"/>
        <v>17.317</v>
      </c>
      <c r="H512" s="70">
        <f t="shared" si="1407"/>
        <v>21.018000000000001</v>
      </c>
      <c r="I512" s="70">
        <f t="shared" si="1407"/>
        <v>21.57</v>
      </c>
      <c r="J512" s="70">
        <f t="shared" si="1407"/>
        <v>25.417999999999999</v>
      </c>
      <c r="K512" s="70">
        <f t="shared" si="1407"/>
        <v>27.213999999999999</v>
      </c>
      <c r="L512" s="70">
        <f t="shared" si="1407"/>
        <v>26.635000000000002</v>
      </c>
      <c r="M512" s="70">
        <f t="shared" si="1407"/>
        <v>40.790999999999997</v>
      </c>
      <c r="N512" s="70">
        <f t="shared" si="1407"/>
        <v>35.484000000000002</v>
      </c>
      <c r="O512" s="70">
        <f t="shared" si="1407"/>
        <v>38.921999999999997</v>
      </c>
      <c r="P512" s="70">
        <f t="shared" si="1407"/>
        <v>42.427</v>
      </c>
      <c r="Q512" s="70">
        <f t="shared" si="1407"/>
        <v>44.648000000000003</v>
      </c>
      <c r="R512" s="70">
        <f t="shared" si="1407"/>
        <v>46.241</v>
      </c>
      <c r="S512" s="70">
        <f t="shared" si="1407"/>
        <v>53.453000000000003</v>
      </c>
      <c r="T512" s="70">
        <f t="shared" si="1407"/>
        <v>61.008000000000003</v>
      </c>
      <c r="U512" s="70">
        <f t="shared" si="1407"/>
        <v>60.322000000000003</v>
      </c>
      <c r="V512" s="70">
        <f t="shared" ref="V512" si="1408">V399</f>
        <v>63.456000000000003</v>
      </c>
      <c r="W512" s="70">
        <f ca="1">W451</f>
        <v>71.930126276598529</v>
      </c>
      <c r="X512" s="70">
        <f t="shared" ref="X512:AA512" si="1409">X451</f>
        <v>66.828689870612848</v>
      </c>
      <c r="Y512" s="70">
        <f t="shared" si="1409"/>
        <v>67.508824826448603</v>
      </c>
      <c r="Z512" s="70">
        <f t="shared" si="1409"/>
        <v>76.147199999999998</v>
      </c>
      <c r="AA512" s="70">
        <f t="shared" ca="1" si="1409"/>
        <v>86.316151531918223</v>
      </c>
      <c r="AB512" s="18"/>
      <c r="AC512" s="70">
        <f t="shared" ref="AC512:BC512" si="1410">AC399</f>
        <v>2.2810000000000001</v>
      </c>
      <c r="AD512" s="70">
        <f t="shared" si="1410"/>
        <v>1.448</v>
      </c>
      <c r="AE512" s="70">
        <f t="shared" si="1410"/>
        <v>4.6500000000000004</v>
      </c>
      <c r="AF512" s="70">
        <f t="shared" si="1410"/>
        <v>11.212</v>
      </c>
      <c r="AG512" s="70">
        <f t="shared" si="1410"/>
        <v>5.0720000000000001</v>
      </c>
      <c r="AH512" s="70">
        <f t="shared" si="1410"/>
        <v>6.6509999999999998</v>
      </c>
      <c r="AI512" s="70">
        <f t="shared" si="1410"/>
        <v>11.404999999999999</v>
      </c>
      <c r="AJ512" s="70">
        <f t="shared" si="1410"/>
        <v>12.939</v>
      </c>
      <c r="AK512" s="70">
        <f t="shared" si="1410"/>
        <v>12.166</v>
      </c>
      <c r="AL512" s="70">
        <f t="shared" si="1410"/>
        <v>12.218</v>
      </c>
      <c r="AM512" s="70">
        <f t="shared" si="1410"/>
        <v>8.702</v>
      </c>
      <c r="AN512" s="70">
        <f t="shared" si="1410"/>
        <v>7.7949999999999999</v>
      </c>
      <c r="AO512" s="70">
        <f t="shared" si="1410"/>
        <v>7.7110000000000003</v>
      </c>
      <c r="AP512" s="70">
        <f t="shared" si="1410"/>
        <v>8.5570000000000004</v>
      </c>
      <c r="AQ512" s="70">
        <f t="shared" si="1410"/>
        <v>8.8490000000000002</v>
      </c>
      <c r="AR512" s="70">
        <f t="shared" si="1410"/>
        <v>3.4460000000000002</v>
      </c>
      <c r="AS512" s="70">
        <f t="shared" si="1410"/>
        <v>3.7080000000000002</v>
      </c>
      <c r="AT512" s="70">
        <f t="shared" si="1410"/>
        <v>8.2560000000000002</v>
      </c>
      <c r="AU512" s="70">
        <f t="shared" si="1410"/>
        <v>7.9640000000000004</v>
      </c>
      <c r="AV512" s="70">
        <f t="shared" si="1410"/>
        <v>7.633</v>
      </c>
      <c r="AW512" s="70">
        <f t="shared" si="1410"/>
        <v>11.646000000000001</v>
      </c>
      <c r="AX512" s="70">
        <f t="shared" si="1410"/>
        <v>24.068999999999999</v>
      </c>
      <c r="AY512" s="70">
        <f t="shared" si="1410"/>
        <v>16.414000000000001</v>
      </c>
      <c r="AZ512" s="70">
        <f t="shared" si="1410"/>
        <v>17.317</v>
      </c>
      <c r="BA512" s="70">
        <f t="shared" si="1410"/>
        <v>27.213999999999999</v>
      </c>
      <c r="BB512" s="70">
        <f t="shared" si="1410"/>
        <v>38.921999999999997</v>
      </c>
      <c r="BC512" s="70">
        <f t="shared" si="1410"/>
        <v>53.453000000000003</v>
      </c>
      <c r="BD512" s="70">
        <f ca="1">BD451</f>
        <v>71.930126276598529</v>
      </c>
      <c r="BE512" s="70">
        <f ca="1">BE451</f>
        <v>86.316151531918223</v>
      </c>
      <c r="BF512" s="18"/>
      <c r="BG512" s="86"/>
      <c r="BH512" s="86"/>
      <c r="BI512" s="86"/>
      <c r="BJ512" s="86"/>
      <c r="BK512" s="86"/>
    </row>
    <row r="513" spans="1:63" s="54" customFormat="1" ht="11.25" customHeight="1">
      <c r="A513" s="18"/>
      <c r="B513" s="12" t="s">
        <v>208</v>
      </c>
      <c r="C513" s="18"/>
      <c r="D513" s="56">
        <f>SUM(D510:D512)</f>
        <v>240.917</v>
      </c>
      <c r="E513" s="56">
        <f t="shared" ref="E513:U513" si="1411">SUM(E510:E512)</f>
        <v>255.01599999999996</v>
      </c>
      <c r="F513" s="56">
        <f t="shared" si="1411"/>
        <v>287.25400000000002</v>
      </c>
      <c r="G513" s="56">
        <f t="shared" si="1411"/>
        <v>300.70800000000003</v>
      </c>
      <c r="H513" s="56">
        <f t="shared" si="1411"/>
        <v>343.06500000000005</v>
      </c>
      <c r="I513" s="56">
        <f t="shared" si="1411"/>
        <v>370.26899999999995</v>
      </c>
      <c r="J513" s="56">
        <f t="shared" si="1411"/>
        <v>394.82000000000005</v>
      </c>
      <c r="K513" s="56">
        <f t="shared" si="1411"/>
        <v>418.61799999999999</v>
      </c>
      <c r="L513" s="56">
        <f t="shared" si="1411"/>
        <v>440.18200000000002</v>
      </c>
      <c r="M513" s="56">
        <f t="shared" si="1411"/>
        <v>480.29799999999994</v>
      </c>
      <c r="N513" s="56">
        <f t="shared" si="1411"/>
        <v>515.35800000000006</v>
      </c>
      <c r="O513" s="56">
        <f t="shared" si="1411"/>
        <v>491.41100000000006</v>
      </c>
      <c r="P513" s="56">
        <f t="shared" si="1411"/>
        <v>406.54200000000003</v>
      </c>
      <c r="Q513" s="56">
        <f t="shared" si="1411"/>
        <v>470.00800000000004</v>
      </c>
      <c r="R513" s="56">
        <f t="shared" si="1411"/>
        <v>531.15499999999997</v>
      </c>
      <c r="S513" s="56">
        <f t="shared" si="1411"/>
        <v>506.38800000000003</v>
      </c>
      <c r="T513" s="56">
        <f t="shared" si="1411"/>
        <v>530.11099999999999</v>
      </c>
      <c r="U513" s="56">
        <f t="shared" si="1411"/>
        <v>543.02300000000002</v>
      </c>
      <c r="V513" s="56">
        <f t="shared" ref="V513" si="1412">SUM(V510:V512)</f>
        <v>606.31399999999996</v>
      </c>
      <c r="W513" s="56">
        <f t="shared" ref="W513:AC513" ca="1" si="1413">SUM(W510:W512)</f>
        <v>685.96042155836415</v>
      </c>
      <c r="X513" s="56">
        <f t="shared" ref="X513:AA513" si="1414">SUM(X510:X512)</f>
        <v>665.53253812777893</v>
      </c>
      <c r="Y513" s="56">
        <f t="shared" si="1414"/>
        <v>665.65973454077164</v>
      </c>
      <c r="Z513" s="56">
        <f t="shared" si="1414"/>
        <v>743.50343619603734</v>
      </c>
      <c r="AA513" s="56">
        <f t="shared" ca="1" si="1414"/>
        <v>842.79336946334274</v>
      </c>
      <c r="AB513" s="18"/>
      <c r="AC513" s="56">
        <f t="shared" si="1413"/>
        <v>16.459</v>
      </c>
      <c r="AD513" s="56">
        <f t="shared" ref="AD513" si="1415">SUM(AD510:AD512)</f>
        <v>12.956</v>
      </c>
      <c r="AE513" s="56">
        <f t="shared" ref="AE513" si="1416">SUM(AE510:AE512)</f>
        <v>23.113</v>
      </c>
      <c r="AF513" s="56">
        <f t="shared" ref="AF513" si="1417">SUM(AF510:AF512)</f>
        <v>52.001999999999995</v>
      </c>
      <c r="AG513" s="56">
        <f t="shared" ref="AG513" si="1418">SUM(AG510:AG512)</f>
        <v>31.846999999999998</v>
      </c>
      <c r="AH513" s="56">
        <f t="shared" ref="AH513" si="1419">SUM(AH510:AH512)</f>
        <v>34.576999999999998</v>
      </c>
      <c r="AI513" s="56">
        <f t="shared" ref="AI513" si="1420">SUM(AI510:AI512)</f>
        <v>49.941000000000003</v>
      </c>
      <c r="AJ513" s="56">
        <f t="shared" ref="AJ513" si="1421">SUM(AJ510:AJ512)</f>
        <v>56.039000000000001</v>
      </c>
      <c r="AK513" s="56">
        <f t="shared" ref="AK513" si="1422">SUM(AK510:AK512)</f>
        <v>68.372</v>
      </c>
      <c r="AL513" s="56">
        <f t="shared" ref="AL513" si="1423">SUM(AL510:AL512)</f>
        <v>65.238</v>
      </c>
      <c r="AM513" s="56">
        <f t="shared" ref="AM513" si="1424">SUM(AM510:AM512)</f>
        <v>74.988</v>
      </c>
      <c r="AN513" s="56">
        <f t="shared" ref="AN513" si="1425">SUM(AN510:AN512)</f>
        <v>41.169000000000004</v>
      </c>
      <c r="AO513" s="56">
        <f t="shared" ref="AO513" si="1426">SUM(AO510:AO512)</f>
        <v>64.007000000000005</v>
      </c>
      <c r="AP513" s="56">
        <f t="shared" ref="AP513" si="1427">SUM(AP510:AP512)</f>
        <v>79.945000000000007</v>
      </c>
      <c r="AQ513" s="56">
        <f t="shared" ref="AQ513" si="1428">SUM(AQ510:AQ512)</f>
        <v>74.638000000000005</v>
      </c>
      <c r="AR513" s="56">
        <f t="shared" ref="AR513" si="1429">SUM(AR510:AR512)</f>
        <v>99.408000000000001</v>
      </c>
      <c r="AS513" s="56">
        <f t="shared" ref="AS513" si="1430">SUM(AS510:AS512)</f>
        <v>113.14499999999998</v>
      </c>
      <c r="AT513" s="56">
        <f t="shared" ref="AT513" si="1431">SUM(AT510:AT512)</f>
        <v>189.642</v>
      </c>
      <c r="AU513" s="56">
        <f t="shared" ref="AU513" si="1432">SUM(AU510:AU512)</f>
        <v>160.58100000000002</v>
      </c>
      <c r="AV513" s="56">
        <f t="shared" ref="AV513" si="1433">SUM(AV510:AV512)</f>
        <v>185.62000000000003</v>
      </c>
      <c r="AW513" s="56">
        <f t="shared" ref="AW513" si="1434">SUM(AW510:AW512)</f>
        <v>207.84399999999999</v>
      </c>
      <c r="AX513" s="56">
        <f t="shared" ref="AX513" si="1435">SUM(AX510:AX512)</f>
        <v>256.49799999999999</v>
      </c>
      <c r="AY513" s="56">
        <f t="shared" ref="AY513" si="1436">SUM(AY510:AY512)</f>
        <v>239.166</v>
      </c>
      <c r="AZ513" s="56">
        <f t="shared" ref="AZ513" si="1437">SUM(AZ510:AZ512)</f>
        <v>300.70800000000003</v>
      </c>
      <c r="BA513" s="56">
        <f t="shared" ref="BA513" si="1438">SUM(BA510:BA512)</f>
        <v>418.61799999999999</v>
      </c>
      <c r="BB513" s="56">
        <f t="shared" ref="BB513" si="1439">SUM(BB510:BB512)</f>
        <v>491.41100000000006</v>
      </c>
      <c r="BC513" s="56">
        <f t="shared" ref="BC513" si="1440">SUM(BC510:BC512)</f>
        <v>506.38800000000003</v>
      </c>
      <c r="BD513" s="56">
        <f t="shared" ref="BD513:BE513" ca="1" si="1441">SUM(BD510:BD512)</f>
        <v>685.96042155836415</v>
      </c>
      <c r="BE513" s="56">
        <f t="shared" ca="1" si="1441"/>
        <v>842.79336946334274</v>
      </c>
      <c r="BF513" s="18"/>
      <c r="BG513" s="86"/>
      <c r="BH513" s="86"/>
      <c r="BI513" s="86"/>
      <c r="BJ513" s="86"/>
      <c r="BK513" s="86"/>
    </row>
    <row r="514" spans="1:63" s="54" customFormat="1" ht="11.25" customHeight="1">
      <c r="A514" s="18"/>
      <c r="B514" s="36" t="s">
        <v>249</v>
      </c>
      <c r="C514" s="18"/>
      <c r="D514" s="120"/>
      <c r="E514" s="120"/>
      <c r="F514" s="120"/>
      <c r="G514" s="120"/>
      <c r="H514" s="120">
        <f>H513/D513-1</f>
        <v>0.42399664614784371</v>
      </c>
      <c r="I514" s="120">
        <f t="shared" ref="I514" si="1442">I513/E513-1</f>
        <v>0.45194419173698908</v>
      </c>
      <c r="J514" s="120">
        <f t="shared" ref="J514" si="1443">J513/F513-1</f>
        <v>0.37446301879173149</v>
      </c>
      <c r="K514" s="120">
        <f t="shared" ref="K514" si="1444">K513/G513-1</f>
        <v>0.39210795855115244</v>
      </c>
      <c r="L514" s="120">
        <f t="shared" ref="L514" si="1445">L513/H513-1</f>
        <v>0.28308629559995913</v>
      </c>
      <c r="M514" s="120">
        <f t="shared" ref="M514" si="1446">M513/I513-1</f>
        <v>0.29715963259144029</v>
      </c>
      <c r="N514" s="120">
        <f t="shared" ref="N514" si="1447">N513/J513-1</f>
        <v>0.30529861709133277</v>
      </c>
      <c r="O514" s="120">
        <f t="shared" ref="O514" si="1448">O513/K513-1</f>
        <v>0.17388884376687108</v>
      </c>
      <c r="P514" s="120">
        <f t="shared" ref="P514" si="1449">P513/L513-1</f>
        <v>-7.642293414996526E-2</v>
      </c>
      <c r="Q514" s="120">
        <f t="shared" ref="Q514" si="1450">Q513/M513-1</f>
        <v>-2.1424199143031841E-2</v>
      </c>
      <c r="R514" s="120">
        <f t="shared" ref="R514" si="1451">R513/N513-1</f>
        <v>3.0652478471276057E-2</v>
      </c>
      <c r="S514" s="120">
        <f t="shared" ref="S514" si="1452">S513/O513-1</f>
        <v>3.047754323773777E-2</v>
      </c>
      <c r="T514" s="120">
        <f t="shared" ref="T514" si="1453">T513/P513-1</f>
        <v>0.30395137525766081</v>
      </c>
      <c r="U514" s="120">
        <f t="shared" ref="U514:V514" si="1454">U513/Q513-1</f>
        <v>0.15534841960136836</v>
      </c>
      <c r="V514" s="120">
        <f t="shared" si="1454"/>
        <v>0.14150106842635379</v>
      </c>
      <c r="W514" s="120">
        <f t="shared" ref="W514" ca="1" si="1455">W513/S513-1</f>
        <v>0.35461429093573327</v>
      </c>
      <c r="X514" s="120">
        <f t="shared" ref="X514" si="1456">X513/T513-1</f>
        <v>0.25545883433427896</v>
      </c>
      <c r="Y514" s="120">
        <f t="shared" ref="Y514" si="1457">Y513/U513-1</f>
        <v>0.22584077385446211</v>
      </c>
      <c r="Z514" s="120">
        <f t="shared" ref="Z514" si="1458">Z513/V513-1</f>
        <v>0.22626796708642294</v>
      </c>
      <c r="AA514" s="120">
        <f t="shared" ref="AA514" ca="1" si="1459">AA513/W513-1</f>
        <v>0.22863264843864561</v>
      </c>
      <c r="AB514" s="18"/>
      <c r="AC514" s="120"/>
      <c r="AD514" s="120">
        <f t="shared" ref="AD514" si="1460">IFERROR(AD513/AC513-1,"n/a")</f>
        <v>-0.21283188529072239</v>
      </c>
      <c r="AE514" s="120">
        <f t="shared" ref="AE514" si="1461">IFERROR(AE513/AD513-1,"n/a")</f>
        <v>0.78396109910466194</v>
      </c>
      <c r="AF514" s="120">
        <f t="shared" ref="AF514" si="1462">IFERROR(AF513/AE513-1,"n/a")</f>
        <v>1.2499026521870809</v>
      </c>
      <c r="AG514" s="120">
        <f t="shared" ref="AG514" si="1463">IFERROR(AG513/AF513-1,"n/a")</f>
        <v>-0.38758124687512019</v>
      </c>
      <c r="AH514" s="120">
        <f t="shared" ref="AH514" si="1464">IFERROR(AH513/AG513-1,"n/a")</f>
        <v>8.5722360033912093E-2</v>
      </c>
      <c r="AI514" s="120">
        <f t="shared" ref="AI514" si="1465">IFERROR(AI513/AH513-1,"n/a")</f>
        <v>0.44434161436793262</v>
      </c>
      <c r="AJ514" s="120">
        <f t="shared" ref="AJ514" si="1466">IFERROR(AJ513/AI513-1,"n/a")</f>
        <v>0.12210408281772489</v>
      </c>
      <c r="AK514" s="120">
        <f t="shared" ref="AK514" si="1467">IFERROR(AK513/AJ513-1,"n/a")</f>
        <v>0.22007887364157108</v>
      </c>
      <c r="AL514" s="120">
        <f t="shared" ref="AL514" si="1468">IFERROR(AL513/AK513-1,"n/a")</f>
        <v>-4.5837477329901177E-2</v>
      </c>
      <c r="AM514" s="120">
        <f t="shared" ref="AM514" si="1469">IFERROR(AM513/AL513-1,"n/a")</f>
        <v>0.14945277292375603</v>
      </c>
      <c r="AN514" s="120">
        <f t="shared" ref="AN514" si="1470">IFERROR(AN513/AM513-1,"n/a")</f>
        <v>-0.45099215874539922</v>
      </c>
      <c r="AO514" s="120">
        <f t="shared" ref="AO514" si="1471">IFERROR(AO513/AN513-1,"n/a")</f>
        <v>0.55473778814156272</v>
      </c>
      <c r="AP514" s="120">
        <f t="shared" ref="AP514" si="1472">IFERROR(AP513/AO513-1,"n/a")</f>
        <v>0.24900401518583903</v>
      </c>
      <c r="AQ514" s="120">
        <f t="shared" ref="AQ514" si="1473">IFERROR(AQ513/AP513-1,"n/a")</f>
        <v>-6.6383138407655307E-2</v>
      </c>
      <c r="AR514" s="120">
        <f t="shared" ref="AR514" si="1474">IFERROR(AR513/AQ513-1,"n/a")</f>
        <v>0.33186848522200485</v>
      </c>
      <c r="AS514" s="120">
        <f t="shared" ref="AS514" si="1475">IFERROR(AS513/AR513-1,"n/a")</f>
        <v>0.13818807339449513</v>
      </c>
      <c r="AT514" s="120">
        <f t="shared" ref="AT514" si="1476">IFERROR(AT513/AS513-1,"n/a")</f>
        <v>0.6760970436165985</v>
      </c>
      <c r="AU514" s="120">
        <f t="shared" ref="AU514" si="1477">IFERROR(AU513/AT513-1,"n/a")</f>
        <v>-0.15324137058246579</v>
      </c>
      <c r="AV514" s="120">
        <f t="shared" ref="AV514" si="1478">IFERROR(AV513/AU513-1,"n/a")</f>
        <v>0.15592753812717586</v>
      </c>
      <c r="AW514" s="120">
        <f t="shared" ref="AW514" si="1479">IFERROR(AW513/AV513-1,"n/a")</f>
        <v>0.11972847753474825</v>
      </c>
      <c r="AX514" s="120">
        <f t="shared" ref="AX514" si="1480">IFERROR(AX513/AW513-1,"n/a")</f>
        <v>0.23408902830969369</v>
      </c>
      <c r="AY514" s="120">
        <f t="shared" ref="AY514" si="1481">IFERROR(AY513/AX513-1,"n/a")</f>
        <v>-6.757167697214006E-2</v>
      </c>
      <c r="AZ514" s="120">
        <f t="shared" ref="AZ514" si="1482">IFERROR(AZ513/AY513-1,"n/a")</f>
        <v>0.25731918416497335</v>
      </c>
      <c r="BA514" s="120">
        <f t="shared" ref="BA514" si="1483">IFERROR(BA513/AZ513-1,"n/a")</f>
        <v>0.39210795855115244</v>
      </c>
      <c r="BB514" s="120">
        <f t="shared" ref="BB514" si="1484">IFERROR(BB513/BA513-1,"n/a")</f>
        <v>0.17388884376687108</v>
      </c>
      <c r="BC514" s="120">
        <f t="shared" ref="BC514" si="1485">IFERROR(BC513/BB513-1,"n/a")</f>
        <v>3.047754323773777E-2</v>
      </c>
      <c r="BD514" s="120">
        <f t="shared" ref="BD514:BE514" ca="1" si="1486">IFERROR(BD513/BC513-1,"n/a")</f>
        <v>0.35461429093573327</v>
      </c>
      <c r="BE514" s="120">
        <f t="shared" ca="1" si="1486"/>
        <v>0.22863264843864561</v>
      </c>
      <c r="BF514" s="18"/>
      <c r="BG514" s="52"/>
      <c r="BH514" s="52"/>
      <c r="BI514" s="52"/>
      <c r="BJ514" s="52"/>
      <c r="BK514" s="52"/>
    </row>
    <row r="515" spans="1:63" s="54" customFormat="1" ht="11.25" customHeight="1">
      <c r="A515" s="18"/>
      <c r="B515" s="2"/>
      <c r="C515" s="18"/>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c r="AB515" s="18"/>
      <c r="AC515" s="56"/>
      <c r="AD515" s="56"/>
      <c r="AE515" s="56"/>
      <c r="AF515" s="56"/>
      <c r="AG515" s="56"/>
      <c r="AH515" s="56"/>
      <c r="AI515" s="56"/>
      <c r="AJ515" s="56"/>
      <c r="AK515" s="56"/>
      <c r="AL515" s="56"/>
      <c r="AM515" s="56"/>
      <c r="AN515" s="56"/>
      <c r="AO515" s="56"/>
      <c r="AP515" s="56"/>
      <c r="AQ515" s="56"/>
      <c r="AR515" s="56"/>
      <c r="AS515" s="56"/>
      <c r="AT515" s="56"/>
      <c r="AU515" s="56"/>
      <c r="AV515" s="56"/>
      <c r="AW515" s="56"/>
      <c r="AX515" s="56"/>
      <c r="AY515" s="56"/>
      <c r="AZ515" s="56"/>
      <c r="BA515" s="56"/>
      <c r="BB515" s="56"/>
      <c r="BC515" s="56"/>
      <c r="BD515" s="56"/>
      <c r="BE515" s="56"/>
      <c r="BF515" s="18"/>
      <c r="BG515" s="86"/>
      <c r="BH515" s="86"/>
      <c r="BI515" s="86"/>
      <c r="BJ515" s="86"/>
      <c r="BK515" s="86"/>
    </row>
    <row r="516" spans="1:63" s="54" customFormat="1" ht="11.25" customHeight="1">
      <c r="A516" s="18"/>
      <c r="B516" s="2" t="s">
        <v>543</v>
      </c>
      <c r="C516" s="18"/>
      <c r="D516" s="56">
        <f>D413</f>
        <v>39.774000000000001</v>
      </c>
      <c r="E516" s="56">
        <f t="shared" ref="E516:U516" si="1487">E413</f>
        <v>39.533999999999999</v>
      </c>
      <c r="F516" s="56">
        <f t="shared" si="1487"/>
        <v>40.892000000000003</v>
      </c>
      <c r="G516" s="56">
        <f t="shared" si="1487"/>
        <v>41.094999999999999</v>
      </c>
      <c r="H516" s="56">
        <f t="shared" si="1487"/>
        <v>38.597999999999999</v>
      </c>
      <c r="I516" s="56">
        <f t="shared" si="1487"/>
        <v>41.23</v>
      </c>
      <c r="J516" s="56">
        <f t="shared" si="1487"/>
        <v>43.889000000000003</v>
      </c>
      <c r="K516" s="56">
        <f t="shared" si="1487"/>
        <v>48.722999999999999</v>
      </c>
      <c r="L516" s="56">
        <f t="shared" si="1487"/>
        <v>50.103999999999999</v>
      </c>
      <c r="M516" s="56">
        <f t="shared" si="1487"/>
        <v>59.817999999999998</v>
      </c>
      <c r="N516" s="56">
        <f t="shared" si="1487"/>
        <v>62.018000000000001</v>
      </c>
      <c r="O516" s="56">
        <f t="shared" si="1487"/>
        <v>56.521999999999998</v>
      </c>
      <c r="P516" s="56">
        <f t="shared" si="1487"/>
        <v>47.381999999999998</v>
      </c>
      <c r="Q516" s="56">
        <f t="shared" si="1487"/>
        <v>48.972999999999999</v>
      </c>
      <c r="R516" s="56">
        <f t="shared" si="1487"/>
        <v>53.771999999999998</v>
      </c>
      <c r="S516" s="56">
        <f t="shared" si="1487"/>
        <v>57.292999999999999</v>
      </c>
      <c r="T516" s="56">
        <f t="shared" si="1487"/>
        <v>57.61</v>
      </c>
      <c r="U516" s="56">
        <f t="shared" si="1487"/>
        <v>63.947000000000003</v>
      </c>
      <c r="V516" s="56">
        <f t="shared" ref="V516" si="1488">V413</f>
        <v>70.819999999999993</v>
      </c>
      <c r="W516" s="56">
        <f ca="1">W452</f>
        <v>79.957689279974957</v>
      </c>
      <c r="X516" s="56">
        <f t="shared" ref="X516:AA516" si="1489">X452</f>
        <v>79.696436324040732</v>
      </c>
      <c r="Y516" s="56">
        <f t="shared" si="1489"/>
        <v>79.622831934326044</v>
      </c>
      <c r="Z516" s="56">
        <f t="shared" si="1489"/>
        <v>88.835095913069182</v>
      </c>
      <c r="AA516" s="56">
        <f t="shared" ca="1" si="1489"/>
        <v>100.69843146149786</v>
      </c>
      <c r="AB516" s="56"/>
      <c r="AC516" s="56">
        <f>AC413</f>
        <v>3.339</v>
      </c>
      <c r="AD516" s="56">
        <f t="shared" ref="AD516:BB516" si="1490">AD413</f>
        <v>2.331</v>
      </c>
      <c r="AE516" s="56">
        <f t="shared" si="1490"/>
        <v>3.9580000000000002</v>
      </c>
      <c r="AF516" s="56">
        <f t="shared" si="1490"/>
        <v>11.114000000000001</v>
      </c>
      <c r="AG516" s="56">
        <f t="shared" si="1490"/>
        <v>2.4460000000000002</v>
      </c>
      <c r="AH516" s="56">
        <f t="shared" si="1490"/>
        <v>6.915</v>
      </c>
      <c r="AI516" s="56">
        <f t="shared" si="1490"/>
        <v>9.6869999999999994</v>
      </c>
      <c r="AJ516" s="56">
        <f t="shared" si="1490"/>
        <v>9.4819999999999993</v>
      </c>
      <c r="AK516" s="56">
        <f t="shared" si="1490"/>
        <v>11.164999999999999</v>
      </c>
      <c r="AL516" s="56">
        <f t="shared" si="1490"/>
        <v>9.8019999999999996</v>
      </c>
      <c r="AM516" s="56">
        <f t="shared" si="1490"/>
        <v>13.077999999999999</v>
      </c>
      <c r="AN516" s="56">
        <f t="shared" si="1490"/>
        <v>6.0430000000000001</v>
      </c>
      <c r="AO516" s="56">
        <f t="shared" si="1490"/>
        <v>11.689</v>
      </c>
      <c r="AP516" s="56">
        <f t="shared" si="1490"/>
        <v>12.971</v>
      </c>
      <c r="AQ516" s="56">
        <f t="shared" si="1490"/>
        <v>11.859</v>
      </c>
      <c r="AR516" s="56">
        <f t="shared" si="1490"/>
        <v>15.239000000000001</v>
      </c>
      <c r="AS516" s="56">
        <f t="shared" si="1490"/>
        <v>16.359000000000002</v>
      </c>
      <c r="AT516" s="56">
        <f t="shared" si="1490"/>
        <v>23.37</v>
      </c>
      <c r="AU516" s="56">
        <f t="shared" si="1490"/>
        <v>19.725000000000001</v>
      </c>
      <c r="AV516" s="56">
        <f t="shared" si="1490"/>
        <v>27.324999999999999</v>
      </c>
      <c r="AW516" s="56">
        <f t="shared" si="1490"/>
        <v>30.068999999999999</v>
      </c>
      <c r="AX516" s="56">
        <f t="shared" si="1490"/>
        <v>34.356999999999999</v>
      </c>
      <c r="AY516" s="56">
        <f t="shared" si="1490"/>
        <v>40.206000000000003</v>
      </c>
      <c r="AZ516" s="56">
        <f t="shared" si="1490"/>
        <v>41.094999999999999</v>
      </c>
      <c r="BA516" s="56">
        <f t="shared" si="1490"/>
        <v>48.722999999999999</v>
      </c>
      <c r="BB516" s="56">
        <f t="shared" si="1490"/>
        <v>56.521999999999998</v>
      </c>
      <c r="BC516" s="56">
        <f>BC413</f>
        <v>57.292999999999999</v>
      </c>
      <c r="BD516" s="56">
        <f ca="1">BD452</f>
        <v>79.957689279974957</v>
      </c>
      <c r="BE516" s="56">
        <f ca="1">BE452</f>
        <v>100.69843146149786</v>
      </c>
      <c r="BF516" s="18"/>
      <c r="BG516" s="86"/>
      <c r="BH516" s="86"/>
      <c r="BI516" s="86"/>
      <c r="BJ516" s="86"/>
      <c r="BK516" s="86"/>
    </row>
    <row r="517" spans="1:63" s="54" customFormat="1" ht="13.5" customHeight="1">
      <c r="A517" s="18"/>
      <c r="B517" s="2" t="s">
        <v>544</v>
      </c>
      <c r="C517" s="18"/>
      <c r="D517" s="70">
        <f>D416</f>
        <v>166.46600000000001</v>
      </c>
      <c r="E517" s="70">
        <f t="shared" ref="E517:U517" si="1491">E416</f>
        <v>165.524</v>
      </c>
      <c r="F517" s="70">
        <f t="shared" si="1491"/>
        <v>159.083</v>
      </c>
      <c r="G517" s="70">
        <f t="shared" si="1491"/>
        <v>197.44</v>
      </c>
      <c r="H517" s="70">
        <f t="shared" si="1491"/>
        <v>247.23699999999999</v>
      </c>
      <c r="I517" s="70">
        <f t="shared" si="1491"/>
        <v>223.857</v>
      </c>
      <c r="J517" s="70">
        <f t="shared" si="1491"/>
        <v>221.904</v>
      </c>
      <c r="K517" s="70">
        <f t="shared" si="1491"/>
        <v>282.93299999999999</v>
      </c>
      <c r="L517" s="70">
        <f t="shared" si="1491"/>
        <v>345.88799999999998</v>
      </c>
      <c r="M517" s="70">
        <f t="shared" si="1491"/>
        <v>349.48399999999998</v>
      </c>
      <c r="N517" s="70">
        <f t="shared" si="1491"/>
        <v>419.589</v>
      </c>
      <c r="O517" s="70">
        <f t="shared" si="1491"/>
        <v>512.274</v>
      </c>
      <c r="P517" s="70">
        <f t="shared" si="1491"/>
        <v>517.67600000000004</v>
      </c>
      <c r="Q517" s="70">
        <f t="shared" si="1491"/>
        <v>463.66800000000001</v>
      </c>
      <c r="R517" s="70">
        <f t="shared" si="1491"/>
        <v>522.40200000000004</v>
      </c>
      <c r="S517" s="70">
        <f t="shared" si="1491"/>
        <v>506.95400000000001</v>
      </c>
      <c r="T517" s="70">
        <f t="shared" si="1491"/>
        <v>647.36599999999999</v>
      </c>
      <c r="U517" s="70">
        <f t="shared" si="1491"/>
        <v>630.54899999999998</v>
      </c>
      <c r="V517" s="70">
        <f t="shared" ref="V517" si="1492">V416</f>
        <v>618.18600000000004</v>
      </c>
      <c r="W517" s="70">
        <f ca="1">W453</f>
        <v>697.94866005691335</v>
      </c>
      <c r="X517" s="70">
        <f t="shared" ref="X517:AA517" si="1493">X453</f>
        <v>680.54496805852114</v>
      </c>
      <c r="Y517" s="70">
        <f t="shared" si="1493"/>
        <v>687.47107154328023</v>
      </c>
      <c r="Z517" s="70">
        <f t="shared" si="1493"/>
        <v>775.43931943118605</v>
      </c>
      <c r="AA517" s="70">
        <f t="shared" ca="1" si="1493"/>
        <v>878.9940772586491</v>
      </c>
      <c r="AB517" s="70"/>
      <c r="AC517" s="70">
        <f t="shared" ref="AC517:BB517" si="1494">AC416</f>
        <v>1.643</v>
      </c>
      <c r="AD517" s="70">
        <f t="shared" si="1494"/>
        <v>2.5510000000000002</v>
      </c>
      <c r="AE517" s="70">
        <f>AE416</f>
        <v>3.6259999999999999</v>
      </c>
      <c r="AF517" s="70">
        <f t="shared" si="1494"/>
        <v>6.8760000000000003</v>
      </c>
      <c r="AG517" s="70">
        <f t="shared" si="1494"/>
        <v>6.7469999999999999</v>
      </c>
      <c r="AH517" s="70">
        <f t="shared" si="1494"/>
        <v>6.4770000000000003</v>
      </c>
      <c r="AI517" s="70">
        <f t="shared" si="1494"/>
        <v>8.8209999999999997</v>
      </c>
      <c r="AJ517" s="70">
        <f t="shared" si="1494"/>
        <v>10.125999999999999</v>
      </c>
      <c r="AK517" s="70">
        <f t="shared" si="1494"/>
        <v>14.558</v>
      </c>
      <c r="AL517" s="70">
        <f t="shared" si="1494"/>
        <v>19.286000000000001</v>
      </c>
      <c r="AM517" s="70">
        <f t="shared" si="1494"/>
        <v>29.09</v>
      </c>
      <c r="AN517" s="70">
        <f t="shared" si="1494"/>
        <v>34.542999999999999</v>
      </c>
      <c r="AO517" s="70">
        <f t="shared" si="1494"/>
        <v>37.570999999999998</v>
      </c>
      <c r="AP517" s="70">
        <f t="shared" si="1494"/>
        <v>35.505000000000003</v>
      </c>
      <c r="AQ517" s="70">
        <f t="shared" si="1494"/>
        <v>39.116999999999997</v>
      </c>
      <c r="AR517" s="70">
        <f t="shared" si="1494"/>
        <v>53.56</v>
      </c>
      <c r="AS517" s="70">
        <f t="shared" si="1494"/>
        <v>67.963999999999999</v>
      </c>
      <c r="AT517" s="70">
        <f t="shared" si="1494"/>
        <v>114.505</v>
      </c>
      <c r="AU517" s="70">
        <f t="shared" si="1494"/>
        <v>103.5</v>
      </c>
      <c r="AV517" s="70">
        <f t="shared" si="1494"/>
        <v>131.69200000000001</v>
      </c>
      <c r="AW517" s="70">
        <f t="shared" si="1494"/>
        <v>150.74600000000001</v>
      </c>
      <c r="AX517" s="70">
        <f t="shared" si="1494"/>
        <v>139.39699999999999</v>
      </c>
      <c r="AY517" s="70">
        <f t="shared" si="1494"/>
        <v>129.745</v>
      </c>
      <c r="AZ517" s="70">
        <f t="shared" si="1494"/>
        <v>197.44</v>
      </c>
      <c r="BA517" s="70">
        <f t="shared" si="1494"/>
        <v>282.93299999999999</v>
      </c>
      <c r="BB517" s="70">
        <f t="shared" si="1494"/>
        <v>512.274</v>
      </c>
      <c r="BC517" s="70">
        <f>BC416</f>
        <v>506.95400000000001</v>
      </c>
      <c r="BD517" s="70">
        <f ca="1">BD453</f>
        <v>697.94866005691335</v>
      </c>
      <c r="BE517" s="70">
        <f ca="1">BE453</f>
        <v>878.9940772586491</v>
      </c>
      <c r="BF517" s="18"/>
      <c r="BG517" s="86"/>
      <c r="BH517" s="86"/>
      <c r="BI517" s="86"/>
      <c r="BJ517" s="86"/>
      <c r="BK517" s="86"/>
    </row>
    <row r="518" spans="1:63" s="54" customFormat="1" ht="11.25" customHeight="1">
      <c r="A518" s="18"/>
      <c r="B518" s="12" t="s">
        <v>217</v>
      </c>
      <c r="C518" s="18"/>
      <c r="D518" s="56">
        <f>SUM(D516:D517)</f>
        <v>206.24</v>
      </c>
      <c r="E518" s="56">
        <f t="shared" ref="E518:U518" si="1495">SUM(E516:E517)</f>
        <v>205.05799999999999</v>
      </c>
      <c r="F518" s="56">
        <f t="shared" si="1495"/>
        <v>199.97499999999999</v>
      </c>
      <c r="G518" s="56">
        <f t="shared" si="1495"/>
        <v>238.535</v>
      </c>
      <c r="H518" s="56">
        <f t="shared" si="1495"/>
        <v>285.83499999999998</v>
      </c>
      <c r="I518" s="56">
        <f t="shared" si="1495"/>
        <v>265.08699999999999</v>
      </c>
      <c r="J518" s="56">
        <f t="shared" si="1495"/>
        <v>265.79300000000001</v>
      </c>
      <c r="K518" s="56">
        <f t="shared" si="1495"/>
        <v>331.65600000000001</v>
      </c>
      <c r="L518" s="56">
        <f t="shared" si="1495"/>
        <v>395.99199999999996</v>
      </c>
      <c r="M518" s="56">
        <f t="shared" si="1495"/>
        <v>409.30199999999996</v>
      </c>
      <c r="N518" s="56">
        <f t="shared" si="1495"/>
        <v>481.60699999999997</v>
      </c>
      <c r="O518" s="56">
        <f t="shared" si="1495"/>
        <v>568.79600000000005</v>
      </c>
      <c r="P518" s="56">
        <f t="shared" si="1495"/>
        <v>565.05799999999999</v>
      </c>
      <c r="Q518" s="56">
        <f t="shared" si="1495"/>
        <v>512.64099999999996</v>
      </c>
      <c r="R518" s="56">
        <f t="shared" si="1495"/>
        <v>576.17400000000009</v>
      </c>
      <c r="S518" s="56">
        <f t="shared" si="1495"/>
        <v>564.24699999999996</v>
      </c>
      <c r="T518" s="56">
        <f t="shared" si="1495"/>
        <v>704.976</v>
      </c>
      <c r="U518" s="56">
        <f t="shared" si="1495"/>
        <v>694.49599999999998</v>
      </c>
      <c r="V518" s="56">
        <f t="shared" ref="V518" si="1496">SUM(V516:V517)</f>
        <v>689.00600000000009</v>
      </c>
      <c r="W518" s="56">
        <f t="shared" ref="W518:AC518" ca="1" si="1497">SUM(W516:W517)</f>
        <v>777.9063493368883</v>
      </c>
      <c r="X518" s="56">
        <f t="shared" ref="X518:AA518" si="1498">SUM(X516:X517)</f>
        <v>760.24140438256188</v>
      </c>
      <c r="Y518" s="56">
        <f t="shared" si="1498"/>
        <v>767.09390347760632</v>
      </c>
      <c r="Z518" s="56">
        <f t="shared" si="1498"/>
        <v>864.2744153442552</v>
      </c>
      <c r="AA518" s="56">
        <f t="shared" ca="1" si="1498"/>
        <v>979.69250872014698</v>
      </c>
      <c r="AB518" s="56"/>
      <c r="AC518" s="56">
        <f t="shared" si="1497"/>
        <v>4.9820000000000002</v>
      </c>
      <c r="AD518" s="56">
        <f t="shared" ref="AD518" si="1499">SUM(AD516:AD517)</f>
        <v>4.8819999999999997</v>
      </c>
      <c r="AE518" s="56">
        <f t="shared" ref="AE518" si="1500">SUM(AE516:AE517)</f>
        <v>7.5839999999999996</v>
      </c>
      <c r="AF518" s="56">
        <f t="shared" ref="AF518" si="1501">SUM(AF516:AF517)</f>
        <v>17.990000000000002</v>
      </c>
      <c r="AG518" s="56">
        <f t="shared" ref="AG518" si="1502">SUM(AG516:AG517)</f>
        <v>9.1929999999999996</v>
      </c>
      <c r="AH518" s="56">
        <f t="shared" ref="AH518" si="1503">SUM(AH516:AH517)</f>
        <v>13.391999999999999</v>
      </c>
      <c r="AI518" s="56">
        <f t="shared" ref="AI518" si="1504">SUM(AI516:AI517)</f>
        <v>18.507999999999999</v>
      </c>
      <c r="AJ518" s="56">
        <f t="shared" ref="AJ518" si="1505">SUM(AJ516:AJ517)</f>
        <v>19.607999999999997</v>
      </c>
      <c r="AK518" s="56">
        <f t="shared" ref="AK518" si="1506">SUM(AK516:AK517)</f>
        <v>25.722999999999999</v>
      </c>
      <c r="AL518" s="56">
        <f t="shared" ref="AL518" si="1507">SUM(AL516:AL517)</f>
        <v>29.088000000000001</v>
      </c>
      <c r="AM518" s="56">
        <f t="shared" ref="AM518" si="1508">SUM(AM516:AM517)</f>
        <v>42.167999999999999</v>
      </c>
      <c r="AN518" s="56">
        <f t="shared" ref="AN518" si="1509">SUM(AN516:AN517)</f>
        <v>40.585999999999999</v>
      </c>
      <c r="AO518" s="56">
        <f t="shared" ref="AO518" si="1510">SUM(AO516:AO517)</f>
        <v>49.26</v>
      </c>
      <c r="AP518" s="56">
        <f t="shared" ref="AP518" si="1511">SUM(AP516:AP517)</f>
        <v>48.475999999999999</v>
      </c>
      <c r="AQ518" s="56">
        <f t="shared" ref="AQ518" si="1512">SUM(AQ516:AQ517)</f>
        <v>50.975999999999999</v>
      </c>
      <c r="AR518" s="56">
        <f t="shared" ref="AR518" si="1513">SUM(AR516:AR517)</f>
        <v>68.799000000000007</v>
      </c>
      <c r="AS518" s="56">
        <f t="shared" ref="AS518" si="1514">SUM(AS516:AS517)</f>
        <v>84.323000000000008</v>
      </c>
      <c r="AT518" s="56">
        <f t="shared" ref="AT518" si="1515">SUM(AT516:AT517)</f>
        <v>137.875</v>
      </c>
      <c r="AU518" s="56">
        <f t="shared" ref="AU518" si="1516">SUM(AU516:AU517)</f>
        <v>123.22499999999999</v>
      </c>
      <c r="AV518" s="56">
        <f t="shared" ref="AV518" si="1517">SUM(AV516:AV517)</f>
        <v>159.017</v>
      </c>
      <c r="AW518" s="56">
        <f t="shared" ref="AW518" si="1518">SUM(AW516:AW517)</f>
        <v>180.815</v>
      </c>
      <c r="AX518" s="56">
        <f t="shared" ref="AX518" si="1519">SUM(AX516:AX517)</f>
        <v>173.75399999999999</v>
      </c>
      <c r="AY518" s="56">
        <f t="shared" ref="AY518" si="1520">SUM(AY516:AY517)</f>
        <v>169.95100000000002</v>
      </c>
      <c r="AZ518" s="56">
        <f t="shared" ref="AZ518" si="1521">SUM(AZ516:AZ517)</f>
        <v>238.535</v>
      </c>
      <c r="BA518" s="56">
        <f t="shared" ref="BA518" si="1522">SUM(BA516:BA517)</f>
        <v>331.65600000000001</v>
      </c>
      <c r="BB518" s="56">
        <f t="shared" ref="BB518" si="1523">SUM(BB516:BB517)</f>
        <v>568.79600000000005</v>
      </c>
      <c r="BC518" s="56">
        <f>SUM(BC516:BC517)</f>
        <v>564.24699999999996</v>
      </c>
      <c r="BD518" s="56">
        <f t="shared" ref="BD518:BE518" ca="1" si="1524">SUM(BD516:BD517)</f>
        <v>777.9063493368883</v>
      </c>
      <c r="BE518" s="56">
        <f t="shared" ca="1" si="1524"/>
        <v>979.69250872014698</v>
      </c>
      <c r="BF518" s="18"/>
      <c r="BG518" s="86"/>
      <c r="BH518" s="86"/>
      <c r="BI518" s="86"/>
      <c r="BJ518" s="86"/>
      <c r="BK518" s="86"/>
    </row>
    <row r="519" spans="1:63" s="54" customFormat="1" ht="11.25" customHeight="1">
      <c r="A519" s="18"/>
      <c r="B519" s="36" t="s">
        <v>249</v>
      </c>
      <c r="C519" s="18"/>
      <c r="D519" s="120"/>
      <c r="E519" s="120"/>
      <c r="F519" s="120"/>
      <c r="G519" s="120"/>
      <c r="H519" s="120">
        <f>H518/D518-1</f>
        <v>0.38593386346004643</v>
      </c>
      <c r="I519" s="120">
        <f t="shared" ref="I519" si="1525">I518/E518-1</f>
        <v>0.29274156580089539</v>
      </c>
      <c r="J519" s="120">
        <f t="shared" ref="J519" si="1526">J518/F518-1</f>
        <v>0.32913114139267408</v>
      </c>
      <c r="K519" s="120">
        <f t="shared" ref="K519" si="1527">K518/G518-1</f>
        <v>0.39038715492485387</v>
      </c>
      <c r="L519" s="120">
        <f t="shared" ref="L519" si="1528">L518/H518-1</f>
        <v>0.38538667413017991</v>
      </c>
      <c r="M519" s="120">
        <f t="shared" ref="M519" si="1529">M518/I518-1</f>
        <v>0.5440289414418662</v>
      </c>
      <c r="N519" s="120">
        <f t="shared" ref="N519" si="1530">N518/J518-1</f>
        <v>0.81196269277219479</v>
      </c>
      <c r="O519" s="120">
        <f t="shared" ref="O519" si="1531">O518/K518-1</f>
        <v>0.71501797042718973</v>
      </c>
      <c r="P519" s="120">
        <f t="shared" ref="P519" si="1532">P518/L518-1</f>
        <v>0.42694296854481917</v>
      </c>
      <c r="Q519" s="120">
        <f t="shared" ref="Q519" si="1533">Q518/M518-1</f>
        <v>0.25247616674240536</v>
      </c>
      <c r="R519" s="120">
        <f t="shared" ref="R519" si="1534">R518/N518-1</f>
        <v>0.19635719580487843</v>
      </c>
      <c r="S519" s="120">
        <f t="shared" ref="S519" si="1535">S518/O518-1</f>
        <v>-7.9975949197956808E-3</v>
      </c>
      <c r="T519" s="120">
        <f t="shared" ref="T519" si="1536">T518/P518-1</f>
        <v>0.24761705877980678</v>
      </c>
      <c r="U519" s="120">
        <f t="shared" ref="U519:V519" si="1537">U518/Q518-1</f>
        <v>0.35474142723660429</v>
      </c>
      <c r="V519" s="120">
        <f t="shared" si="1537"/>
        <v>0.19582973199068343</v>
      </c>
      <c r="W519" s="120">
        <f t="shared" ref="W519" ca="1" si="1538">W518/S518-1</f>
        <v>0.37866280075372738</v>
      </c>
      <c r="X519" s="120">
        <f t="shared" ref="X519" si="1539">X518/T518-1</f>
        <v>7.8393313222807404E-2</v>
      </c>
      <c r="Y519" s="120">
        <f t="shared" ref="Y519" si="1540">Y518/U518-1</f>
        <v>0.10453322046146596</v>
      </c>
      <c r="Z519" s="120">
        <f t="shared" ref="Z519" si="1541">Z518/V518-1</f>
        <v>0.25437864887135242</v>
      </c>
      <c r="AA519" s="120">
        <f t="shared" ref="AA519" ca="1" si="1542">AA518/W518-1</f>
        <v>0.25939646791065218</v>
      </c>
      <c r="AB519" s="18"/>
      <c r="AC519" s="120"/>
      <c r="AD519" s="120">
        <f t="shared" ref="AD519" si="1543">IFERROR(AD518/AC518-1,"n/a")</f>
        <v>-2.0072260136491438E-2</v>
      </c>
      <c r="AE519" s="120">
        <f t="shared" ref="AE519" si="1544">IFERROR(AE518/AD518-1,"n/a")</f>
        <v>0.55346169602621886</v>
      </c>
      <c r="AF519" s="120">
        <f t="shared" ref="AF519" si="1545">IFERROR(AF518/AE518-1,"n/a")</f>
        <v>1.3720991561181437</v>
      </c>
      <c r="AG519" s="120">
        <f t="shared" ref="AG519" si="1546">IFERROR(AG518/AF518-1,"n/a")</f>
        <v>-0.48899388549194001</v>
      </c>
      <c r="AH519" s="120">
        <f t="shared" ref="AH519" si="1547">IFERROR(AH518/AG518-1,"n/a")</f>
        <v>0.45676057870118569</v>
      </c>
      <c r="AI519" s="120">
        <f t="shared" ref="AI519" si="1548">IFERROR(AI518/AH518-1,"n/a")</f>
        <v>0.38201911589008364</v>
      </c>
      <c r="AJ519" s="120">
        <f t="shared" ref="AJ519" si="1549">IFERROR(AJ518/AI518-1,"n/a")</f>
        <v>5.943375837475684E-2</v>
      </c>
      <c r="AK519" s="120">
        <f t="shared" ref="AK519" si="1550">IFERROR(AK518/AJ518-1,"n/a")</f>
        <v>0.31186250509995928</v>
      </c>
      <c r="AL519" s="120">
        <f t="shared" ref="AL519" si="1551">IFERROR(AL518/AK518-1,"n/a")</f>
        <v>0.13081677875830966</v>
      </c>
      <c r="AM519" s="120">
        <f t="shared" ref="AM519" si="1552">IFERROR(AM518/AL518-1,"n/a")</f>
        <v>0.4496699669966997</v>
      </c>
      <c r="AN519" s="120">
        <f t="shared" ref="AN519" si="1553">IFERROR(AN518/AM518-1,"n/a")</f>
        <v>-3.7516600265604216E-2</v>
      </c>
      <c r="AO519" s="120">
        <f t="shared" ref="AO519" si="1554">IFERROR(AO518/AN518-1,"n/a")</f>
        <v>0.21371901640959945</v>
      </c>
      <c r="AP519" s="120">
        <f t="shared" ref="AP519" si="1555">IFERROR(AP518/AO518-1,"n/a")</f>
        <v>-1.5915550142103108E-2</v>
      </c>
      <c r="AQ519" s="120">
        <f t="shared" ref="AQ519" si="1556">IFERROR(AQ518/AP518-1,"n/a")</f>
        <v>5.1571911873917076E-2</v>
      </c>
      <c r="AR519" s="120">
        <f t="shared" ref="AR519" si="1557">IFERROR(AR518/AQ518-1,"n/a")</f>
        <v>0.34963512241054628</v>
      </c>
      <c r="AS519" s="120">
        <f t="shared" ref="AS519" si="1558">IFERROR(AS518/AR518-1,"n/a")</f>
        <v>0.22564281457579316</v>
      </c>
      <c r="AT519" s="120">
        <f t="shared" ref="AT519" si="1559">IFERROR(AT518/AS518-1,"n/a")</f>
        <v>0.63508176891239621</v>
      </c>
      <c r="AU519" s="120">
        <f t="shared" ref="AU519" si="1560">IFERROR(AU518/AT518-1,"n/a")</f>
        <v>-0.1062556663644606</v>
      </c>
      <c r="AV519" s="120">
        <f t="shared" ref="AV519" si="1561">IFERROR(AV518/AU518-1,"n/a")</f>
        <v>0.29046053966321761</v>
      </c>
      <c r="AW519" s="120">
        <f t="shared" ref="AW519" si="1562">IFERROR(AW518/AV518-1,"n/a")</f>
        <v>0.13707968330430087</v>
      </c>
      <c r="AX519" s="120">
        <f t="shared" ref="AX519" si="1563">IFERROR(AX518/AW518-1,"n/a")</f>
        <v>-3.9050963692171647E-2</v>
      </c>
      <c r="AY519" s="120">
        <f t="shared" ref="AY519" si="1564">IFERROR(AY518/AX518-1,"n/a")</f>
        <v>-2.1887265904669606E-2</v>
      </c>
      <c r="AZ519" s="120">
        <f t="shared" ref="AZ519" si="1565">IFERROR(AZ518/AY518-1,"n/a")</f>
        <v>0.40355161193520472</v>
      </c>
      <c r="BA519" s="120">
        <f t="shared" ref="BA519" si="1566">IFERROR(BA518/AZ518-1,"n/a")</f>
        <v>0.39038715492485387</v>
      </c>
      <c r="BB519" s="120">
        <f t="shared" ref="BB519" si="1567">IFERROR(BB518/BA518-1,"n/a")</f>
        <v>0.71501797042718973</v>
      </c>
      <c r="BC519" s="120">
        <f t="shared" ref="BC519" si="1568">IFERROR(BC518/BB518-1,"n/a")</f>
        <v>-7.9975949197956808E-3</v>
      </c>
      <c r="BD519" s="120">
        <f t="shared" ref="BD519:BE519" ca="1" si="1569">IFERROR(BD518/BC518-1,"n/a")</f>
        <v>0.37866280075372738</v>
      </c>
      <c r="BE519" s="120">
        <f t="shared" ca="1" si="1569"/>
        <v>0.25939646791065218</v>
      </c>
      <c r="BF519" s="18"/>
      <c r="BG519" s="52"/>
      <c r="BH519" s="52"/>
      <c r="BI519" s="52"/>
      <c r="BJ519" s="52"/>
      <c r="BK519" s="52"/>
    </row>
    <row r="520" spans="1:63" s="54" customFormat="1" ht="11.25" customHeight="1">
      <c r="A520" s="18"/>
      <c r="B520" s="2"/>
      <c r="C520" s="18"/>
      <c r="D520" s="56"/>
      <c r="E520" s="56"/>
      <c r="F520" s="56"/>
      <c r="G520" s="56"/>
      <c r="H520" s="56"/>
      <c r="I520" s="56"/>
      <c r="J520" s="56"/>
      <c r="K520" s="56"/>
      <c r="L520" s="56"/>
      <c r="M520" s="56"/>
      <c r="N520" s="56"/>
      <c r="O520" s="56"/>
      <c r="P520" s="56"/>
      <c r="Q520" s="56"/>
      <c r="R520" s="56"/>
      <c r="S520" s="56"/>
      <c r="T520" s="56"/>
      <c r="U520" s="56"/>
      <c r="V520" s="56"/>
      <c r="W520" s="56"/>
      <c r="X520" s="56"/>
      <c r="Y520" s="56"/>
      <c r="Z520" s="56"/>
      <c r="AA520" s="56"/>
      <c r="AB520" s="18"/>
      <c r="AC520" s="56"/>
      <c r="AD520" s="56"/>
      <c r="AE520" s="56"/>
      <c r="AF520" s="56"/>
      <c r="AG520" s="56"/>
      <c r="AH520" s="56"/>
      <c r="AI520" s="56"/>
      <c r="AJ520" s="56"/>
      <c r="AK520" s="56"/>
      <c r="AL520" s="56"/>
      <c r="AM520" s="56"/>
      <c r="AN520" s="56"/>
      <c r="AO520" s="56"/>
      <c r="AP520" s="56"/>
      <c r="AQ520" s="56"/>
      <c r="AR520" s="56"/>
      <c r="AS520" s="56"/>
      <c r="AT520" s="56"/>
      <c r="AU520" s="56"/>
      <c r="AV520" s="56"/>
      <c r="AW520" s="56"/>
      <c r="AX520" s="56"/>
      <c r="AY520" s="56"/>
      <c r="AZ520" s="56"/>
      <c r="BA520" s="56"/>
      <c r="BB520" s="56"/>
      <c r="BC520" s="56"/>
      <c r="BD520" s="56"/>
      <c r="BE520" s="56"/>
      <c r="BF520" s="18"/>
      <c r="BG520" s="86"/>
      <c r="BH520" s="86"/>
      <c r="BI520" s="86"/>
      <c r="BJ520" s="86"/>
      <c r="BK520" s="86"/>
    </row>
    <row r="521" spans="1:63" s="54" customFormat="1" ht="11.25" customHeight="1">
      <c r="A521" s="18"/>
      <c r="B521" s="2" t="s">
        <v>547</v>
      </c>
      <c r="C521" s="18"/>
      <c r="D521" s="56">
        <f>D513-D518</f>
        <v>34.676999999999992</v>
      </c>
      <c r="E521" s="56">
        <f t="shared" ref="E521:W521" si="1570">E513-E518</f>
        <v>49.95799999999997</v>
      </c>
      <c r="F521" s="56">
        <f t="shared" si="1570"/>
        <v>87.279000000000025</v>
      </c>
      <c r="G521" s="56">
        <f t="shared" si="1570"/>
        <v>62.17300000000003</v>
      </c>
      <c r="H521" s="56">
        <f t="shared" si="1570"/>
        <v>57.230000000000075</v>
      </c>
      <c r="I521" s="56">
        <f t="shared" si="1570"/>
        <v>105.18199999999996</v>
      </c>
      <c r="J521" s="56">
        <f t="shared" si="1570"/>
        <v>129.02700000000004</v>
      </c>
      <c r="K521" s="56">
        <f t="shared" si="1570"/>
        <v>86.961999999999989</v>
      </c>
      <c r="L521" s="56">
        <f t="shared" si="1570"/>
        <v>44.190000000000055</v>
      </c>
      <c r="M521" s="56">
        <f t="shared" si="1570"/>
        <v>70.995999999999981</v>
      </c>
      <c r="N521" s="56">
        <f t="shared" si="1570"/>
        <v>33.75100000000009</v>
      </c>
      <c r="O521" s="56">
        <f t="shared" si="1570"/>
        <v>-77.384999999999991</v>
      </c>
      <c r="P521" s="56">
        <f t="shared" si="1570"/>
        <v>-158.51599999999996</v>
      </c>
      <c r="Q521" s="56">
        <f t="shared" si="1570"/>
        <v>-42.632999999999925</v>
      </c>
      <c r="R521" s="56">
        <f t="shared" si="1570"/>
        <v>-45.019000000000119</v>
      </c>
      <c r="S521" s="56">
        <f t="shared" si="1570"/>
        <v>-57.858999999999924</v>
      </c>
      <c r="T521" s="56">
        <f t="shared" si="1570"/>
        <v>-174.86500000000001</v>
      </c>
      <c r="U521" s="56">
        <f t="shared" si="1570"/>
        <v>-151.47299999999996</v>
      </c>
      <c r="V521" s="56">
        <f t="shared" ref="V521" si="1571">V513-V518</f>
        <v>-82.692000000000121</v>
      </c>
      <c r="W521" s="56">
        <f t="shared" ca="1" si="1570"/>
        <v>-91.945927778524151</v>
      </c>
      <c r="X521" s="56">
        <f t="shared" ref="X521:AA521" si="1572">X513-X518</f>
        <v>-94.708866254782947</v>
      </c>
      <c r="Y521" s="56">
        <f t="shared" si="1572"/>
        <v>-101.43416893683468</v>
      </c>
      <c r="Z521" s="56">
        <f t="shared" si="1572"/>
        <v>-120.77097914821786</v>
      </c>
      <c r="AA521" s="56">
        <f t="shared" ca="1" si="1572"/>
        <v>-136.89913925680423</v>
      </c>
      <c r="AB521" s="18"/>
      <c r="AC521" s="56">
        <f>AC513-AC518</f>
        <v>11.477</v>
      </c>
      <c r="AD521" s="56">
        <f t="shared" ref="AD521:BC521" si="1573">AD513-AD518</f>
        <v>8.0739999999999998</v>
      </c>
      <c r="AE521" s="56">
        <f t="shared" si="1573"/>
        <v>15.529</v>
      </c>
      <c r="AF521" s="56">
        <f t="shared" si="1573"/>
        <v>34.011999999999993</v>
      </c>
      <c r="AG521" s="56">
        <f t="shared" si="1573"/>
        <v>22.653999999999996</v>
      </c>
      <c r="AH521" s="56">
        <f t="shared" si="1573"/>
        <v>21.184999999999999</v>
      </c>
      <c r="AI521" s="56">
        <f t="shared" si="1573"/>
        <v>31.433000000000003</v>
      </c>
      <c r="AJ521" s="56">
        <f t="shared" si="1573"/>
        <v>36.431000000000004</v>
      </c>
      <c r="AK521" s="56">
        <f t="shared" si="1573"/>
        <v>42.649000000000001</v>
      </c>
      <c r="AL521" s="56">
        <f t="shared" si="1573"/>
        <v>36.15</v>
      </c>
      <c r="AM521" s="56">
        <f t="shared" si="1573"/>
        <v>32.82</v>
      </c>
      <c r="AN521" s="56">
        <f t="shared" si="1573"/>
        <v>0.58300000000000551</v>
      </c>
      <c r="AO521" s="56">
        <f t="shared" si="1573"/>
        <v>14.747000000000007</v>
      </c>
      <c r="AP521" s="56">
        <f t="shared" si="1573"/>
        <v>31.469000000000008</v>
      </c>
      <c r="AQ521" s="56">
        <f t="shared" si="1573"/>
        <v>23.662000000000006</v>
      </c>
      <c r="AR521" s="56">
        <f t="shared" si="1573"/>
        <v>30.608999999999995</v>
      </c>
      <c r="AS521" s="56">
        <f t="shared" si="1573"/>
        <v>28.821999999999974</v>
      </c>
      <c r="AT521" s="56">
        <f t="shared" si="1573"/>
        <v>51.766999999999996</v>
      </c>
      <c r="AU521" s="56">
        <f t="shared" si="1573"/>
        <v>37.356000000000023</v>
      </c>
      <c r="AV521" s="56">
        <f t="shared" si="1573"/>
        <v>26.603000000000037</v>
      </c>
      <c r="AW521" s="56">
        <f t="shared" si="1573"/>
        <v>27.028999999999996</v>
      </c>
      <c r="AX521" s="56">
        <f t="shared" si="1573"/>
        <v>82.744</v>
      </c>
      <c r="AY521" s="56">
        <f t="shared" si="1573"/>
        <v>69.214999999999975</v>
      </c>
      <c r="AZ521" s="56">
        <f t="shared" si="1573"/>
        <v>62.17300000000003</v>
      </c>
      <c r="BA521" s="56">
        <f t="shared" si="1573"/>
        <v>86.961999999999989</v>
      </c>
      <c r="BB521" s="56">
        <f t="shared" si="1573"/>
        <v>-77.384999999999991</v>
      </c>
      <c r="BC521" s="56">
        <f t="shared" si="1573"/>
        <v>-57.858999999999924</v>
      </c>
      <c r="BD521" s="56">
        <f t="shared" ref="BD521:BE521" ca="1" si="1574">BD513-BD518</f>
        <v>-91.945927778524151</v>
      </c>
      <c r="BE521" s="56">
        <f t="shared" ca="1" si="1574"/>
        <v>-136.89913925680423</v>
      </c>
      <c r="BF521" s="18"/>
      <c r="BG521" s="86"/>
      <c r="BH521" s="86"/>
      <c r="BI521" s="86"/>
      <c r="BJ521" s="86"/>
      <c r="BK521" s="86"/>
    </row>
    <row r="522" spans="1:63" s="54" customFormat="1" ht="11.25" customHeight="1">
      <c r="A522" s="18"/>
      <c r="B522" s="35" t="s">
        <v>249</v>
      </c>
      <c r="C522" s="18"/>
      <c r="D522" s="120"/>
      <c r="E522" s="120"/>
      <c r="F522" s="120"/>
      <c r="G522" s="120"/>
      <c r="H522" s="120">
        <f>H521/D521-1</f>
        <v>0.65037344637656336</v>
      </c>
      <c r="I522" s="120">
        <f t="shared" ref="I522:W522" si="1575">I521/E521-1</f>
        <v>1.1054085431762686</v>
      </c>
      <c r="J522" s="120">
        <f t="shared" si="1575"/>
        <v>0.47832812016636317</v>
      </c>
      <c r="K522" s="120">
        <f t="shared" si="1575"/>
        <v>0.39871005098676182</v>
      </c>
      <c r="L522" s="120">
        <f t="shared" si="1575"/>
        <v>-0.22785252489952823</v>
      </c>
      <c r="M522" s="120">
        <f t="shared" si="1575"/>
        <v>-0.32501758856078033</v>
      </c>
      <c r="N522" s="120">
        <f t="shared" si="1575"/>
        <v>-0.73841909057794042</v>
      </c>
      <c r="O522" s="120">
        <f t="shared" si="1575"/>
        <v>-1.8898714380993997</v>
      </c>
      <c r="P522" s="120">
        <f t="shared" si="1575"/>
        <v>-4.5871464132156543</v>
      </c>
      <c r="Q522" s="120">
        <f t="shared" si="1575"/>
        <v>-1.6004986196405422</v>
      </c>
      <c r="R522" s="120">
        <f t="shared" si="1575"/>
        <v>-2.3338567746140857</v>
      </c>
      <c r="S522" s="120">
        <f t="shared" si="1575"/>
        <v>-0.25232280157653386</v>
      </c>
      <c r="T522" s="120">
        <f t="shared" si="1575"/>
        <v>0.10313785359206684</v>
      </c>
      <c r="U522" s="120">
        <f t="shared" si="1575"/>
        <v>2.5529519386390875</v>
      </c>
      <c r="V522" s="120">
        <f t="shared" si="1575"/>
        <v>0.83682445189808541</v>
      </c>
      <c r="W522" s="120">
        <f t="shared" ca="1" si="1575"/>
        <v>0.58913786582077599</v>
      </c>
      <c r="X522" s="120">
        <f t="shared" ref="X522" si="1576">X521/T521-1</f>
        <v>-0.45838866408496304</v>
      </c>
      <c r="Y522" s="120">
        <f t="shared" ref="Y522" si="1577">Y521/U521-1</f>
        <v>-0.33034818788275988</v>
      </c>
      <c r="Z522" s="120">
        <f t="shared" ref="Z522" si="1578">Z521/V521-1</f>
        <v>0.46049169385451649</v>
      </c>
      <c r="AA522" s="120">
        <f t="shared" ref="AA522" ca="1" si="1579">AA521/W521-1</f>
        <v>0.48890921614888327</v>
      </c>
      <c r="AB522" s="18"/>
      <c r="AC522" s="120"/>
      <c r="AD522" s="120">
        <f t="shared" ref="AD522" si="1580">IFERROR(AD521/AC521-1,"n/a")</f>
        <v>-0.29650605558943977</v>
      </c>
      <c r="AE522" s="120">
        <f t="shared" ref="AE522" si="1581">IFERROR(AE521/AD521-1,"n/a")</f>
        <v>0.92333415902898186</v>
      </c>
      <c r="AF522" s="120">
        <f t="shared" ref="AF522" si="1582">IFERROR(AF521/AE521-1,"n/a")</f>
        <v>1.1902247408075208</v>
      </c>
      <c r="AG522" s="120">
        <f t="shared" ref="AG522" si="1583">IFERROR(AG521/AF521-1,"n/a")</f>
        <v>-0.33394096201340706</v>
      </c>
      <c r="AH522" s="120">
        <f t="shared" ref="AH522" si="1584">IFERROR(AH521/AG521-1,"n/a")</f>
        <v>-6.4845060474971183E-2</v>
      </c>
      <c r="AI522" s="120">
        <f t="shared" ref="AI522" si="1585">IFERROR(AI521/AH521-1,"n/a")</f>
        <v>0.48373849421760706</v>
      </c>
      <c r="AJ522" s="120">
        <f t="shared" ref="AJ522" si="1586">IFERROR(AJ521/AI521-1,"n/a")</f>
        <v>0.15900486749594367</v>
      </c>
      <c r="AK522" s="120">
        <f t="shared" ref="AK522" si="1587">IFERROR(AK521/AJ521-1,"n/a")</f>
        <v>0.17067881749059866</v>
      </c>
      <c r="AL522" s="120">
        <f t="shared" ref="AL522" si="1588">IFERROR(AL521/AK521-1,"n/a")</f>
        <v>-0.15238340875518774</v>
      </c>
      <c r="AM522" s="120">
        <f t="shared" ref="AM522" si="1589">IFERROR(AM521/AL521-1,"n/a")</f>
        <v>-9.2116182572614114E-2</v>
      </c>
      <c r="AN522" s="120">
        <f t="shared" ref="AN522" si="1590">IFERROR(AN521/AM521-1,"n/a")</f>
        <v>-0.98223644119439346</v>
      </c>
      <c r="AO522" s="120">
        <f t="shared" ref="AO522" si="1591">IFERROR(AO521/AN521-1,"n/a")</f>
        <v>24.295025728987767</v>
      </c>
      <c r="AP522" s="120">
        <f t="shared" ref="AP522" si="1592">IFERROR(AP521/AO521-1,"n/a")</f>
        <v>1.1339255441784766</v>
      </c>
      <c r="AQ522" s="120">
        <f t="shared" ref="AQ522" si="1593">IFERROR(AQ521/AP521-1,"n/a")</f>
        <v>-0.24808541739489653</v>
      </c>
      <c r="AR522" s="120">
        <f t="shared" ref="AR522" si="1594">IFERROR(AR521/AQ521-1,"n/a")</f>
        <v>0.29359310286535312</v>
      </c>
      <c r="AS522" s="120">
        <f t="shared" ref="AS522" si="1595">IFERROR(AS521/AR521-1,"n/a")</f>
        <v>-5.8381521774642176E-2</v>
      </c>
      <c r="AT522" s="120">
        <f t="shared" ref="AT522" si="1596">IFERROR(AT521/AS521-1,"n/a")</f>
        <v>0.79609326209145936</v>
      </c>
      <c r="AU522" s="120">
        <f t="shared" ref="AU522" si="1597">IFERROR(AU521/AT521-1,"n/a")</f>
        <v>-0.27838198079857779</v>
      </c>
      <c r="AV522" s="120">
        <f t="shared" ref="AV522" si="1598">IFERROR(AV521/AU521-1,"n/a")</f>
        <v>-0.28785201841738883</v>
      </c>
      <c r="AW522" s="120">
        <f t="shared" ref="AW522" si="1599">IFERROR(AW521/AV521-1,"n/a")</f>
        <v>1.6013231590420673E-2</v>
      </c>
      <c r="AX522" s="120">
        <f t="shared" ref="AX522" si="1600">IFERROR(AX521/AW521-1,"n/a")</f>
        <v>2.0613045247696924</v>
      </c>
      <c r="AY522" s="120">
        <f t="shared" ref="AY522" si="1601">IFERROR(AY521/AX521-1,"n/a")</f>
        <v>-0.16350430242676239</v>
      </c>
      <c r="AZ522" s="120">
        <f t="shared" ref="AZ522" si="1602">IFERROR(AZ521/AY521-1,"n/a")</f>
        <v>-0.10174095210575662</v>
      </c>
      <c r="BA522" s="120">
        <f t="shared" ref="BA522" si="1603">IFERROR(BA521/AZ521-1,"n/a")</f>
        <v>0.39871005098676182</v>
      </c>
      <c r="BB522" s="120">
        <f t="shared" ref="BB522" si="1604">IFERROR(BB521/BA521-1,"n/a")</f>
        <v>-1.8898714380993997</v>
      </c>
      <c r="BC522" s="120">
        <f t="shared" ref="BC522" si="1605">IFERROR(BC521/BB521-1,"n/a")</f>
        <v>-0.25232280157653386</v>
      </c>
      <c r="BD522" s="120">
        <f t="shared" ref="BD522:BE522" ca="1" si="1606">IFERROR(BD521/BC521-1,"n/a")</f>
        <v>0.58913786582077599</v>
      </c>
      <c r="BE522" s="120">
        <f t="shared" ca="1" si="1606"/>
        <v>0.48890921614888327</v>
      </c>
      <c r="BF522" s="18"/>
      <c r="BG522" s="52"/>
      <c r="BH522" s="52"/>
      <c r="BI522" s="52"/>
      <c r="BJ522" s="52"/>
      <c r="BK522" s="52"/>
    </row>
    <row r="523" spans="1:63" s="54" customFormat="1" ht="11.25" customHeight="1">
      <c r="A523" s="18"/>
      <c r="B523" s="9" t="s">
        <v>685</v>
      </c>
      <c r="C523" s="18"/>
      <c r="D523" s="436">
        <f t="shared" ref="D523:AA523" si="1607">D521/(D16*4)</f>
        <v>2.7911553853339349E-2</v>
      </c>
      <c r="E523" s="436">
        <f t="shared" si="1607"/>
        <v>4.0185217575483573E-2</v>
      </c>
      <c r="F523" s="436">
        <f t="shared" si="1607"/>
        <v>6.1218142086994262E-2</v>
      </c>
      <c r="G523" s="436">
        <f t="shared" si="1607"/>
        <v>4.3004505810878293E-2</v>
      </c>
      <c r="H523" s="436">
        <f t="shared" si="1607"/>
        <v>3.9478742087385381E-2</v>
      </c>
      <c r="I523" s="436">
        <f t="shared" si="1607"/>
        <v>7.0659262866812456E-2</v>
      </c>
      <c r="J523" s="436">
        <f t="shared" si="1607"/>
        <v>7.7788893621456412E-2</v>
      </c>
      <c r="K523" s="436">
        <f t="shared" si="1607"/>
        <v>4.9614401132829104E-2</v>
      </c>
      <c r="L523" s="436">
        <f t="shared" si="1607"/>
        <v>2.2496523668553377E-2</v>
      </c>
      <c r="M523" s="436">
        <f t="shared" si="1607"/>
        <v>3.3229065696100103E-2</v>
      </c>
      <c r="N523" s="436">
        <f t="shared" si="1607"/>
        <v>1.3761477398746648E-2</v>
      </c>
      <c r="O523" s="436">
        <f t="shared" si="1607"/>
        <v>-3.092768088995267E-2</v>
      </c>
      <c r="P523" s="436">
        <f t="shared" si="1607"/>
        <v>-7.7912762450813411E-2</v>
      </c>
      <c r="Q523" s="436">
        <f t="shared" si="1607"/>
        <v>-2.2165839372842125E-2</v>
      </c>
      <c r="R523" s="436">
        <f t="shared" si="1607"/>
        <v>-2.058546855902867E-2</v>
      </c>
      <c r="S523" s="436">
        <f t="shared" si="1607"/>
        <v>-2.3124027268343391E-2</v>
      </c>
      <c r="T523" s="436">
        <f t="shared" si="1607"/>
        <v>-7.3764747763051169E-2</v>
      </c>
      <c r="U523" s="436">
        <f t="shared" si="1607"/>
        <v>-5.6225208308916162E-2</v>
      </c>
      <c r="V523" s="436">
        <f t="shared" ref="V523" si="1608">V521/(V16*4)</f>
        <v>-2.7212343949916586E-2</v>
      </c>
      <c r="W523" s="436">
        <f t="shared" ca="1" si="1607"/>
        <v>-2.6692965479764547E-2</v>
      </c>
      <c r="X523" s="436">
        <f t="shared" si="1607"/>
        <v>-2.9593943392134725E-2</v>
      </c>
      <c r="Y523" s="436">
        <f t="shared" si="1607"/>
        <v>-3.1376093858945846E-2</v>
      </c>
      <c r="Z523" s="436">
        <f t="shared" si="1607"/>
        <v>-3.3119501924304483E-2</v>
      </c>
      <c r="AA523" s="436">
        <f t="shared" ca="1" si="1607"/>
        <v>-3.3119501924304531E-2</v>
      </c>
      <c r="AB523" s="18"/>
      <c r="AC523" s="436">
        <f t="shared" ref="AC523:BE523" si="1609">AC521/(AC16)</f>
        <v>0.26127438705124412</v>
      </c>
      <c r="AD523" s="436">
        <f t="shared" si="1609"/>
        <v>0.16012851533060965</v>
      </c>
      <c r="AE523" s="436">
        <f t="shared" si="1609"/>
        <v>0.21253096473100033</v>
      </c>
      <c r="AF523" s="436">
        <f t="shared" si="1609"/>
        <v>0.20464746868193354</v>
      </c>
      <c r="AG523" s="436">
        <f t="shared" si="1609"/>
        <v>0.17995789808158236</v>
      </c>
      <c r="AH523" s="436">
        <f t="shared" si="1609"/>
        <v>0.13052907868713071</v>
      </c>
      <c r="AI523" s="436">
        <f t="shared" si="1609"/>
        <v>0.15484465287664351</v>
      </c>
      <c r="AJ523" s="436">
        <f t="shared" si="1609"/>
        <v>0.14163747555527909</v>
      </c>
      <c r="AK523" s="436">
        <f t="shared" si="1609"/>
        <v>0.15999474799767413</v>
      </c>
      <c r="AL523" s="436">
        <f t="shared" si="1609"/>
        <v>0.11389162809893921</v>
      </c>
      <c r="AM523" s="436">
        <f t="shared" si="1609"/>
        <v>0.10172643585531414</v>
      </c>
      <c r="AN523" s="436">
        <f t="shared" si="1609"/>
        <v>1.7499204581610092E-3</v>
      </c>
      <c r="AO523" s="436">
        <f t="shared" si="1609"/>
        <v>4.9864408842842767E-2</v>
      </c>
      <c r="AP523" s="436">
        <f t="shared" si="1609"/>
        <v>7.5008700046241356E-2</v>
      </c>
      <c r="AQ523" s="436">
        <f t="shared" si="1609"/>
        <v>5.5404010012152276E-2</v>
      </c>
      <c r="AR523" s="436">
        <f t="shared" si="1609"/>
        <v>6.0403161353343386E-2</v>
      </c>
      <c r="AS523" s="436">
        <f t="shared" si="1609"/>
        <v>4.8276116203033674E-2</v>
      </c>
      <c r="AT523" s="436">
        <f t="shared" si="1609"/>
        <v>6.786391297394094E-2</v>
      </c>
      <c r="AU523" s="436">
        <f t="shared" si="1609"/>
        <v>4.4287057333932456E-2</v>
      </c>
      <c r="AV523" s="436">
        <f t="shared" si="1609"/>
        <v>2.8064071700891868E-2</v>
      </c>
      <c r="AW523" s="436">
        <f t="shared" si="1609"/>
        <v>2.7652650220421158E-2</v>
      </c>
      <c r="AX523" s="436">
        <f t="shared" si="1609"/>
        <v>8.0219215934781346E-2</v>
      </c>
      <c r="AY523" s="436">
        <f t="shared" si="1609"/>
        <v>6.468779564187116E-2</v>
      </c>
      <c r="AZ523" s="436">
        <f t="shared" si="1609"/>
        <v>4.6423577865347711E-2</v>
      </c>
      <c r="BA523" s="436">
        <f t="shared" si="1609"/>
        <v>5.4782144538800918E-2</v>
      </c>
      <c r="BB523" s="436">
        <f t="shared" si="1609"/>
        <v>-3.4182295003942258E-2</v>
      </c>
      <c r="BC523" s="436">
        <f t="shared" si="1609"/>
        <v>-2.6765062893896352E-2</v>
      </c>
      <c r="BD523" s="436">
        <f t="shared" ca="1" si="1609"/>
        <v>-3.1848368663996096E-2</v>
      </c>
      <c r="BE523" s="436">
        <f t="shared" ca="1" si="1609"/>
        <v>-3.8527487915812536E-2</v>
      </c>
      <c r="BF523" s="18"/>
      <c r="BG523" s="86"/>
      <c r="BH523" s="86"/>
      <c r="BI523" s="86"/>
      <c r="BJ523" s="86"/>
      <c r="BK523" s="86"/>
    </row>
    <row r="524" spans="1:63" s="54" customFormat="1" ht="11.25" customHeight="1">
      <c r="A524" s="18"/>
      <c r="B524" s="2"/>
      <c r="C524" s="18"/>
      <c r="D524" s="56"/>
      <c r="E524" s="56"/>
      <c r="F524" s="56"/>
      <c r="G524" s="56"/>
      <c r="H524" s="56"/>
      <c r="I524" s="56"/>
      <c r="J524" s="56"/>
      <c r="K524" s="56"/>
      <c r="L524" s="56"/>
      <c r="M524" s="56"/>
      <c r="N524" s="56"/>
      <c r="O524" s="56"/>
      <c r="P524" s="56"/>
      <c r="Q524" s="56"/>
      <c r="R524" s="56"/>
      <c r="S524" s="56"/>
      <c r="T524" s="56"/>
      <c r="U524" s="56"/>
      <c r="V524" s="56"/>
      <c r="W524" s="56"/>
      <c r="X524" s="56"/>
      <c r="Y524" s="56"/>
      <c r="Z524" s="56"/>
      <c r="AA524" s="56"/>
      <c r="AB524" s="18"/>
      <c r="AC524" s="56"/>
      <c r="AD524" s="56"/>
      <c r="AE524" s="56"/>
      <c r="AF524" s="56"/>
      <c r="AG524" s="56"/>
      <c r="AH524" s="56"/>
      <c r="AI524" s="56"/>
      <c r="AJ524" s="56"/>
      <c r="AK524" s="56"/>
      <c r="AL524" s="56"/>
      <c r="AM524" s="56"/>
      <c r="AN524" s="56"/>
      <c r="AO524" s="56"/>
      <c r="AP524" s="56"/>
      <c r="AQ524" s="56"/>
      <c r="AR524" s="56"/>
      <c r="AS524" s="56"/>
      <c r="AT524" s="56"/>
      <c r="AU524" s="56"/>
      <c r="AV524" s="56"/>
      <c r="AW524" s="56"/>
      <c r="AX524" s="56"/>
      <c r="AY524" s="56"/>
      <c r="AZ524" s="56"/>
      <c r="BA524" s="56"/>
      <c r="BB524" s="56"/>
      <c r="BC524" s="56"/>
      <c r="BD524" s="56"/>
      <c r="BE524" s="56"/>
      <c r="BF524" s="18"/>
      <c r="BG524" s="86"/>
      <c r="BH524" s="86"/>
      <c r="BI524" s="86"/>
      <c r="BJ524" s="86"/>
      <c r="BK524" s="86"/>
    </row>
    <row r="525" spans="1:63" s="54" customFormat="1" ht="11.25" customHeight="1">
      <c r="A525" s="18"/>
      <c r="B525" s="25" t="s">
        <v>611</v>
      </c>
      <c r="C525" s="18"/>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c r="AB525" s="18"/>
      <c r="AC525" s="56"/>
      <c r="AD525" s="56"/>
      <c r="AE525" s="56"/>
      <c r="AF525" s="56"/>
      <c r="AG525" s="56"/>
      <c r="AH525" s="56"/>
      <c r="AI525" s="56"/>
      <c r="AJ525" s="56"/>
      <c r="AK525" s="56"/>
      <c r="AL525" s="56"/>
      <c r="AM525" s="56"/>
      <c r="AN525" s="56"/>
      <c r="AO525" s="56"/>
      <c r="AP525" s="56"/>
      <c r="AQ525" s="56"/>
      <c r="AR525" s="56"/>
      <c r="AS525" s="56"/>
      <c r="AT525" s="56"/>
      <c r="AU525" s="56"/>
      <c r="AV525" s="56"/>
      <c r="AW525" s="56"/>
      <c r="AX525" s="56"/>
      <c r="AY525" s="56"/>
      <c r="AZ525" s="56"/>
      <c r="BA525" s="56"/>
      <c r="BB525" s="56"/>
      <c r="BC525" s="56"/>
      <c r="BD525" s="56"/>
      <c r="BE525" s="56"/>
      <c r="BF525" s="18"/>
      <c r="BG525" s="86"/>
      <c r="BH525" s="86"/>
      <c r="BI525" s="86"/>
      <c r="BJ525" s="86"/>
      <c r="BK525" s="86"/>
    </row>
    <row r="526" spans="1:63" s="54" customFormat="1" ht="11.25" customHeight="1">
      <c r="A526" s="18"/>
      <c r="B526" s="30" t="s">
        <v>155</v>
      </c>
      <c r="C526" s="18"/>
      <c r="D526" s="56">
        <f t="shared" ref="D526:U526" si="1610">D404</f>
        <v>1438.2159999999999</v>
      </c>
      <c r="E526" s="56">
        <f t="shared" si="1610"/>
        <v>1493.5609999999999</v>
      </c>
      <c r="F526" s="56">
        <f t="shared" si="1610"/>
        <v>1504.4380000000001</v>
      </c>
      <c r="G526" s="56">
        <f t="shared" si="1610"/>
        <v>1555.5889999999999</v>
      </c>
      <c r="H526" s="56">
        <f t="shared" si="1610"/>
        <v>1658.5509999999999</v>
      </c>
      <c r="I526" s="56">
        <f t="shared" si="1610"/>
        <v>1722.6790000000001</v>
      </c>
      <c r="J526" s="56">
        <f t="shared" si="1610"/>
        <v>1828.895</v>
      </c>
      <c r="K526" s="56">
        <f t="shared" si="1610"/>
        <v>1975.1189999999999</v>
      </c>
      <c r="L526" s="56">
        <f t="shared" si="1610"/>
        <v>2104.3310000000001</v>
      </c>
      <c r="M526" s="56">
        <f t="shared" si="1610"/>
        <v>2248.319</v>
      </c>
      <c r="N526" s="56">
        <f t="shared" si="1610"/>
        <v>2411.4899999999998</v>
      </c>
      <c r="O526" s="56">
        <f t="shared" si="1610"/>
        <v>2693.837</v>
      </c>
      <c r="P526" s="56">
        <f t="shared" si="1610"/>
        <v>2833.3969999999999</v>
      </c>
      <c r="Q526" s="56">
        <f t="shared" si="1610"/>
        <v>2947.2339999999999</v>
      </c>
      <c r="R526" s="56">
        <f t="shared" si="1610"/>
        <v>3132.6640000000002</v>
      </c>
      <c r="S526" s="56">
        <f t="shared" si="1610"/>
        <v>3064.4749999999999</v>
      </c>
      <c r="T526" s="56">
        <f t="shared" si="1610"/>
        <v>3051.848</v>
      </c>
      <c r="U526" s="56">
        <f t="shared" si="1610"/>
        <v>3105.86</v>
      </c>
      <c r="V526" s="56">
        <f t="shared" ref="V526" si="1611">V404</f>
        <v>3071.5990000000002</v>
      </c>
      <c r="W526" s="57">
        <f ca="1">'D&amp;A Build (A)'!R176</f>
        <v>3432.7617022213999</v>
      </c>
      <c r="X526" s="631">
        <f ca="1">+($AA526-$W526)/4+W526</f>
        <v>3553.044438452137</v>
      </c>
      <c r="Y526" s="631">
        <f t="shared" ref="Y526:Z526" ca="1" si="1612">+($AA526-$W526)/4+X526</f>
        <v>3673.3271746828741</v>
      </c>
      <c r="Z526" s="631">
        <f t="shared" ca="1" si="1612"/>
        <v>3793.6099109136112</v>
      </c>
      <c r="AA526" s="57">
        <f ca="1">'D&amp;A Build (A)'!S176</f>
        <v>3913.8926471443483</v>
      </c>
      <c r="AB526" s="18"/>
      <c r="AC526" s="56">
        <f t="shared" ref="AC526:BC526" si="1613">AC404</f>
        <v>79.105000000000004</v>
      </c>
      <c r="AD526" s="56">
        <f t="shared" si="1613"/>
        <v>98.700999999999993</v>
      </c>
      <c r="AE526" s="56">
        <f t="shared" si="1613"/>
        <v>120.68</v>
      </c>
      <c r="AF526" s="56">
        <f t="shared" si="1613"/>
        <v>244.74799999999999</v>
      </c>
      <c r="AG526" s="56">
        <f t="shared" si="1613"/>
        <v>251.28800000000001</v>
      </c>
      <c r="AH526" s="56">
        <f t="shared" si="1613"/>
        <v>246.49799999999999</v>
      </c>
      <c r="AI526" s="56">
        <f t="shared" si="1613"/>
        <v>211.85400000000001</v>
      </c>
      <c r="AJ526" s="56">
        <f t="shared" si="1613"/>
        <v>258.911</v>
      </c>
      <c r="AK526" s="56">
        <f t="shared" si="1613"/>
        <v>244.82300000000001</v>
      </c>
      <c r="AL526" s="56">
        <f t="shared" si="1613"/>
        <v>254.09399999999999</v>
      </c>
      <c r="AM526" s="56">
        <f t="shared" si="1613"/>
        <v>260.25200000000001</v>
      </c>
      <c r="AN526" s="56">
        <f t="shared" si="1613"/>
        <v>243.64500000000001</v>
      </c>
      <c r="AO526" s="56">
        <f t="shared" si="1613"/>
        <v>273.67500000000001</v>
      </c>
      <c r="AP526" s="56">
        <f t="shared" si="1613"/>
        <v>388.44400000000002</v>
      </c>
      <c r="AQ526" s="56">
        <f t="shared" si="1613"/>
        <v>490.375</v>
      </c>
      <c r="AR526" s="56">
        <f t="shared" si="1613"/>
        <v>617.56200000000001</v>
      </c>
      <c r="AS526" s="56">
        <f t="shared" si="1613"/>
        <v>792.66600000000005</v>
      </c>
      <c r="AT526" s="56">
        <f t="shared" si="1613"/>
        <v>818.19899999999996</v>
      </c>
      <c r="AU526" s="56">
        <f t="shared" si="1613"/>
        <v>853.47</v>
      </c>
      <c r="AV526" s="56">
        <f t="shared" si="1613"/>
        <v>997.77800000000002</v>
      </c>
      <c r="AW526" s="56">
        <f t="shared" si="1613"/>
        <v>1062.5429999999999</v>
      </c>
      <c r="AX526" s="56">
        <f t="shared" si="1613"/>
        <v>1072.05</v>
      </c>
      <c r="AY526" s="56">
        <f t="shared" si="1613"/>
        <v>1352.377</v>
      </c>
      <c r="AZ526" s="56">
        <f t="shared" si="1613"/>
        <v>1555.5889999999999</v>
      </c>
      <c r="BA526" s="56">
        <f t="shared" si="1613"/>
        <v>1975.1189999999999</v>
      </c>
      <c r="BB526" s="56">
        <f t="shared" si="1613"/>
        <v>2693.837</v>
      </c>
      <c r="BC526" s="56">
        <f t="shared" si="1613"/>
        <v>3064.4749999999999</v>
      </c>
      <c r="BD526" s="56">
        <f ca="1">W526</f>
        <v>3432.7617022213999</v>
      </c>
      <c r="BE526" s="56">
        <f ca="1">+AA526</f>
        <v>3913.8926471443483</v>
      </c>
      <c r="BF526" s="18"/>
      <c r="BG526" s="86"/>
      <c r="BH526" s="86"/>
      <c r="BI526" s="86"/>
      <c r="BJ526" s="86"/>
      <c r="BK526" s="86"/>
    </row>
    <row r="527" spans="1:63" s="54" customFormat="1" ht="13.5" customHeight="1">
      <c r="A527" s="18"/>
      <c r="B527" s="30" t="s">
        <v>209</v>
      </c>
      <c r="C527" s="18"/>
      <c r="D527" s="70">
        <f t="shared" ref="D527:U527" si="1614">D405</f>
        <v>71.576999999999998</v>
      </c>
      <c r="E527" s="70">
        <f t="shared" si="1614"/>
        <v>72.155000000000001</v>
      </c>
      <c r="F527" s="70">
        <f t="shared" si="1614"/>
        <v>74.944999999999993</v>
      </c>
      <c r="G527" s="70">
        <f t="shared" si="1614"/>
        <v>85.209000000000003</v>
      </c>
      <c r="H527" s="70">
        <f t="shared" si="1614"/>
        <v>91.662999999999997</v>
      </c>
      <c r="I527" s="70">
        <f t="shared" si="1614"/>
        <v>99.968999999999994</v>
      </c>
      <c r="J527" s="70">
        <f t="shared" si="1614"/>
        <v>105.048</v>
      </c>
      <c r="K527" s="70">
        <f t="shared" si="1614"/>
        <v>113.92700000000001</v>
      </c>
      <c r="L527" s="70">
        <f t="shared" si="1614"/>
        <v>120.371</v>
      </c>
      <c r="M527" s="70">
        <f t="shared" si="1614"/>
        <v>127.316</v>
      </c>
      <c r="N527" s="70">
        <f t="shared" si="1614"/>
        <v>141.78399999999999</v>
      </c>
      <c r="O527" s="70">
        <f t="shared" si="1614"/>
        <v>149.11699999999999</v>
      </c>
      <c r="P527" s="70">
        <f t="shared" si="1614"/>
        <v>146.80600000000001</v>
      </c>
      <c r="Q527" s="70">
        <f t="shared" si="1614"/>
        <v>147.65700000000001</v>
      </c>
      <c r="R527" s="70">
        <f t="shared" si="1614"/>
        <v>153.06800000000001</v>
      </c>
      <c r="S527" s="70">
        <f t="shared" si="1614"/>
        <v>144.42099999999999</v>
      </c>
      <c r="T527" s="70">
        <f t="shared" si="1614"/>
        <v>144.80699999999999</v>
      </c>
      <c r="U527" s="70">
        <f t="shared" si="1614"/>
        <v>144.626</v>
      </c>
      <c r="V527" s="70">
        <f t="shared" ref="V527" si="1615">V405</f>
        <v>192.81299999999999</v>
      </c>
      <c r="W527" s="70">
        <f t="shared" ref="W527:AA527" ca="1" si="1616">W16*4*W530</f>
        <v>218.56189229970042</v>
      </c>
      <c r="X527" s="70">
        <f t="shared" si="1616"/>
        <v>203.06102149556344</v>
      </c>
      <c r="Y527" s="70">
        <f t="shared" si="1616"/>
        <v>205.12763239507746</v>
      </c>
      <c r="Z527" s="70">
        <f t="shared" si="1616"/>
        <v>231.37559999999999</v>
      </c>
      <c r="AA527" s="70">
        <f t="shared" ca="1" si="1616"/>
        <v>262.2742707596405</v>
      </c>
      <c r="AB527" s="18"/>
      <c r="AC527" s="70">
        <f t="shared" ref="AC527:BC527" si="1617">AC405</f>
        <v>4.0140000000000002</v>
      </c>
      <c r="AD527" s="70">
        <f t="shared" si="1617"/>
        <v>6.86</v>
      </c>
      <c r="AE527" s="70">
        <f t="shared" si="1617"/>
        <v>5.1580000000000004</v>
      </c>
      <c r="AF527" s="70">
        <f t="shared" si="1617"/>
        <v>23.13</v>
      </c>
      <c r="AG527" s="70">
        <f t="shared" si="1617"/>
        <v>32.83</v>
      </c>
      <c r="AH527" s="70">
        <f t="shared" si="1617"/>
        <v>30.872</v>
      </c>
      <c r="AI527" s="70">
        <f t="shared" si="1617"/>
        <v>18.257000000000001</v>
      </c>
      <c r="AJ527" s="70">
        <f t="shared" si="1617"/>
        <v>17.992000000000001</v>
      </c>
      <c r="AK527" s="70">
        <f t="shared" si="1617"/>
        <v>20.004000000000001</v>
      </c>
      <c r="AL527" s="70">
        <f t="shared" si="1617"/>
        <v>19.178999999999998</v>
      </c>
      <c r="AM527" s="70">
        <f t="shared" si="1617"/>
        <v>24.33</v>
      </c>
      <c r="AN527" s="70">
        <f t="shared" si="1617"/>
        <v>22.670999999999999</v>
      </c>
      <c r="AO527" s="70">
        <f t="shared" si="1617"/>
        <v>23.372</v>
      </c>
      <c r="AP527" s="70">
        <f t="shared" si="1617"/>
        <v>29.19</v>
      </c>
      <c r="AQ527" s="70">
        <f t="shared" si="1617"/>
        <v>24.170999999999999</v>
      </c>
      <c r="AR527" s="70">
        <f t="shared" si="1617"/>
        <v>27.75</v>
      </c>
      <c r="AS527" s="70">
        <f t="shared" si="1617"/>
        <v>22.718</v>
      </c>
      <c r="AT527" s="70">
        <f t="shared" si="1617"/>
        <v>20.228000000000002</v>
      </c>
      <c r="AU527" s="70">
        <f t="shared" si="1617"/>
        <v>22.31</v>
      </c>
      <c r="AV527" s="70">
        <f t="shared" si="1617"/>
        <v>24.794</v>
      </c>
      <c r="AW527" s="70">
        <f t="shared" si="1617"/>
        <v>30.547000000000001</v>
      </c>
      <c r="AX527" s="70">
        <f t="shared" si="1617"/>
        <v>37.093000000000004</v>
      </c>
      <c r="AY527" s="70">
        <f t="shared" si="1617"/>
        <v>59.642000000000003</v>
      </c>
      <c r="AZ527" s="70">
        <f t="shared" si="1617"/>
        <v>85.209000000000003</v>
      </c>
      <c r="BA527" s="70">
        <f t="shared" si="1617"/>
        <v>113.92700000000001</v>
      </c>
      <c r="BB527" s="70">
        <f t="shared" si="1617"/>
        <v>149.11699999999999</v>
      </c>
      <c r="BC527" s="70">
        <f t="shared" si="1617"/>
        <v>144.42099999999999</v>
      </c>
      <c r="BD527" s="70">
        <f ca="1">W527</f>
        <v>218.56189229970042</v>
      </c>
      <c r="BE527" s="70">
        <f ca="1">+AA527</f>
        <v>262.2742707596405</v>
      </c>
      <c r="BF527" s="18"/>
      <c r="BG527" s="86"/>
      <c r="BH527" s="86"/>
      <c r="BI527" s="86"/>
      <c r="BJ527" s="86"/>
      <c r="BK527" s="86"/>
    </row>
    <row r="528" spans="1:63" s="54" customFormat="1" ht="11.25" customHeight="1">
      <c r="A528" s="18"/>
      <c r="B528" s="12" t="s">
        <v>631</v>
      </c>
      <c r="C528" s="18"/>
      <c r="D528" s="56">
        <f>SUM(D526:D527)</f>
        <v>1509.7929999999999</v>
      </c>
      <c r="E528" s="56">
        <f t="shared" ref="E528:AC528" si="1618">SUM(E526:E527)</f>
        <v>1565.7159999999999</v>
      </c>
      <c r="F528" s="56">
        <f t="shared" si="1618"/>
        <v>1579.383</v>
      </c>
      <c r="G528" s="56">
        <f t="shared" si="1618"/>
        <v>1640.798</v>
      </c>
      <c r="H528" s="56">
        <f t="shared" si="1618"/>
        <v>1750.2139999999999</v>
      </c>
      <c r="I528" s="56">
        <f t="shared" si="1618"/>
        <v>1822.6480000000001</v>
      </c>
      <c r="J528" s="56">
        <f t="shared" si="1618"/>
        <v>1933.943</v>
      </c>
      <c r="K528" s="56">
        <f t="shared" si="1618"/>
        <v>2089.0459999999998</v>
      </c>
      <c r="L528" s="56">
        <f t="shared" si="1618"/>
        <v>2224.7020000000002</v>
      </c>
      <c r="M528" s="56">
        <f t="shared" si="1618"/>
        <v>2375.6349999999998</v>
      </c>
      <c r="N528" s="56">
        <f t="shared" si="1618"/>
        <v>2553.2739999999999</v>
      </c>
      <c r="O528" s="56">
        <f t="shared" si="1618"/>
        <v>2842.9540000000002</v>
      </c>
      <c r="P528" s="56">
        <f t="shared" si="1618"/>
        <v>2980.203</v>
      </c>
      <c r="Q528" s="56">
        <f t="shared" si="1618"/>
        <v>3094.8910000000001</v>
      </c>
      <c r="R528" s="56">
        <f t="shared" si="1618"/>
        <v>3285.7320000000004</v>
      </c>
      <c r="S528" s="56">
        <f t="shared" si="1618"/>
        <v>3208.8959999999997</v>
      </c>
      <c r="T528" s="56">
        <f t="shared" si="1618"/>
        <v>3196.6549999999997</v>
      </c>
      <c r="U528" s="56">
        <f t="shared" si="1618"/>
        <v>3250.4860000000003</v>
      </c>
      <c r="V528" s="56">
        <f t="shared" ref="V528" si="1619">SUM(V526:V527)</f>
        <v>3264.4120000000003</v>
      </c>
      <c r="W528" s="56">
        <f t="shared" ca="1" si="1618"/>
        <v>3651.3235945211004</v>
      </c>
      <c r="X528" s="56">
        <f t="shared" ref="X528:AA528" ca="1" si="1620">SUM(X526:X527)</f>
        <v>3756.1054599477006</v>
      </c>
      <c r="Y528" s="56">
        <f t="shared" ca="1" si="1620"/>
        <v>3878.4548070779515</v>
      </c>
      <c r="Z528" s="56">
        <f t="shared" ca="1" si="1620"/>
        <v>4024.9855109136111</v>
      </c>
      <c r="AA528" s="56">
        <f t="shared" ca="1" si="1620"/>
        <v>4176.1669179039891</v>
      </c>
      <c r="AB528" s="18"/>
      <c r="AC528" s="56">
        <f t="shared" si="1618"/>
        <v>83.119</v>
      </c>
      <c r="AD528" s="56">
        <f t="shared" ref="AD528" si="1621">SUM(AD526:AD527)</f>
        <v>105.56099999999999</v>
      </c>
      <c r="AE528" s="56">
        <f t="shared" ref="AE528" si="1622">SUM(AE526:AE527)</f>
        <v>125.83800000000001</v>
      </c>
      <c r="AF528" s="56">
        <f t="shared" ref="AF528" si="1623">SUM(AF526:AF527)</f>
        <v>267.87799999999999</v>
      </c>
      <c r="AG528" s="56">
        <f t="shared" ref="AG528" si="1624">SUM(AG526:AG527)</f>
        <v>284.11799999999999</v>
      </c>
      <c r="AH528" s="56">
        <f t="shared" ref="AH528" si="1625">SUM(AH526:AH527)</f>
        <v>277.37</v>
      </c>
      <c r="AI528" s="56">
        <f t="shared" ref="AI528" si="1626">SUM(AI526:AI527)</f>
        <v>230.11100000000002</v>
      </c>
      <c r="AJ528" s="56">
        <f t="shared" ref="AJ528" si="1627">SUM(AJ526:AJ527)</f>
        <v>276.90300000000002</v>
      </c>
      <c r="AK528" s="56">
        <f t="shared" ref="AK528" si="1628">SUM(AK526:AK527)</f>
        <v>264.827</v>
      </c>
      <c r="AL528" s="56">
        <f t="shared" ref="AL528" si="1629">SUM(AL526:AL527)</f>
        <v>273.27299999999997</v>
      </c>
      <c r="AM528" s="56">
        <f t="shared" ref="AM528" si="1630">SUM(AM526:AM527)</f>
        <v>284.58199999999999</v>
      </c>
      <c r="AN528" s="56">
        <f t="shared" ref="AN528" si="1631">SUM(AN526:AN527)</f>
        <v>266.31600000000003</v>
      </c>
      <c r="AO528" s="56">
        <f t="shared" ref="AO528" si="1632">SUM(AO526:AO527)</f>
        <v>297.04700000000003</v>
      </c>
      <c r="AP528" s="56">
        <f t="shared" ref="AP528" si="1633">SUM(AP526:AP527)</f>
        <v>417.63400000000001</v>
      </c>
      <c r="AQ528" s="56">
        <f t="shared" ref="AQ528" si="1634">SUM(AQ526:AQ527)</f>
        <v>514.54600000000005</v>
      </c>
      <c r="AR528" s="56">
        <f t="shared" ref="AR528" si="1635">SUM(AR526:AR527)</f>
        <v>645.31200000000001</v>
      </c>
      <c r="AS528" s="56">
        <f t="shared" ref="AS528" si="1636">SUM(AS526:AS527)</f>
        <v>815.38400000000001</v>
      </c>
      <c r="AT528" s="56">
        <f t="shared" ref="AT528" si="1637">SUM(AT526:AT527)</f>
        <v>838.42699999999991</v>
      </c>
      <c r="AU528" s="56">
        <f t="shared" ref="AU528" si="1638">SUM(AU526:AU527)</f>
        <v>875.78</v>
      </c>
      <c r="AV528" s="56">
        <f t="shared" ref="AV528" si="1639">SUM(AV526:AV527)</f>
        <v>1022.572</v>
      </c>
      <c r="AW528" s="56">
        <f t="shared" ref="AW528" si="1640">SUM(AW526:AW527)</f>
        <v>1093.0899999999999</v>
      </c>
      <c r="AX528" s="56">
        <f t="shared" ref="AX528" si="1641">SUM(AX526:AX527)</f>
        <v>1109.143</v>
      </c>
      <c r="AY528" s="56">
        <f t="shared" ref="AY528" si="1642">SUM(AY526:AY527)</f>
        <v>1412.019</v>
      </c>
      <c r="AZ528" s="56">
        <f t="shared" ref="AZ528" si="1643">SUM(AZ526:AZ527)</f>
        <v>1640.798</v>
      </c>
      <c r="BA528" s="56">
        <f t="shared" ref="BA528" si="1644">SUM(BA526:BA527)</f>
        <v>2089.0459999999998</v>
      </c>
      <c r="BB528" s="56">
        <f t="shared" ref="BB528" si="1645">SUM(BB526:BB527)</f>
        <v>2842.9540000000002</v>
      </c>
      <c r="BC528" s="56">
        <f t="shared" ref="BC528" si="1646">SUM(BC526:BC527)</f>
        <v>3208.8959999999997</v>
      </c>
      <c r="BD528" s="56">
        <f t="shared" ref="BD528:BE528" ca="1" si="1647">SUM(BD526:BD527)</f>
        <v>3651.3235945211004</v>
      </c>
      <c r="BE528" s="56">
        <f t="shared" ca="1" si="1647"/>
        <v>4176.1669179039891</v>
      </c>
      <c r="BF528" s="18"/>
      <c r="BG528" s="86"/>
      <c r="BH528" s="86"/>
      <c r="BI528" s="86"/>
      <c r="BJ528" s="86"/>
      <c r="BK528" s="86"/>
    </row>
    <row r="529" spans="1:63" s="54" customFormat="1" ht="11.25" customHeight="1">
      <c r="A529" s="18"/>
      <c r="B529" s="36" t="s">
        <v>249</v>
      </c>
      <c r="C529" s="18"/>
      <c r="D529" s="120"/>
      <c r="E529" s="120"/>
      <c r="F529" s="120"/>
      <c r="G529" s="120"/>
      <c r="H529" s="120">
        <f>H528/D528-1</f>
        <v>0.15924103502930542</v>
      </c>
      <c r="I529" s="120">
        <f t="shared" ref="I529:W529" si="1648">I528/E528-1</f>
        <v>0.16409872543935178</v>
      </c>
      <c r="J529" s="120">
        <f t="shared" si="1648"/>
        <v>0.22449272912270168</v>
      </c>
      <c r="K529" s="120">
        <f t="shared" si="1648"/>
        <v>0.2731890214395678</v>
      </c>
      <c r="L529" s="120">
        <f t="shared" si="1648"/>
        <v>0.27110284799458828</v>
      </c>
      <c r="M529" s="120">
        <f t="shared" si="1648"/>
        <v>0.30339758417423424</v>
      </c>
      <c r="N529" s="120">
        <f t="shared" si="1648"/>
        <v>0.32024263383150386</v>
      </c>
      <c r="O529" s="120">
        <f t="shared" si="1648"/>
        <v>0.36088626100143339</v>
      </c>
      <c r="P529" s="120">
        <f t="shared" si="1648"/>
        <v>0.33959649427204175</v>
      </c>
      <c r="Q529" s="120">
        <f t="shared" si="1648"/>
        <v>0.302763682131304</v>
      </c>
      <c r="R529" s="120">
        <f t="shared" si="1648"/>
        <v>0.2868701126475266</v>
      </c>
      <c r="S529" s="120">
        <f t="shared" si="1648"/>
        <v>0.12871893108365429</v>
      </c>
      <c r="T529" s="120">
        <f t="shared" si="1648"/>
        <v>7.2629951718053976E-2</v>
      </c>
      <c r="U529" s="120">
        <f t="shared" si="1648"/>
        <v>5.0274791583936329E-2</v>
      </c>
      <c r="V529" s="120">
        <f t="shared" si="1648"/>
        <v>-6.4886606698294491E-3</v>
      </c>
      <c r="W529" s="120">
        <f t="shared" ca="1" si="1648"/>
        <v>0.13787532987080309</v>
      </c>
      <c r="X529" s="120">
        <f t="shared" ref="X529" ca="1" si="1649">X528/T528-1</f>
        <v>0.17501121013925514</v>
      </c>
      <c r="Y529" s="120">
        <f t="shared" ref="Y529" ca="1" si="1650">Y528/U528-1</f>
        <v>0.19319228173200909</v>
      </c>
      <c r="Z529" s="120">
        <f t="shared" ref="Z529" ca="1" si="1651">Z528/V528-1</f>
        <v>0.23298943604961964</v>
      </c>
      <c r="AA529" s="120">
        <f t="shared" ref="AA529" ca="1" si="1652">AA528/W528-1</f>
        <v>0.14374056689207948</v>
      </c>
      <c r="AB529" s="18"/>
      <c r="AC529" s="120"/>
      <c r="AD529" s="120">
        <f t="shared" ref="AD529" si="1653">IFERROR(AD528/AC528-1,"n/a")</f>
        <v>0.26999843597733353</v>
      </c>
      <c r="AE529" s="120">
        <f t="shared" ref="AE529" si="1654">IFERROR(AE528/AD528-1,"n/a")</f>
        <v>0.19208798704066865</v>
      </c>
      <c r="AF529" s="120">
        <f t="shared" ref="AF529" si="1655">IFERROR(AF528/AE528-1,"n/a")</f>
        <v>1.1287528409542427</v>
      </c>
      <c r="AG529" s="120">
        <f t="shared" ref="AG529" si="1656">IFERROR(AG528/AF528-1,"n/a")</f>
        <v>6.062461269682462E-2</v>
      </c>
      <c r="AH529" s="120">
        <f t="shared" ref="AH529" si="1657">IFERROR(AH528/AG528-1,"n/a")</f>
        <v>-2.3750695133711974E-2</v>
      </c>
      <c r="AI529" s="120">
        <f t="shared" ref="AI529" si="1658">IFERROR(AI528/AH528-1,"n/a")</f>
        <v>-0.17038252154162303</v>
      </c>
      <c r="AJ529" s="120">
        <f t="shared" ref="AJ529" si="1659">IFERROR(AJ528/AI528-1,"n/a")</f>
        <v>0.2033453420305853</v>
      </c>
      <c r="AK529" s="120">
        <f t="shared" ref="AK529" si="1660">IFERROR(AK528/AJ528-1,"n/a")</f>
        <v>-4.361093957089679E-2</v>
      </c>
      <c r="AL529" s="120">
        <f t="shared" ref="AL529" si="1661">IFERROR(AL528/AK528-1,"n/a")</f>
        <v>3.1892518512085077E-2</v>
      </c>
      <c r="AM529" s="120">
        <f t="shared" ref="AM529" si="1662">IFERROR(AM528/AL528-1,"n/a")</f>
        <v>4.1383524900008517E-2</v>
      </c>
      <c r="AN529" s="120">
        <f t="shared" ref="AN529" si="1663">IFERROR(AN528/AM528-1,"n/a")</f>
        <v>-6.4185366607866889E-2</v>
      </c>
      <c r="AO529" s="120">
        <f t="shared" ref="AO529" si="1664">IFERROR(AO528/AN528-1,"n/a")</f>
        <v>0.11539299178419626</v>
      </c>
      <c r="AP529" s="120">
        <f t="shared" ref="AP529" si="1665">IFERROR(AP528/AO528-1,"n/a")</f>
        <v>0.40595259336064649</v>
      </c>
      <c r="AQ529" s="120">
        <f t="shared" ref="AQ529" si="1666">IFERROR(AQ528/AP528-1,"n/a")</f>
        <v>0.2320500725515644</v>
      </c>
      <c r="AR529" s="120">
        <f t="shared" ref="AR529" si="1667">IFERROR(AR528/AQ528-1,"n/a")</f>
        <v>0.2541385998530743</v>
      </c>
      <c r="AS529" s="120">
        <f t="shared" ref="AS529" si="1668">IFERROR(AS528/AR528-1,"n/a")</f>
        <v>0.26355003471189131</v>
      </c>
      <c r="AT529" s="120">
        <f t="shared" ref="AT529" si="1669">IFERROR(AT528/AS528-1,"n/a")</f>
        <v>2.8260304347399456E-2</v>
      </c>
      <c r="AU529" s="120">
        <f t="shared" ref="AU529" si="1670">IFERROR(AU528/AT528-1,"n/a")</f>
        <v>4.4551284727233353E-2</v>
      </c>
      <c r="AV529" s="120">
        <f t="shared" ref="AV529" si="1671">IFERROR(AV528/AU528-1,"n/a")</f>
        <v>0.16761287081230458</v>
      </c>
      <c r="AW529" s="120">
        <f t="shared" ref="AW529" si="1672">IFERROR(AW528/AV528-1,"n/a")</f>
        <v>6.8961403206815763E-2</v>
      </c>
      <c r="AX529" s="120">
        <f t="shared" ref="AX529" si="1673">IFERROR(AX528/AW528-1,"n/a")</f>
        <v>1.4685890457327488E-2</v>
      </c>
      <c r="AY529" s="120">
        <f t="shared" ref="AY529" si="1674">IFERROR(AY528/AX528-1,"n/a")</f>
        <v>0.27307209259761822</v>
      </c>
      <c r="AZ529" s="120">
        <f t="shared" ref="AZ529" si="1675">IFERROR(AZ528/AY528-1,"n/a")</f>
        <v>0.16202260734451879</v>
      </c>
      <c r="BA529" s="120">
        <f t="shared" ref="BA529" si="1676">IFERROR(BA528/AZ528-1,"n/a")</f>
        <v>0.2731890214395678</v>
      </c>
      <c r="BB529" s="120">
        <f t="shared" ref="BB529" si="1677">IFERROR(BB528/BA528-1,"n/a")</f>
        <v>0.36088626100143339</v>
      </c>
      <c r="BC529" s="120">
        <f t="shared" ref="BC529" si="1678">IFERROR(BC528/BB528-1,"n/a")</f>
        <v>0.12871893108365429</v>
      </c>
      <c r="BD529" s="120">
        <f t="shared" ref="BD529:BE529" ca="1" si="1679">IFERROR(BD528/BC528-1,"n/a")</f>
        <v>0.13787532987080309</v>
      </c>
      <c r="BE529" s="120">
        <f t="shared" ca="1" si="1679"/>
        <v>0.14374056689207948</v>
      </c>
      <c r="BF529" s="18"/>
      <c r="BG529" s="52"/>
      <c r="BH529" s="52"/>
      <c r="BI529" s="52"/>
      <c r="BJ529" s="52"/>
      <c r="BK529" s="52"/>
    </row>
    <row r="530" spans="1:63" s="54" customFormat="1" ht="11.25" customHeight="1">
      <c r="A530" s="18"/>
      <c r="B530" s="41" t="s">
        <v>686</v>
      </c>
      <c r="C530" s="18"/>
      <c r="D530" s="480">
        <f t="shared" ref="D530:U530" si="1680">D527/(D16*4)</f>
        <v>5.7612402749963119E-2</v>
      </c>
      <c r="E530" s="480">
        <f t="shared" si="1680"/>
        <v>5.8040041117719259E-2</v>
      </c>
      <c r="F530" s="480">
        <f t="shared" si="1680"/>
        <v>5.2566982420854773E-2</v>
      </c>
      <c r="G530" s="480">
        <f t="shared" si="1680"/>
        <v>5.8938300156645598E-2</v>
      </c>
      <c r="H530" s="480">
        <f t="shared" si="1680"/>
        <v>6.3231520809994779E-2</v>
      </c>
      <c r="I530" s="480">
        <f t="shared" si="1680"/>
        <v>6.7157268824821509E-2</v>
      </c>
      <c r="J530" s="480">
        <f t="shared" si="1680"/>
        <v>6.3332230441277795E-2</v>
      </c>
      <c r="K530" s="480">
        <f t="shared" si="1680"/>
        <v>6.4998733675166412E-2</v>
      </c>
      <c r="L530" s="480">
        <f t="shared" si="1680"/>
        <v>6.1279227212207174E-2</v>
      </c>
      <c r="M530" s="480">
        <f t="shared" si="1680"/>
        <v>5.9589156123791225E-2</v>
      </c>
      <c r="N530" s="480">
        <f t="shared" si="1680"/>
        <v>5.7810355589579254E-2</v>
      </c>
      <c r="O530" s="480">
        <f t="shared" si="1680"/>
        <v>5.9596084399652034E-2</v>
      </c>
      <c r="P530" s="480">
        <f t="shared" si="1680"/>
        <v>7.2157138739017621E-2</v>
      </c>
      <c r="Q530" s="480">
        <f t="shared" si="1680"/>
        <v>7.6770139194421119E-2</v>
      </c>
      <c r="R530" s="480">
        <f t="shared" si="1680"/>
        <v>6.9992147790785941E-2</v>
      </c>
      <c r="S530" s="480">
        <f t="shared" si="1680"/>
        <v>5.7719544792018962E-2</v>
      </c>
      <c r="T530" s="480">
        <f t="shared" si="1680"/>
        <v>6.1085133270375139E-2</v>
      </c>
      <c r="U530" s="480">
        <f t="shared" si="1680"/>
        <v>5.3683672845228597E-2</v>
      </c>
      <c r="V530" s="480">
        <f t="shared" ref="V530" si="1681">V527/(V16*4)</f>
        <v>6.3451043317555009E-2</v>
      </c>
      <c r="W530" s="486">
        <f>V530</f>
        <v>6.3451043317555009E-2</v>
      </c>
      <c r="X530" s="486">
        <f t="shared" ref="X530:AA530" si="1682">W530</f>
        <v>6.3451043317555009E-2</v>
      </c>
      <c r="Y530" s="486">
        <f t="shared" si="1682"/>
        <v>6.3451043317555009E-2</v>
      </c>
      <c r="Z530" s="486">
        <f t="shared" si="1682"/>
        <v>6.3451043317555009E-2</v>
      </c>
      <c r="AA530" s="486">
        <f t="shared" si="1682"/>
        <v>6.3451043317555009E-2</v>
      </c>
      <c r="AB530" s="18"/>
      <c r="AC530" s="480">
        <f t="shared" ref="AC530:BE530" si="1683">AC527/(AC16)</f>
        <v>9.1378878594031016E-2</v>
      </c>
      <c r="AD530" s="480">
        <f t="shared" si="1683"/>
        <v>0.13605172345404784</v>
      </c>
      <c r="AE530" s="480">
        <f t="shared" si="1683"/>
        <v>7.0592743646242503E-2</v>
      </c>
      <c r="AF530" s="480">
        <f t="shared" si="1683"/>
        <v>0.13917134983573809</v>
      </c>
      <c r="AG530" s="480">
        <f t="shared" si="1683"/>
        <v>0.26079358144338083</v>
      </c>
      <c r="AH530" s="480">
        <f t="shared" si="1683"/>
        <v>0.19021447803772004</v>
      </c>
      <c r="AI530" s="480">
        <f t="shared" si="1683"/>
        <v>8.9937289713641094E-2</v>
      </c>
      <c r="AJ530" s="480">
        <f t="shared" si="1683"/>
        <v>6.9949808135669658E-2</v>
      </c>
      <c r="AK530" s="480">
        <f t="shared" si="1683"/>
        <v>7.504361037645603E-2</v>
      </c>
      <c r="AL530" s="480">
        <f t="shared" si="1683"/>
        <v>6.0423998210499451E-2</v>
      </c>
      <c r="AM530" s="480">
        <f t="shared" si="1683"/>
        <v>7.5411462046306915E-2</v>
      </c>
      <c r="AN530" s="480">
        <f t="shared" si="1683"/>
        <v>6.8048793665468038E-2</v>
      </c>
      <c r="AO530" s="480">
        <f t="shared" si="1683"/>
        <v>7.9028342271304036E-2</v>
      </c>
      <c r="AP530" s="480">
        <f t="shared" si="1683"/>
        <v>6.957653418760637E-2</v>
      </c>
      <c r="AQ530" s="480">
        <f t="shared" si="1683"/>
        <v>5.6595821401560824E-2</v>
      </c>
      <c r="AR530" s="480">
        <f t="shared" si="1683"/>
        <v>5.4761270461474706E-2</v>
      </c>
      <c r="AS530" s="480">
        <f t="shared" si="1683"/>
        <v>3.8052071608511553E-2</v>
      </c>
      <c r="AT530" s="480">
        <f t="shared" si="1683"/>
        <v>2.6517882659549085E-2</v>
      </c>
      <c r="AU530" s="480">
        <f t="shared" si="1683"/>
        <v>2.6449412386766045E-2</v>
      </c>
      <c r="AV530" s="480">
        <f t="shared" si="1683"/>
        <v>2.615571904491644E-2</v>
      </c>
      <c r="AW530" s="480">
        <f t="shared" si="1683"/>
        <v>3.1251822349447081E-2</v>
      </c>
      <c r="AX530" s="480">
        <f t="shared" si="1683"/>
        <v>3.5961173942144986E-2</v>
      </c>
      <c r="AY530" s="480">
        <f t="shared" si="1683"/>
        <v>5.5740944992739745E-2</v>
      </c>
      <c r="AZ530" s="480">
        <f t="shared" si="1683"/>
        <v>6.3624188093359027E-2</v>
      </c>
      <c r="BA530" s="480">
        <f t="shared" si="1683"/>
        <v>7.1768880440559929E-2</v>
      </c>
      <c r="BB530" s="480">
        <f t="shared" si="1683"/>
        <v>6.5867561983625478E-2</v>
      </c>
      <c r="BC530" s="480">
        <f t="shared" si="1683"/>
        <v>6.6807880333213679E-2</v>
      </c>
      <c r="BD530" s="480">
        <f t="shared" ca="1" si="1683"/>
        <v>7.5705796765991359E-2</v>
      </c>
      <c r="BE530" s="480">
        <f t="shared" ca="1" si="1683"/>
        <v>7.3811777431013775E-2</v>
      </c>
      <c r="BF530" s="18"/>
      <c r="BG530" s="86"/>
      <c r="BH530" s="86"/>
      <c r="BI530" s="86"/>
      <c r="BJ530" s="86"/>
      <c r="BK530" s="86"/>
    </row>
    <row r="531" spans="1:63" s="54" customFormat="1" ht="11.25" customHeight="1">
      <c r="A531" s="18"/>
      <c r="B531" s="13"/>
      <c r="C531" s="18"/>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c r="AB531" s="18"/>
      <c r="AC531" s="56"/>
      <c r="AD531" s="56"/>
      <c r="AE531" s="56"/>
      <c r="AF531" s="56"/>
      <c r="AG531" s="56"/>
      <c r="AH531" s="56"/>
      <c r="AI531" s="56"/>
      <c r="AJ531" s="56"/>
      <c r="AK531" s="56"/>
      <c r="AL531" s="56"/>
      <c r="AM531" s="56"/>
      <c r="AN531" s="56"/>
      <c r="AO531" s="56"/>
      <c r="AP531" s="56"/>
      <c r="AQ531" s="56"/>
      <c r="AR531" s="56"/>
      <c r="AS531" s="56"/>
      <c r="AT531" s="56"/>
      <c r="AU531" s="56"/>
      <c r="AV531" s="56"/>
      <c r="AW531" s="56"/>
      <c r="AX531" s="56"/>
      <c r="AY531" s="56"/>
      <c r="AZ531" s="56"/>
      <c r="BA531" s="56"/>
      <c r="BB531" s="56"/>
      <c r="BC531" s="56"/>
      <c r="BD531" s="56"/>
      <c r="BE531" s="56"/>
      <c r="BF531" s="18"/>
      <c r="BG531" s="86"/>
      <c r="BH531" s="86"/>
      <c r="BI531" s="86"/>
      <c r="BJ531" s="86"/>
      <c r="BK531" s="86"/>
    </row>
    <row r="532" spans="1:63" s="438" customFormat="1" ht="11.25" customHeight="1">
      <c r="A532" s="55"/>
      <c r="B532" s="48" t="s">
        <v>537</v>
      </c>
      <c r="C532" s="55"/>
      <c r="D532" s="117">
        <f t="shared" ref="D532:AA532" si="1684">D521+D528</f>
        <v>1544.4699999999998</v>
      </c>
      <c r="E532" s="117">
        <f t="shared" si="1684"/>
        <v>1615.674</v>
      </c>
      <c r="F532" s="117">
        <f t="shared" si="1684"/>
        <v>1666.662</v>
      </c>
      <c r="G532" s="117">
        <f t="shared" si="1684"/>
        <v>1702.971</v>
      </c>
      <c r="H532" s="117">
        <f t="shared" si="1684"/>
        <v>1807.444</v>
      </c>
      <c r="I532" s="117">
        <f t="shared" si="1684"/>
        <v>1927.8300000000002</v>
      </c>
      <c r="J532" s="117">
        <f t="shared" si="1684"/>
        <v>2062.9700000000003</v>
      </c>
      <c r="K532" s="117">
        <f t="shared" si="1684"/>
        <v>2176.0079999999998</v>
      </c>
      <c r="L532" s="117">
        <f t="shared" si="1684"/>
        <v>2268.8920000000003</v>
      </c>
      <c r="M532" s="117">
        <f t="shared" si="1684"/>
        <v>2446.6309999999999</v>
      </c>
      <c r="N532" s="117">
        <f t="shared" si="1684"/>
        <v>2587.0250000000001</v>
      </c>
      <c r="O532" s="117">
        <f t="shared" si="1684"/>
        <v>2765.5690000000004</v>
      </c>
      <c r="P532" s="117">
        <f t="shared" si="1684"/>
        <v>2821.6869999999999</v>
      </c>
      <c r="Q532" s="117">
        <f t="shared" si="1684"/>
        <v>3052.2580000000003</v>
      </c>
      <c r="R532" s="117">
        <f t="shared" si="1684"/>
        <v>3240.7130000000002</v>
      </c>
      <c r="S532" s="117">
        <f t="shared" si="1684"/>
        <v>3151.0369999999998</v>
      </c>
      <c r="T532" s="117">
        <f t="shared" si="1684"/>
        <v>3021.79</v>
      </c>
      <c r="U532" s="117">
        <f t="shared" si="1684"/>
        <v>3099.0130000000004</v>
      </c>
      <c r="V532" s="117">
        <f t="shared" ref="V532" si="1685">V521+V528</f>
        <v>3181.7200000000003</v>
      </c>
      <c r="W532" s="117">
        <f t="shared" ca="1" si="1684"/>
        <v>3559.3776667425764</v>
      </c>
      <c r="X532" s="117">
        <f t="shared" ca="1" si="1684"/>
        <v>3661.3965936929176</v>
      </c>
      <c r="Y532" s="117">
        <f t="shared" ca="1" si="1684"/>
        <v>3777.0206381411167</v>
      </c>
      <c r="Z532" s="117">
        <f t="shared" ca="1" si="1684"/>
        <v>3904.2145317653931</v>
      </c>
      <c r="AA532" s="117">
        <f t="shared" ca="1" si="1684"/>
        <v>4039.267778647185</v>
      </c>
      <c r="AB532" s="55"/>
      <c r="AC532" s="117">
        <f t="shared" ref="AC532:BD532" si="1686">AC521+AC528</f>
        <v>94.596000000000004</v>
      </c>
      <c r="AD532" s="117">
        <f t="shared" si="1686"/>
        <v>113.63499999999999</v>
      </c>
      <c r="AE532" s="117">
        <f t="shared" si="1686"/>
        <v>141.36700000000002</v>
      </c>
      <c r="AF532" s="117">
        <f t="shared" si="1686"/>
        <v>301.89</v>
      </c>
      <c r="AG532" s="117">
        <f t="shared" si="1686"/>
        <v>306.77199999999999</v>
      </c>
      <c r="AH532" s="117">
        <f t="shared" si="1686"/>
        <v>298.55500000000001</v>
      </c>
      <c r="AI532" s="117">
        <f t="shared" si="1686"/>
        <v>261.54400000000004</v>
      </c>
      <c r="AJ532" s="117">
        <f t="shared" si="1686"/>
        <v>313.334</v>
      </c>
      <c r="AK532" s="117">
        <f t="shared" si="1686"/>
        <v>307.476</v>
      </c>
      <c r="AL532" s="117">
        <f t="shared" si="1686"/>
        <v>309.42299999999994</v>
      </c>
      <c r="AM532" s="117">
        <f t="shared" si="1686"/>
        <v>317.40199999999999</v>
      </c>
      <c r="AN532" s="117">
        <f t="shared" si="1686"/>
        <v>266.89900000000006</v>
      </c>
      <c r="AO532" s="117">
        <f t="shared" si="1686"/>
        <v>311.79400000000004</v>
      </c>
      <c r="AP532" s="117">
        <f t="shared" si="1686"/>
        <v>449.10300000000001</v>
      </c>
      <c r="AQ532" s="117">
        <f t="shared" si="1686"/>
        <v>538.20800000000008</v>
      </c>
      <c r="AR532" s="117">
        <f t="shared" si="1686"/>
        <v>675.92100000000005</v>
      </c>
      <c r="AS532" s="117">
        <f t="shared" si="1686"/>
        <v>844.20600000000002</v>
      </c>
      <c r="AT532" s="117">
        <f t="shared" si="1686"/>
        <v>890.19399999999996</v>
      </c>
      <c r="AU532" s="117">
        <f t="shared" si="1686"/>
        <v>913.13599999999997</v>
      </c>
      <c r="AV532" s="117">
        <f t="shared" si="1686"/>
        <v>1049.175</v>
      </c>
      <c r="AW532" s="117">
        <f t="shared" si="1686"/>
        <v>1120.1189999999999</v>
      </c>
      <c r="AX532" s="117">
        <f t="shared" si="1686"/>
        <v>1191.8869999999999</v>
      </c>
      <c r="AY532" s="117">
        <f t="shared" si="1686"/>
        <v>1481.2339999999999</v>
      </c>
      <c r="AZ532" s="117">
        <f t="shared" si="1686"/>
        <v>1702.971</v>
      </c>
      <c r="BA532" s="117">
        <f t="shared" si="1686"/>
        <v>2176.0079999999998</v>
      </c>
      <c r="BB532" s="117">
        <f t="shared" si="1686"/>
        <v>2765.5690000000004</v>
      </c>
      <c r="BC532" s="117">
        <f t="shared" si="1686"/>
        <v>3151.0369999999998</v>
      </c>
      <c r="BD532" s="117">
        <f t="shared" ca="1" si="1686"/>
        <v>3559.3776667425764</v>
      </c>
      <c r="BE532" s="117">
        <f t="shared" ref="BE532" ca="1" si="1687">BE521+BE528</f>
        <v>4039.267778647185</v>
      </c>
      <c r="BF532" s="55"/>
      <c r="BG532" s="437"/>
      <c r="BH532" s="437"/>
      <c r="BI532" s="437"/>
      <c r="BJ532" s="437"/>
      <c r="BK532" s="437"/>
    </row>
    <row r="533" spans="1:63" s="54" customFormat="1" ht="11.25" customHeight="1">
      <c r="A533" s="18"/>
      <c r="B533" s="35" t="s">
        <v>249</v>
      </c>
      <c r="C533" s="18"/>
      <c r="D533" s="120"/>
      <c r="E533" s="120"/>
      <c r="F533" s="120"/>
      <c r="G533" s="120"/>
      <c r="H533" s="120">
        <f>H532/D532-1</f>
        <v>0.17026811786567575</v>
      </c>
      <c r="I533" s="120">
        <f t="shared" ref="I533:W533" si="1688">I532/E532-1</f>
        <v>0.19320481730844219</v>
      </c>
      <c r="J533" s="120">
        <f t="shared" si="1688"/>
        <v>0.23778546579930437</v>
      </c>
      <c r="K533" s="120">
        <f t="shared" si="1688"/>
        <v>0.27777161208264833</v>
      </c>
      <c r="L533" s="120">
        <f t="shared" si="1688"/>
        <v>0.25530417539907213</v>
      </c>
      <c r="M533" s="120">
        <f t="shared" si="1688"/>
        <v>0.26911138430255765</v>
      </c>
      <c r="N533" s="120">
        <f t="shared" si="1688"/>
        <v>0.25402938481897452</v>
      </c>
      <c r="O533" s="120">
        <f t="shared" si="1688"/>
        <v>0.27093696346704643</v>
      </c>
      <c r="P533" s="120">
        <f t="shared" si="1688"/>
        <v>0.24364094897421285</v>
      </c>
      <c r="Q533" s="120">
        <f t="shared" si="1688"/>
        <v>0.24753507987105561</v>
      </c>
      <c r="R533" s="120">
        <f t="shared" si="1688"/>
        <v>0.25267942907393626</v>
      </c>
      <c r="S533" s="120">
        <f t="shared" si="1688"/>
        <v>0.13938108215705314</v>
      </c>
      <c r="T533" s="120">
        <f t="shared" si="1688"/>
        <v>7.0916086724005956E-2</v>
      </c>
      <c r="U533" s="120">
        <f t="shared" si="1688"/>
        <v>1.5318167730250964E-2</v>
      </c>
      <c r="V533" s="120">
        <f t="shared" si="1688"/>
        <v>-1.8203710109472748E-2</v>
      </c>
      <c r="W533" s="120">
        <f t="shared" ca="1" si="1688"/>
        <v>0.12958929607699843</v>
      </c>
      <c r="X533" s="120">
        <f t="shared" ref="X533" ca="1" si="1689">X532/T532-1</f>
        <v>0.21166480585775904</v>
      </c>
      <c r="Y533" s="120">
        <f t="shared" ref="Y533" ca="1" si="1690">Y532/U532-1</f>
        <v>0.2187817986375391</v>
      </c>
      <c r="Z533" s="120">
        <f t="shared" ref="Z533" ca="1" si="1691">Z532/V532-1</f>
        <v>0.22707671692210285</v>
      </c>
      <c r="AA533" s="120">
        <f t="shared" ref="AA533" ca="1" si="1692">AA532/W532-1</f>
        <v>0.13482416220917304</v>
      </c>
      <c r="AB533" s="18"/>
      <c r="AC533" s="120"/>
      <c r="AD533" s="120">
        <f t="shared" ref="AD533" si="1693">IFERROR(AD532/AC532-1,"n/a")</f>
        <v>0.20126643832720181</v>
      </c>
      <c r="AE533" s="120">
        <f t="shared" ref="AE533" si="1694">IFERROR(AE532/AD532-1,"n/a")</f>
        <v>0.24404452853434266</v>
      </c>
      <c r="AF533" s="120">
        <f t="shared" ref="AF533" si="1695">IFERROR(AF532/AE532-1,"n/a")</f>
        <v>1.1355054574264147</v>
      </c>
      <c r="AG533" s="120">
        <f t="shared" ref="AG533" si="1696">IFERROR(AG532/AF532-1,"n/a")</f>
        <v>1.6171453178309925E-2</v>
      </c>
      <c r="AH533" s="120">
        <f t="shared" ref="AH533" si="1697">IFERROR(AH532/AG532-1,"n/a")</f>
        <v>-2.6785365026795072E-2</v>
      </c>
      <c r="AI533" s="120">
        <f t="shared" ref="AI533" si="1698">IFERROR(AI532/AH532-1,"n/a")</f>
        <v>-0.12396710823801294</v>
      </c>
      <c r="AJ533" s="120">
        <f t="shared" ref="AJ533" si="1699">IFERROR(AJ532/AI532-1,"n/a")</f>
        <v>0.19801639494693046</v>
      </c>
      <c r="AK533" s="120">
        <f t="shared" ref="AK533" si="1700">IFERROR(AK532/AJ532-1,"n/a")</f>
        <v>-1.8695704902755517E-2</v>
      </c>
      <c r="AL533" s="120">
        <f t="shared" ref="AL533" si="1701">IFERROR(AL532/AK532-1,"n/a")</f>
        <v>6.3322015376807705E-3</v>
      </c>
      <c r="AM533" s="120">
        <f t="shared" ref="AM533" si="1702">IFERROR(AM532/AL532-1,"n/a")</f>
        <v>2.5786706224165679E-2</v>
      </c>
      <c r="AN533" s="120">
        <f t="shared" ref="AN533" si="1703">IFERROR(AN532/AM532-1,"n/a")</f>
        <v>-0.15911367918286567</v>
      </c>
      <c r="AO533" s="120">
        <f t="shared" ref="AO533" si="1704">IFERROR(AO532/AN532-1,"n/a")</f>
        <v>0.16820969730122615</v>
      </c>
      <c r="AP533" s="120">
        <f t="shared" ref="AP533" si="1705">IFERROR(AP532/AO532-1,"n/a")</f>
        <v>0.44038371488867645</v>
      </c>
      <c r="AQ533" s="120">
        <f t="shared" ref="AQ533" si="1706">IFERROR(AQ532/AP532-1,"n/a")</f>
        <v>0.19840660160364121</v>
      </c>
      <c r="AR533" s="120">
        <f t="shared" ref="AR533" si="1707">IFERROR(AR532/AQ532-1,"n/a")</f>
        <v>0.25587319400677799</v>
      </c>
      <c r="AS533" s="120">
        <f t="shared" ref="AS533" si="1708">IFERROR(AS532/AR532-1,"n/a")</f>
        <v>0.24897140346283075</v>
      </c>
      <c r="AT533" s="120">
        <f t="shared" ref="AT533" si="1709">IFERROR(AT532/AS532-1,"n/a")</f>
        <v>5.4474855663191102E-2</v>
      </c>
      <c r="AU533" s="120">
        <f t="shared" ref="AU533" si="1710">IFERROR(AU532/AT532-1,"n/a")</f>
        <v>2.5771910392566211E-2</v>
      </c>
      <c r="AV533" s="120">
        <f t="shared" ref="AV533" si="1711">IFERROR(AV532/AU532-1,"n/a")</f>
        <v>0.14897999859823718</v>
      </c>
      <c r="AW533" s="120">
        <f t="shared" ref="AW533" si="1712">IFERROR(AW532/AV532-1,"n/a")</f>
        <v>6.7618843376938909E-2</v>
      </c>
      <c r="AX533" s="120">
        <f t="shared" ref="AX533" si="1713">IFERROR(AX532/AW532-1,"n/a")</f>
        <v>6.4071763803667414E-2</v>
      </c>
      <c r="AY533" s="120">
        <f t="shared" ref="AY533" si="1714">IFERROR(AY532/AX532-1,"n/a")</f>
        <v>0.24276378549308775</v>
      </c>
      <c r="AZ533" s="120">
        <f t="shared" ref="AZ533" si="1715">IFERROR(AZ532/AY532-1,"n/a")</f>
        <v>0.14969748196436217</v>
      </c>
      <c r="BA533" s="120">
        <f t="shared" ref="BA533" si="1716">IFERROR(BA532/AZ532-1,"n/a")</f>
        <v>0.27777161208264833</v>
      </c>
      <c r="BB533" s="120">
        <f t="shared" ref="BB533" si="1717">IFERROR(BB532/BA532-1,"n/a")</f>
        <v>0.27093696346704643</v>
      </c>
      <c r="BC533" s="120">
        <f t="shared" ref="BC533" si="1718">IFERROR(BC532/BB532-1,"n/a")</f>
        <v>0.13938108215705314</v>
      </c>
      <c r="BD533" s="120">
        <f t="shared" ref="BD533:BE533" ca="1" si="1719">IFERROR(BD532/BC532-1,"n/a")</f>
        <v>0.12958929607699843</v>
      </c>
      <c r="BE533" s="120">
        <f t="shared" ca="1" si="1719"/>
        <v>0.13482416220917304</v>
      </c>
      <c r="BF533" s="18"/>
      <c r="BG533" s="52"/>
      <c r="BH533" s="52"/>
      <c r="BI533" s="52"/>
      <c r="BJ533" s="52"/>
      <c r="BK533" s="52"/>
    </row>
    <row r="534" spans="1:63" s="207" customFormat="1" ht="11.25" customHeight="1">
      <c r="A534" s="52"/>
      <c r="B534" s="9" t="s">
        <v>312</v>
      </c>
      <c r="C534" s="52"/>
      <c r="D534" s="177"/>
      <c r="E534" s="177">
        <f>AVERAGE(D532:E532)</f>
        <v>1580.0719999999999</v>
      </c>
      <c r="F534" s="177">
        <f>AVERAGE(E532:F532)</f>
        <v>1641.1680000000001</v>
      </c>
      <c r="G534" s="177">
        <f>AVERAGE(F532:G532)</f>
        <v>1684.8164999999999</v>
      </c>
      <c r="H534" s="177">
        <f>AVERAGE(G532:H532)</f>
        <v>1755.2075</v>
      </c>
      <c r="I534" s="177">
        <f t="shared" ref="I534:W534" si="1720">AVERAGE(H532:I532)</f>
        <v>1867.6370000000002</v>
      </c>
      <c r="J534" s="177">
        <f t="shared" si="1720"/>
        <v>1995.4</v>
      </c>
      <c r="K534" s="177">
        <f t="shared" si="1720"/>
        <v>2119.489</v>
      </c>
      <c r="L534" s="177">
        <f t="shared" si="1720"/>
        <v>2222.4499999999998</v>
      </c>
      <c r="M534" s="177">
        <f t="shared" si="1720"/>
        <v>2357.7615000000001</v>
      </c>
      <c r="N534" s="177">
        <f t="shared" si="1720"/>
        <v>2516.828</v>
      </c>
      <c r="O534" s="177">
        <f t="shared" si="1720"/>
        <v>2676.2970000000005</v>
      </c>
      <c r="P534" s="177">
        <f t="shared" si="1720"/>
        <v>2793.6280000000002</v>
      </c>
      <c r="Q534" s="177">
        <f t="shared" si="1720"/>
        <v>2936.9724999999999</v>
      </c>
      <c r="R534" s="177">
        <f t="shared" si="1720"/>
        <v>3146.4855000000002</v>
      </c>
      <c r="S534" s="177">
        <f t="shared" si="1720"/>
        <v>3195.875</v>
      </c>
      <c r="T534" s="177">
        <f t="shared" si="1720"/>
        <v>3086.4134999999997</v>
      </c>
      <c r="U534" s="177">
        <f t="shared" si="1720"/>
        <v>3060.4014999999999</v>
      </c>
      <c r="V534" s="177">
        <f t="shared" si="1720"/>
        <v>3140.3665000000001</v>
      </c>
      <c r="W534" s="177">
        <f t="shared" ca="1" si="1720"/>
        <v>3370.5488333712883</v>
      </c>
      <c r="X534" s="177">
        <f t="shared" ref="X534" ca="1" si="1721">AVERAGE(W532:X532)</f>
        <v>3610.3871302177467</v>
      </c>
      <c r="Y534" s="177">
        <f t="shared" ref="Y534" ca="1" si="1722">AVERAGE(X532:Y532)</f>
        <v>3719.2086159170171</v>
      </c>
      <c r="Z534" s="177">
        <f t="shared" ref="Z534" ca="1" si="1723">AVERAGE(Y532:Z532)</f>
        <v>3840.6175849532547</v>
      </c>
      <c r="AA534" s="177">
        <f t="shared" ref="AA534" ca="1" si="1724">AVERAGE(Z532:AA532)</f>
        <v>3971.741155206289</v>
      </c>
      <c r="AB534" s="52"/>
      <c r="AC534" s="177"/>
      <c r="AD534" s="177">
        <f t="shared" ref="AD534" si="1725">AVERAGE(AC532:AD532)</f>
        <v>104.1155</v>
      </c>
      <c r="AE534" s="177">
        <f t="shared" ref="AE534" si="1726">AVERAGE(AD532:AE532)</f>
        <v>127.501</v>
      </c>
      <c r="AF534" s="177">
        <f t="shared" ref="AF534" si="1727">AVERAGE(AE532:AF532)</f>
        <v>221.6285</v>
      </c>
      <c r="AG534" s="177">
        <f t="shared" ref="AG534" si="1728">AVERAGE(AF532:AG532)</f>
        <v>304.33100000000002</v>
      </c>
      <c r="AH534" s="177">
        <f t="shared" ref="AH534" si="1729">AVERAGE(AG532:AH532)</f>
        <v>302.6635</v>
      </c>
      <c r="AI534" s="177">
        <f t="shared" ref="AI534" si="1730">AVERAGE(AH532:AI532)</f>
        <v>280.04950000000002</v>
      </c>
      <c r="AJ534" s="177">
        <f t="shared" ref="AJ534" si="1731">AVERAGE(AI532:AJ532)</f>
        <v>287.43900000000002</v>
      </c>
      <c r="AK534" s="177">
        <f t="shared" ref="AK534" si="1732">AVERAGE(AJ532:AK532)</f>
        <v>310.40499999999997</v>
      </c>
      <c r="AL534" s="177">
        <f t="shared" ref="AL534" si="1733">AVERAGE(AK532:AL532)</f>
        <v>308.44949999999994</v>
      </c>
      <c r="AM534" s="177">
        <f t="shared" ref="AM534" si="1734">AVERAGE(AL532:AM532)</f>
        <v>313.41249999999997</v>
      </c>
      <c r="AN534" s="177">
        <f t="shared" ref="AN534" si="1735">AVERAGE(AM532:AN532)</f>
        <v>292.15050000000002</v>
      </c>
      <c r="AO534" s="177">
        <f t="shared" ref="AO534" si="1736">AVERAGE(AN532:AO532)</f>
        <v>289.34650000000005</v>
      </c>
      <c r="AP534" s="177">
        <f t="shared" ref="AP534" si="1737">AVERAGE(AO532:AP532)</f>
        <v>380.44850000000002</v>
      </c>
      <c r="AQ534" s="177">
        <f t="shared" ref="AQ534" si="1738">AVERAGE(AP532:AQ532)</f>
        <v>493.65550000000007</v>
      </c>
      <c r="AR534" s="177">
        <f t="shared" ref="AR534" si="1739">AVERAGE(AQ532:AR532)</f>
        <v>607.06450000000007</v>
      </c>
      <c r="AS534" s="177">
        <f t="shared" ref="AS534" si="1740">AVERAGE(AR532:AS532)</f>
        <v>760.06349999999998</v>
      </c>
      <c r="AT534" s="177">
        <f t="shared" ref="AT534" si="1741">AVERAGE(AS532:AT532)</f>
        <v>867.2</v>
      </c>
      <c r="AU534" s="177">
        <f t="shared" ref="AU534" si="1742">AVERAGE(AT532:AU532)</f>
        <v>901.66499999999996</v>
      </c>
      <c r="AV534" s="177">
        <f t="shared" ref="AV534" si="1743">AVERAGE(AU532:AV532)</f>
        <v>981.15549999999996</v>
      </c>
      <c r="AW534" s="177">
        <f t="shared" ref="AW534" si="1744">AVERAGE(AV532:AW532)</f>
        <v>1084.6469999999999</v>
      </c>
      <c r="AX534" s="177">
        <f t="shared" ref="AX534" si="1745">AVERAGE(AW532:AX532)</f>
        <v>1156.0029999999999</v>
      </c>
      <c r="AY534" s="177">
        <f t="shared" ref="AY534" si="1746">AVERAGE(AX532:AY532)</f>
        <v>1336.5605</v>
      </c>
      <c r="AZ534" s="177">
        <f t="shared" ref="AZ534" si="1747">AVERAGE(AY532:AZ532)</f>
        <v>1592.1025</v>
      </c>
      <c r="BA534" s="177">
        <f t="shared" ref="BA534" si="1748">AVERAGE(AZ532:BA532)</f>
        <v>1939.4894999999999</v>
      </c>
      <c r="BB534" s="177">
        <f t="shared" ref="BB534" si="1749">AVERAGE(BA532:BB532)</f>
        <v>2470.7885000000001</v>
      </c>
      <c r="BC534" s="177">
        <f t="shared" ref="BC534" si="1750">AVERAGE(BB532:BC532)</f>
        <v>2958.3029999999999</v>
      </c>
      <c r="BD534" s="177">
        <f t="shared" ref="BD534:BE534" ca="1" si="1751">AVERAGE(BC532:BD532)</f>
        <v>3355.2073333712879</v>
      </c>
      <c r="BE534" s="177">
        <f t="shared" ca="1" si="1751"/>
        <v>3799.3227226948807</v>
      </c>
      <c r="BF534" s="52"/>
      <c r="BG534" s="86"/>
      <c r="BH534" s="86"/>
      <c r="BI534" s="86"/>
      <c r="BJ534" s="86"/>
      <c r="BK534" s="86"/>
    </row>
    <row r="535" spans="1:63" s="54" customFormat="1" ht="11.25" customHeight="1">
      <c r="A535" s="18"/>
      <c r="B535" s="30"/>
      <c r="C535" s="18"/>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c r="AB535" s="18"/>
      <c r="AC535" s="56"/>
      <c r="AD535" s="56"/>
      <c r="AE535" s="56"/>
      <c r="AF535" s="56"/>
      <c r="AG535" s="56"/>
      <c r="AH535" s="56"/>
      <c r="AI535" s="56"/>
      <c r="AJ535" s="56"/>
      <c r="AK535" s="56"/>
      <c r="AL535" s="56"/>
      <c r="AM535" s="56"/>
      <c r="AN535" s="56"/>
      <c r="AO535" s="56"/>
      <c r="AP535" s="56"/>
      <c r="AQ535" s="56"/>
      <c r="AR535" s="56"/>
      <c r="AS535" s="56"/>
      <c r="AT535" s="56"/>
      <c r="AU535" s="56"/>
      <c r="AV535" s="56"/>
      <c r="AW535" s="56"/>
      <c r="AX535" s="56"/>
      <c r="AY535" s="56"/>
      <c r="AZ535" s="56"/>
      <c r="BA535" s="56"/>
      <c r="BB535" s="56"/>
      <c r="BC535" s="56"/>
      <c r="BD535" s="56"/>
      <c r="BE535" s="56"/>
      <c r="BF535" s="18"/>
      <c r="BG535" s="86"/>
      <c r="BH535" s="86"/>
      <c r="BI535" s="86"/>
      <c r="BJ535" s="86"/>
      <c r="BK535" s="86"/>
    </row>
    <row r="536" spans="1:63" s="438" customFormat="1" ht="11.25" customHeight="1">
      <c r="A536" s="55"/>
      <c r="B536" s="415" t="s">
        <v>546</v>
      </c>
      <c r="C536" s="205"/>
      <c r="D536" s="439"/>
      <c r="E536" s="439">
        <f t="shared" ref="E536:W536" si="1752">E503/E534</f>
        <v>0.33211997174812286</v>
      </c>
      <c r="F536" s="439">
        <f t="shared" si="1752"/>
        <v>0.36571077184054296</v>
      </c>
      <c r="G536" s="439">
        <f t="shared" si="1752"/>
        <v>0.37278850723506107</v>
      </c>
      <c r="H536" s="439">
        <f t="shared" si="1752"/>
        <v>0.34306651492772233</v>
      </c>
      <c r="I536" s="439">
        <f t="shared" si="1752"/>
        <v>0.31198165810593814</v>
      </c>
      <c r="J536" s="439">
        <f t="shared" si="1752"/>
        <v>0.34279518692993877</v>
      </c>
      <c r="K536" s="439">
        <f t="shared" si="1752"/>
        <v>0.344936550272259</v>
      </c>
      <c r="L536" s="439">
        <f t="shared" si="1752"/>
        <v>0.40278048640014413</v>
      </c>
      <c r="M536" s="439">
        <f t="shared" si="1752"/>
        <v>0.44469944563943403</v>
      </c>
      <c r="N536" s="439">
        <f t="shared" si="1752"/>
        <v>0.49319976255826753</v>
      </c>
      <c r="O536" s="439">
        <f t="shared" si="1752"/>
        <v>0.48580687121048222</v>
      </c>
      <c r="P536" s="439">
        <f t="shared" si="1752"/>
        <v>0.33109343548962128</v>
      </c>
      <c r="Q536" s="439">
        <f t="shared" si="1752"/>
        <v>0.27505637727285492</v>
      </c>
      <c r="R536" s="439">
        <f t="shared" si="1752"/>
        <v>0.28992952041253639</v>
      </c>
      <c r="S536" s="439">
        <f t="shared" si="1752"/>
        <v>0.32567608557906669</v>
      </c>
      <c r="T536" s="439">
        <f t="shared" si="1752"/>
        <v>0.32272824234341912</v>
      </c>
      <c r="U536" s="439">
        <f t="shared" si="1752"/>
        <v>0.37453409560804352</v>
      </c>
      <c r="V536" s="439">
        <f t="shared" ref="V536" si="1753">V503/V534</f>
        <v>0.45952088713212297</v>
      </c>
      <c r="W536" s="439">
        <f t="shared" ca="1" si="1752"/>
        <v>0.48543228904624636</v>
      </c>
      <c r="X536" s="439">
        <f t="shared" ref="X536:AA536" ca="1" si="1754">X503/X534</f>
        <v>0.40261680688310425</v>
      </c>
      <c r="Y536" s="439">
        <f t="shared" ca="1" si="1754"/>
        <v>0.39481417262839108</v>
      </c>
      <c r="Z536" s="439">
        <f t="shared" ca="1" si="1754"/>
        <v>0.43125644437213462</v>
      </c>
      <c r="AA536" s="439">
        <f t="shared" ca="1" si="1754"/>
        <v>0.47270898487796581</v>
      </c>
      <c r="AB536" s="55"/>
      <c r="AC536" s="439"/>
      <c r="AD536" s="439">
        <f t="shared" ref="AD536:BD536" si="1755">AD503/AD534</f>
        <v>0.13262194389884308</v>
      </c>
      <c r="AE536" s="439">
        <f t="shared" si="1755"/>
        <v>0.19474357063866157</v>
      </c>
      <c r="AF536" s="439">
        <f t="shared" si="1755"/>
        <v>0.27656641632281048</v>
      </c>
      <c r="AG536" s="439">
        <f t="shared" si="1755"/>
        <v>4.1987178434007746E-2</v>
      </c>
      <c r="AH536" s="439">
        <f t="shared" si="1755"/>
        <v>0.10437003470851287</v>
      </c>
      <c r="AI536" s="439">
        <f t="shared" si="1755"/>
        <v>0.18318547256824244</v>
      </c>
      <c r="AJ536" s="439">
        <f t="shared" si="1755"/>
        <v>0.30782879150010961</v>
      </c>
      <c r="AK536" s="439">
        <f t="shared" si="1755"/>
        <v>0.29306228958940744</v>
      </c>
      <c r="AL536" s="439">
        <f t="shared" si="1755"/>
        <v>0.41259590305706445</v>
      </c>
      <c r="AM536" s="439">
        <f t="shared" si="1755"/>
        <v>0.35646950903362185</v>
      </c>
      <c r="AN536" s="439">
        <f t="shared" si="1755"/>
        <v>0.35746986570278</v>
      </c>
      <c r="AO536" s="439">
        <f t="shared" si="1755"/>
        <v>0.3178265505198784</v>
      </c>
      <c r="AP536" s="439">
        <f t="shared" si="1755"/>
        <v>0.41838777127521859</v>
      </c>
      <c r="AQ536" s="439">
        <f t="shared" si="1755"/>
        <v>0.28675260378948475</v>
      </c>
      <c r="AR536" s="439">
        <f t="shared" si="1755"/>
        <v>0.29844769377883235</v>
      </c>
      <c r="AS536" s="439">
        <f t="shared" si="1755"/>
        <v>0.27554145147083103</v>
      </c>
      <c r="AT536" s="439">
        <f t="shared" si="1755"/>
        <v>0.34117850553505541</v>
      </c>
      <c r="AU536" s="439">
        <f t="shared" si="1755"/>
        <v>0.35495222726844228</v>
      </c>
      <c r="AV536" s="439">
        <f t="shared" si="1755"/>
        <v>0.38521722601565195</v>
      </c>
      <c r="AW536" s="439">
        <f t="shared" si="1755"/>
        <v>0.35546956751828007</v>
      </c>
      <c r="AX536" s="439">
        <f t="shared" si="1755"/>
        <v>0.33185342685096841</v>
      </c>
      <c r="AY536" s="439">
        <f t="shared" si="1755"/>
        <v>0.27885116161969481</v>
      </c>
      <c r="AZ536" s="439">
        <f t="shared" si="1755"/>
        <v>0.35599706111886642</v>
      </c>
      <c r="BA536" s="439">
        <f t="shared" si="1755"/>
        <v>0.33512995919802591</v>
      </c>
      <c r="BB536" s="439">
        <f t="shared" si="1755"/>
        <v>0.45381435602440279</v>
      </c>
      <c r="BC536" s="439">
        <f t="shared" si="1755"/>
        <v>0.31148465860326002</v>
      </c>
      <c r="BD536" s="439">
        <f t="shared" ca="1" si="1755"/>
        <v>0.38906200338139924</v>
      </c>
      <c r="BE536" s="439">
        <f t="shared" ref="BE536" ca="1" si="1756">BE503/BE534</f>
        <v>0.4247972662007975</v>
      </c>
      <c r="BF536" s="55"/>
      <c r="BG536" s="437"/>
      <c r="BH536" s="437"/>
      <c r="BI536" s="437"/>
      <c r="BJ536" s="437"/>
      <c r="BK536" s="437"/>
    </row>
    <row r="537" spans="1:63" s="438" customFormat="1" ht="11.25" customHeight="1">
      <c r="A537" s="55"/>
      <c r="B537" s="48"/>
      <c r="C537" s="55"/>
      <c r="D537" s="485"/>
      <c r="E537" s="485"/>
      <c r="F537" s="485"/>
      <c r="G537" s="485"/>
      <c r="H537" s="485"/>
      <c r="I537" s="485"/>
      <c r="J537" s="485"/>
      <c r="K537" s="485"/>
      <c r="L537" s="485"/>
      <c r="M537" s="485"/>
      <c r="N537" s="485"/>
      <c r="O537" s="485"/>
      <c r="P537" s="485"/>
      <c r="Q537" s="485"/>
      <c r="R537" s="485"/>
      <c r="S537" s="485"/>
      <c r="T537" s="485"/>
      <c r="U537" s="485"/>
      <c r="V537" s="485"/>
      <c r="W537" s="485"/>
      <c r="X537" s="485"/>
      <c r="Y537" s="485"/>
      <c r="Z537" s="485"/>
      <c r="AA537" s="485"/>
      <c r="AB537" s="55"/>
      <c r="AC537" s="485"/>
      <c r="AD537" s="485"/>
      <c r="AE537" s="485"/>
      <c r="AF537" s="485"/>
      <c r="AG537" s="485"/>
      <c r="AH537" s="485"/>
      <c r="AI537" s="485"/>
      <c r="AJ537" s="485"/>
      <c r="AK537" s="485"/>
      <c r="AL537" s="485"/>
      <c r="AM537" s="485"/>
      <c r="AN537" s="485"/>
      <c r="AO537" s="485"/>
      <c r="AP537" s="485"/>
      <c r="AQ537" s="485"/>
      <c r="AR537" s="485"/>
      <c r="AS537" s="485"/>
      <c r="AT537" s="485"/>
      <c r="AU537" s="485"/>
      <c r="AV537" s="485"/>
      <c r="AW537" s="485"/>
      <c r="AX537" s="485"/>
      <c r="AY537" s="485"/>
      <c r="AZ537" s="485"/>
      <c r="BA537" s="485"/>
      <c r="BB537" s="485"/>
      <c r="BC537" s="485"/>
      <c r="BD537" s="485"/>
      <c r="BE537" s="485"/>
      <c r="BF537" s="55"/>
      <c r="BG537" s="437"/>
      <c r="BH537" s="437"/>
      <c r="BI537" s="437"/>
      <c r="BJ537" s="437"/>
      <c r="BK537" s="437"/>
    </row>
    <row r="538" spans="1:63" ht="11.25" customHeight="1">
      <c r="A538" s="2"/>
      <c r="B538" s="36"/>
      <c r="C538" s="2"/>
      <c r="D538" s="37"/>
      <c r="E538" s="37"/>
      <c r="F538" s="40"/>
      <c r="G538" s="40"/>
      <c r="H538" s="40"/>
      <c r="I538" s="40"/>
      <c r="J538" s="40"/>
      <c r="K538" s="40"/>
      <c r="L538" s="40"/>
      <c r="M538" s="40"/>
      <c r="N538" s="40"/>
      <c r="O538" s="40"/>
      <c r="P538" s="40"/>
      <c r="Q538" s="40"/>
      <c r="R538" s="40"/>
      <c r="S538" s="119"/>
      <c r="T538" s="119"/>
      <c r="U538" s="119"/>
      <c r="V538" s="119"/>
      <c r="W538" s="119"/>
      <c r="X538" s="119"/>
      <c r="Y538" s="119"/>
      <c r="Z538" s="119"/>
      <c r="AA538" s="119"/>
      <c r="AB538" s="37"/>
      <c r="AC538" s="37"/>
      <c r="AD538" s="37"/>
      <c r="AE538" s="37"/>
      <c r="AF538" s="37"/>
      <c r="AG538" s="37"/>
      <c r="AH538" s="37"/>
      <c r="AI538" s="37"/>
      <c r="AJ538" s="37"/>
      <c r="AK538" s="37"/>
      <c r="AL538" s="37"/>
      <c r="AM538" s="37"/>
      <c r="AN538" s="37"/>
      <c r="AO538" s="37"/>
      <c r="AP538" s="37"/>
      <c r="AQ538" s="37"/>
      <c r="AR538" s="37"/>
      <c r="AS538" s="37"/>
      <c r="AT538" s="37"/>
      <c r="AU538" s="37"/>
      <c r="AV538" s="140"/>
      <c r="AW538" s="140"/>
      <c r="AX538" s="40"/>
      <c r="AY538" s="40"/>
      <c r="AZ538" s="40"/>
      <c r="BA538" s="40"/>
      <c r="BB538" s="40"/>
      <c r="BC538" s="119"/>
      <c r="BD538" s="119"/>
      <c r="BE538" s="119"/>
      <c r="BF538" s="2"/>
      <c r="BG538" s="84"/>
      <c r="BH538" s="84"/>
      <c r="BI538" s="84"/>
      <c r="BJ538" s="84"/>
      <c r="BK538" s="84"/>
    </row>
    <row r="539" spans="1:63" ht="11.25" customHeight="1">
      <c r="A539" s="2"/>
      <c r="B539" s="168" t="s">
        <v>67</v>
      </c>
      <c r="C539" s="2"/>
      <c r="D539" s="37"/>
      <c r="E539" s="37"/>
      <c r="F539" s="40"/>
      <c r="G539" s="40"/>
      <c r="H539" s="40"/>
      <c r="I539" s="40"/>
      <c r="J539" s="40"/>
      <c r="K539" s="40"/>
      <c r="L539" s="40"/>
      <c r="M539" s="40"/>
      <c r="N539" s="40"/>
      <c r="O539" s="40"/>
      <c r="P539" s="40"/>
      <c r="Q539" s="40"/>
      <c r="R539" s="40"/>
      <c r="S539" s="119"/>
      <c r="T539" s="119"/>
      <c r="U539" s="119"/>
      <c r="V539" s="119"/>
      <c r="W539" s="119"/>
      <c r="X539" s="119"/>
      <c r="Y539" s="119"/>
      <c r="Z539" s="119"/>
      <c r="AA539" s="119"/>
      <c r="AB539" s="37"/>
      <c r="AC539" s="37"/>
      <c r="AD539" s="37"/>
      <c r="AE539" s="37"/>
      <c r="AF539" s="37"/>
      <c r="AG539" s="37"/>
      <c r="AH539" s="37"/>
      <c r="AI539" s="37"/>
      <c r="AJ539" s="37"/>
      <c r="AK539" s="37"/>
      <c r="AL539" s="37"/>
      <c r="AM539" s="37"/>
      <c r="AN539" s="37"/>
      <c r="AO539" s="37"/>
      <c r="AP539" s="37"/>
      <c r="AQ539" s="37"/>
      <c r="AR539" s="37"/>
      <c r="AS539" s="37"/>
      <c r="AT539" s="37"/>
      <c r="AU539" s="37"/>
      <c r="AV539" s="140"/>
      <c r="AW539" s="140"/>
      <c r="AX539" s="40"/>
      <c r="AY539" s="40"/>
      <c r="AZ539" s="40"/>
      <c r="BA539" s="40"/>
      <c r="BB539" s="40"/>
      <c r="BC539" s="119"/>
      <c r="BD539" s="119"/>
      <c r="BE539" s="119"/>
      <c r="BF539" s="2"/>
      <c r="BG539" s="84"/>
      <c r="BH539" s="84"/>
      <c r="BI539" s="84"/>
      <c r="BJ539" s="84"/>
      <c r="BK539" s="84"/>
    </row>
    <row r="540" spans="1:63" ht="11.25" customHeight="1">
      <c r="A540" s="2"/>
      <c r="B540" s="6" t="s">
        <v>54</v>
      </c>
      <c r="C540" s="2"/>
      <c r="D540" s="99">
        <v>43831</v>
      </c>
      <c r="E540" s="98">
        <f>D541+1</f>
        <v>43922</v>
      </c>
      <c r="F540" s="98">
        <f t="shared" ref="F540:W540" si="1757">E541+1</f>
        <v>44013</v>
      </c>
      <c r="G540" s="98">
        <f t="shared" si="1757"/>
        <v>44105</v>
      </c>
      <c r="H540" s="98">
        <f t="shared" si="1757"/>
        <v>44197</v>
      </c>
      <c r="I540" s="98">
        <f t="shared" si="1757"/>
        <v>44287</v>
      </c>
      <c r="J540" s="98">
        <f t="shared" si="1757"/>
        <v>44378</v>
      </c>
      <c r="K540" s="98">
        <f t="shared" si="1757"/>
        <v>44470</v>
      </c>
      <c r="L540" s="98">
        <f t="shared" si="1757"/>
        <v>44562</v>
      </c>
      <c r="M540" s="98">
        <f t="shared" si="1757"/>
        <v>44652</v>
      </c>
      <c r="N540" s="98">
        <f t="shared" si="1757"/>
        <v>44743</v>
      </c>
      <c r="O540" s="98">
        <f t="shared" si="1757"/>
        <v>44835</v>
      </c>
      <c r="P540" s="98">
        <f t="shared" si="1757"/>
        <v>44927</v>
      </c>
      <c r="Q540" s="98">
        <f t="shared" si="1757"/>
        <v>45017</v>
      </c>
      <c r="R540" s="98">
        <f t="shared" si="1757"/>
        <v>45108</v>
      </c>
      <c r="S540" s="98">
        <f t="shared" si="1757"/>
        <v>45200</v>
      </c>
      <c r="T540" s="98">
        <f t="shared" si="1757"/>
        <v>45292</v>
      </c>
      <c r="U540" s="98">
        <f t="shared" si="1757"/>
        <v>45383</v>
      </c>
      <c r="V540" s="98">
        <f t="shared" si="1757"/>
        <v>45474</v>
      </c>
      <c r="W540" s="98">
        <f t="shared" si="1757"/>
        <v>45566</v>
      </c>
      <c r="X540" s="98">
        <f t="shared" ref="X540" si="1758">W541+1</f>
        <v>45658</v>
      </c>
      <c r="Y540" s="98">
        <f t="shared" ref="Y540" si="1759">X541+1</f>
        <v>45748</v>
      </c>
      <c r="Z540" s="98">
        <f t="shared" ref="Z540" si="1760">Y541+1</f>
        <v>45839</v>
      </c>
      <c r="AA540" s="98">
        <f t="shared" ref="AA540" si="1761">Z541+1</f>
        <v>45931</v>
      </c>
      <c r="AB540" s="2"/>
      <c r="AC540" s="99">
        <v>35431</v>
      </c>
      <c r="AD540" s="98">
        <f t="shared" ref="AD540" si="1762">AC541+1</f>
        <v>35796</v>
      </c>
      <c r="AE540" s="98">
        <f t="shared" ref="AE540" si="1763">AD541+1</f>
        <v>36161</v>
      </c>
      <c r="AF540" s="98">
        <f t="shared" ref="AF540" si="1764">AE541+1</f>
        <v>36526</v>
      </c>
      <c r="AG540" s="98">
        <f t="shared" ref="AG540" si="1765">AF541+1</f>
        <v>36892</v>
      </c>
      <c r="AH540" s="98">
        <f t="shared" ref="AH540" si="1766">AG541+1</f>
        <v>37257</v>
      </c>
      <c r="AI540" s="98">
        <f t="shared" ref="AI540" si="1767">AH541+1</f>
        <v>37622</v>
      </c>
      <c r="AJ540" s="98">
        <f t="shared" ref="AJ540" si="1768">AI541+1</f>
        <v>37987</v>
      </c>
      <c r="AK540" s="98">
        <f t="shared" ref="AK540" si="1769">AJ541+1</f>
        <v>38353</v>
      </c>
      <c r="AL540" s="98">
        <f t="shared" ref="AL540" si="1770">AK541+1</f>
        <v>38718</v>
      </c>
      <c r="AM540" s="98">
        <f t="shared" ref="AM540" si="1771">AL541+1</f>
        <v>39083</v>
      </c>
      <c r="AN540" s="98">
        <f t="shared" ref="AN540" si="1772">AM541+1</f>
        <v>39448</v>
      </c>
      <c r="AO540" s="98">
        <f t="shared" ref="AO540" si="1773">AN541+1</f>
        <v>39814</v>
      </c>
      <c r="AP540" s="98">
        <f t="shared" ref="AP540" si="1774">AO541+1</f>
        <v>40179</v>
      </c>
      <c r="AQ540" s="98">
        <f t="shared" ref="AQ540" si="1775">AP541+1</f>
        <v>40544</v>
      </c>
      <c r="AR540" s="98">
        <f t="shared" ref="AR540" si="1776">AQ541+1</f>
        <v>40909</v>
      </c>
      <c r="AS540" s="98">
        <f t="shared" ref="AS540" si="1777">AR541+1</f>
        <v>41275</v>
      </c>
      <c r="AT540" s="98">
        <f t="shared" ref="AT540" si="1778">AS541+1</f>
        <v>41640</v>
      </c>
      <c r="AU540" s="98">
        <f t="shared" ref="AU540" si="1779">AT541+1</f>
        <v>42005</v>
      </c>
      <c r="AV540" s="98">
        <f t="shared" ref="AV540" si="1780">AU541+1</f>
        <v>42370</v>
      </c>
      <c r="AW540" s="98">
        <f t="shared" ref="AW540" si="1781">AV541+1</f>
        <v>42736</v>
      </c>
      <c r="AX540" s="98">
        <f t="shared" ref="AX540" si="1782">AW541+1</f>
        <v>43101</v>
      </c>
      <c r="AY540" s="98">
        <f t="shared" ref="AY540" si="1783">AX541+1</f>
        <v>43466</v>
      </c>
      <c r="AZ540" s="98">
        <f t="shared" ref="AZ540" si="1784">AY541+1</f>
        <v>43831</v>
      </c>
      <c r="BA540" s="98">
        <f t="shared" ref="BA540" si="1785">AZ541+1</f>
        <v>44197</v>
      </c>
      <c r="BB540" s="98">
        <f t="shared" ref="BB540" si="1786">BA541+1</f>
        <v>44562</v>
      </c>
      <c r="BC540" s="98">
        <f t="shared" ref="BC540" si="1787">BB541+1</f>
        <v>44927</v>
      </c>
      <c r="BD540" s="98">
        <f t="shared" ref="BD540:BE540" si="1788">BC541+1</f>
        <v>45292</v>
      </c>
      <c r="BE540" s="98">
        <f t="shared" si="1788"/>
        <v>45658</v>
      </c>
      <c r="BF540" s="2"/>
      <c r="BG540" s="2"/>
      <c r="BH540" s="2"/>
      <c r="BI540" s="2"/>
      <c r="BJ540" s="2"/>
      <c r="BK540" s="2"/>
    </row>
    <row r="541" spans="1:63" ht="11.25" customHeight="1">
      <c r="A541" s="2"/>
      <c r="B541" s="6" t="s">
        <v>55</v>
      </c>
      <c r="C541" s="2"/>
      <c r="D541" s="98">
        <f>EOMONTH(D540,2)</f>
        <v>43921</v>
      </c>
      <c r="E541" s="98">
        <f>EOMONTH(E540,2)</f>
        <v>44012</v>
      </c>
      <c r="F541" s="98">
        <f t="shared" ref="F541:AA541" si="1789">EOMONTH(F540,2)</f>
        <v>44104</v>
      </c>
      <c r="G541" s="98">
        <f t="shared" si="1789"/>
        <v>44196</v>
      </c>
      <c r="H541" s="98">
        <f t="shared" si="1789"/>
        <v>44286</v>
      </c>
      <c r="I541" s="98">
        <f t="shared" si="1789"/>
        <v>44377</v>
      </c>
      <c r="J541" s="98">
        <f t="shared" si="1789"/>
        <v>44469</v>
      </c>
      <c r="K541" s="98">
        <f t="shared" si="1789"/>
        <v>44561</v>
      </c>
      <c r="L541" s="98">
        <f t="shared" si="1789"/>
        <v>44651</v>
      </c>
      <c r="M541" s="98">
        <f t="shared" si="1789"/>
        <v>44742</v>
      </c>
      <c r="N541" s="98">
        <f t="shared" si="1789"/>
        <v>44834</v>
      </c>
      <c r="O541" s="98">
        <f t="shared" si="1789"/>
        <v>44926</v>
      </c>
      <c r="P541" s="98">
        <f t="shared" si="1789"/>
        <v>45016</v>
      </c>
      <c r="Q541" s="98">
        <f t="shared" si="1789"/>
        <v>45107</v>
      </c>
      <c r="R541" s="98">
        <f t="shared" si="1789"/>
        <v>45199</v>
      </c>
      <c r="S541" s="98">
        <f t="shared" si="1789"/>
        <v>45291</v>
      </c>
      <c r="T541" s="98">
        <f t="shared" si="1789"/>
        <v>45382</v>
      </c>
      <c r="U541" s="98">
        <f t="shared" si="1789"/>
        <v>45473</v>
      </c>
      <c r="V541" s="98">
        <f t="shared" si="1789"/>
        <v>45565</v>
      </c>
      <c r="W541" s="98">
        <f t="shared" si="1789"/>
        <v>45657</v>
      </c>
      <c r="X541" s="98">
        <f t="shared" si="1789"/>
        <v>45747</v>
      </c>
      <c r="Y541" s="98">
        <f t="shared" si="1789"/>
        <v>45838</v>
      </c>
      <c r="Z541" s="98">
        <f t="shared" si="1789"/>
        <v>45930</v>
      </c>
      <c r="AA541" s="98">
        <f t="shared" si="1789"/>
        <v>46022</v>
      </c>
      <c r="AB541" s="2"/>
      <c r="AC541" s="98">
        <f t="shared" ref="AC541:AD541" si="1790">EOMONTH(AC540,11)</f>
        <v>35795</v>
      </c>
      <c r="AD541" s="98">
        <f t="shared" si="1790"/>
        <v>36160</v>
      </c>
      <c r="AE541" s="98">
        <f t="shared" ref="AE541:BE541" si="1791">EOMONTH(AE540,11)</f>
        <v>36525</v>
      </c>
      <c r="AF541" s="98">
        <f t="shared" si="1791"/>
        <v>36891</v>
      </c>
      <c r="AG541" s="98">
        <f t="shared" si="1791"/>
        <v>37256</v>
      </c>
      <c r="AH541" s="98">
        <f t="shared" si="1791"/>
        <v>37621</v>
      </c>
      <c r="AI541" s="98">
        <f t="shared" si="1791"/>
        <v>37986</v>
      </c>
      <c r="AJ541" s="98">
        <f t="shared" si="1791"/>
        <v>38352</v>
      </c>
      <c r="AK541" s="98">
        <f t="shared" si="1791"/>
        <v>38717</v>
      </c>
      <c r="AL541" s="98">
        <f t="shared" si="1791"/>
        <v>39082</v>
      </c>
      <c r="AM541" s="98">
        <f t="shared" si="1791"/>
        <v>39447</v>
      </c>
      <c r="AN541" s="98">
        <f t="shared" si="1791"/>
        <v>39813</v>
      </c>
      <c r="AO541" s="98">
        <f t="shared" si="1791"/>
        <v>40178</v>
      </c>
      <c r="AP541" s="98">
        <f t="shared" si="1791"/>
        <v>40543</v>
      </c>
      <c r="AQ541" s="98">
        <f t="shared" si="1791"/>
        <v>40908</v>
      </c>
      <c r="AR541" s="98">
        <f t="shared" si="1791"/>
        <v>41274</v>
      </c>
      <c r="AS541" s="98">
        <f t="shared" si="1791"/>
        <v>41639</v>
      </c>
      <c r="AT541" s="98">
        <f t="shared" si="1791"/>
        <v>42004</v>
      </c>
      <c r="AU541" s="98">
        <f t="shared" si="1791"/>
        <v>42369</v>
      </c>
      <c r="AV541" s="98">
        <f t="shared" si="1791"/>
        <v>42735</v>
      </c>
      <c r="AW541" s="98">
        <f t="shared" si="1791"/>
        <v>43100</v>
      </c>
      <c r="AX541" s="98">
        <f t="shared" si="1791"/>
        <v>43465</v>
      </c>
      <c r="AY541" s="98">
        <f t="shared" si="1791"/>
        <v>43830</v>
      </c>
      <c r="AZ541" s="98">
        <f t="shared" si="1791"/>
        <v>44196</v>
      </c>
      <c r="BA541" s="98">
        <f t="shared" si="1791"/>
        <v>44561</v>
      </c>
      <c r="BB541" s="98">
        <f t="shared" si="1791"/>
        <v>44926</v>
      </c>
      <c r="BC541" s="98">
        <f t="shared" si="1791"/>
        <v>45291</v>
      </c>
      <c r="BD541" s="98">
        <f t="shared" si="1791"/>
        <v>45657</v>
      </c>
      <c r="BE541" s="98">
        <f t="shared" si="1791"/>
        <v>46022</v>
      </c>
      <c r="BF541" s="2"/>
      <c r="BG541" s="2"/>
      <c r="BH541" s="2"/>
      <c r="BI541" s="2"/>
      <c r="BJ541" s="2"/>
      <c r="BK541" s="2"/>
    </row>
    <row r="542" spans="1:63" ht="11.25" customHeight="1">
      <c r="A542" s="2"/>
      <c r="B542" s="6" t="s">
        <v>56</v>
      </c>
      <c r="C542" s="2"/>
      <c r="D542" s="39">
        <f t="shared" ref="D542:AA542" si="1792">D541-D540+1</f>
        <v>91</v>
      </c>
      <c r="E542" s="39">
        <f t="shared" si="1792"/>
        <v>91</v>
      </c>
      <c r="F542" s="39">
        <f t="shared" si="1792"/>
        <v>92</v>
      </c>
      <c r="G542" s="39">
        <f t="shared" si="1792"/>
        <v>92</v>
      </c>
      <c r="H542" s="39">
        <f t="shared" si="1792"/>
        <v>90</v>
      </c>
      <c r="I542" s="39">
        <f t="shared" si="1792"/>
        <v>91</v>
      </c>
      <c r="J542" s="39">
        <f t="shared" si="1792"/>
        <v>92</v>
      </c>
      <c r="K542" s="39">
        <f t="shared" si="1792"/>
        <v>92</v>
      </c>
      <c r="L542" s="39">
        <f t="shared" si="1792"/>
        <v>90</v>
      </c>
      <c r="M542" s="39">
        <f t="shared" si="1792"/>
        <v>91</v>
      </c>
      <c r="N542" s="39">
        <f t="shared" si="1792"/>
        <v>92</v>
      </c>
      <c r="O542" s="39">
        <f t="shared" si="1792"/>
        <v>92</v>
      </c>
      <c r="P542" s="39">
        <f t="shared" si="1792"/>
        <v>90</v>
      </c>
      <c r="Q542" s="39">
        <f t="shared" si="1792"/>
        <v>91</v>
      </c>
      <c r="R542" s="39">
        <f t="shared" si="1792"/>
        <v>92</v>
      </c>
      <c r="S542" s="39">
        <f t="shared" si="1792"/>
        <v>92</v>
      </c>
      <c r="T542" s="39">
        <f t="shared" si="1792"/>
        <v>91</v>
      </c>
      <c r="U542" s="39">
        <f t="shared" si="1792"/>
        <v>91</v>
      </c>
      <c r="V542" s="39">
        <f t="shared" si="1792"/>
        <v>92</v>
      </c>
      <c r="W542" s="39">
        <f t="shared" si="1792"/>
        <v>92</v>
      </c>
      <c r="X542" s="39">
        <f t="shared" si="1792"/>
        <v>90</v>
      </c>
      <c r="Y542" s="39">
        <f t="shared" si="1792"/>
        <v>91</v>
      </c>
      <c r="Z542" s="39">
        <f t="shared" si="1792"/>
        <v>92</v>
      </c>
      <c r="AA542" s="39">
        <f t="shared" si="1792"/>
        <v>92</v>
      </c>
      <c r="AB542" s="2"/>
      <c r="AC542" s="39">
        <f t="shared" ref="AC542:AD542" si="1793">AC541-AC540+1</f>
        <v>365</v>
      </c>
      <c r="AD542" s="39">
        <f t="shared" si="1793"/>
        <v>365</v>
      </c>
      <c r="AE542" s="39">
        <f t="shared" ref="AE542:BE542" si="1794">AE541-AE540+1</f>
        <v>365</v>
      </c>
      <c r="AF542" s="39">
        <f t="shared" si="1794"/>
        <v>366</v>
      </c>
      <c r="AG542" s="39">
        <f t="shared" si="1794"/>
        <v>365</v>
      </c>
      <c r="AH542" s="39">
        <f t="shared" si="1794"/>
        <v>365</v>
      </c>
      <c r="AI542" s="39">
        <f t="shared" si="1794"/>
        <v>365</v>
      </c>
      <c r="AJ542" s="39">
        <f t="shared" si="1794"/>
        <v>366</v>
      </c>
      <c r="AK542" s="39">
        <f t="shared" si="1794"/>
        <v>365</v>
      </c>
      <c r="AL542" s="39">
        <f t="shared" si="1794"/>
        <v>365</v>
      </c>
      <c r="AM542" s="39">
        <f t="shared" si="1794"/>
        <v>365</v>
      </c>
      <c r="AN542" s="39">
        <f t="shared" si="1794"/>
        <v>366</v>
      </c>
      <c r="AO542" s="39">
        <f t="shared" si="1794"/>
        <v>365</v>
      </c>
      <c r="AP542" s="39">
        <f t="shared" si="1794"/>
        <v>365</v>
      </c>
      <c r="AQ542" s="39">
        <f t="shared" si="1794"/>
        <v>365</v>
      </c>
      <c r="AR542" s="39">
        <f t="shared" si="1794"/>
        <v>366</v>
      </c>
      <c r="AS542" s="39">
        <f t="shared" si="1794"/>
        <v>365</v>
      </c>
      <c r="AT542" s="39">
        <f t="shared" si="1794"/>
        <v>365</v>
      </c>
      <c r="AU542" s="39">
        <f t="shared" si="1794"/>
        <v>365</v>
      </c>
      <c r="AV542" s="39">
        <f t="shared" si="1794"/>
        <v>366</v>
      </c>
      <c r="AW542" s="39">
        <f t="shared" si="1794"/>
        <v>365</v>
      </c>
      <c r="AX542" s="39">
        <f t="shared" si="1794"/>
        <v>365</v>
      </c>
      <c r="AY542" s="39">
        <f t="shared" si="1794"/>
        <v>365</v>
      </c>
      <c r="AZ542" s="39">
        <f t="shared" si="1794"/>
        <v>366</v>
      </c>
      <c r="BA542" s="39">
        <f t="shared" si="1794"/>
        <v>365</v>
      </c>
      <c r="BB542" s="39">
        <f t="shared" si="1794"/>
        <v>365</v>
      </c>
      <c r="BC542" s="39">
        <f t="shared" si="1794"/>
        <v>365</v>
      </c>
      <c r="BD542" s="39">
        <f t="shared" si="1794"/>
        <v>366</v>
      </c>
      <c r="BE542" s="39">
        <f t="shared" si="1794"/>
        <v>365</v>
      </c>
      <c r="BF542" s="2"/>
      <c r="BG542" s="2"/>
      <c r="BH542" s="2"/>
      <c r="BI542" s="2"/>
      <c r="BJ542" s="2"/>
      <c r="BK542" s="2"/>
    </row>
    <row r="544" spans="1:63" ht="11.25" customHeight="1">
      <c r="B544" s="168" t="s">
        <v>442</v>
      </c>
    </row>
    <row r="545" spans="2:59" ht="11.25" customHeight="1">
      <c r="B545" s="30" t="s">
        <v>7</v>
      </c>
      <c r="AT545" s="27">
        <v>762.806465</v>
      </c>
      <c r="AU545" s="27">
        <v>843.49736800000005</v>
      </c>
      <c r="AV545" s="27">
        <v>947.93834400000003</v>
      </c>
      <c r="AW545" s="27">
        <v>977.44724099999996</v>
      </c>
      <c r="AX545" s="27">
        <v>1031.473557</v>
      </c>
      <c r="AY545" s="27">
        <v>1069.9854480000001</v>
      </c>
      <c r="AZ545" s="27">
        <v>1339.2548109999998</v>
      </c>
      <c r="BA545" s="27">
        <v>1587.4150369999998</v>
      </c>
      <c r="BB545" s="27">
        <v>2263.8912920000002</v>
      </c>
      <c r="BC545" s="27">
        <v>2161.7358410000002</v>
      </c>
      <c r="BD545" s="27"/>
      <c r="BE545" s="27"/>
      <c r="BF545" s="27"/>
      <c r="BG545" s="27"/>
    </row>
    <row r="546" spans="2:59" ht="11.25" customHeight="1">
      <c r="B546" s="30" t="s">
        <v>443</v>
      </c>
      <c r="AT546" s="27">
        <f t="shared" ref="AT546:BC546" si="1795">AT16-AT545</f>
        <v>-4.6499999996285624E-4</v>
      </c>
      <c r="AU546" s="27">
        <f t="shared" si="1795"/>
        <v>-3.6800000009407086E-4</v>
      </c>
      <c r="AV546" s="27">
        <f t="shared" si="1795"/>
        <v>-3.4400000004097819E-4</v>
      </c>
      <c r="AW546" s="27">
        <f t="shared" si="1795"/>
        <v>-2.4100000007365452E-4</v>
      </c>
      <c r="AX546" s="27">
        <f t="shared" si="1795"/>
        <v>0</v>
      </c>
      <c r="AY546" s="27">
        <f t="shared" si="1795"/>
        <v>0</v>
      </c>
      <c r="AZ546" s="27">
        <f t="shared" si="1795"/>
        <v>0</v>
      </c>
      <c r="BA546" s="27">
        <f t="shared" si="1795"/>
        <v>0</v>
      </c>
      <c r="BB546" s="27">
        <f t="shared" si="1795"/>
        <v>0</v>
      </c>
      <c r="BC546" s="27">
        <f t="shared" si="1795"/>
        <v>1.5899999971225043E-4</v>
      </c>
      <c r="BD546" s="27"/>
      <c r="BE546" s="27"/>
    </row>
    <row r="548" spans="2:59" ht="11.25" customHeight="1">
      <c r="B548" s="30" t="s">
        <v>250</v>
      </c>
      <c r="AT548" s="27">
        <v>295.89029299999987</v>
      </c>
      <c r="AU548" s="27">
        <v>320.04777499999989</v>
      </c>
      <c r="AV548" s="27">
        <v>377.95777800000002</v>
      </c>
      <c r="AW548" s="27">
        <v>385.55922299999997</v>
      </c>
      <c r="AX548" s="27">
        <v>383.62352400000003</v>
      </c>
      <c r="AY548" s="27">
        <v>372.70109000000008</v>
      </c>
      <c r="AZ548" s="27">
        <v>566.78369799999996</v>
      </c>
      <c r="BA548" s="27">
        <v>649.98089700000014</v>
      </c>
      <c r="BB548" s="27">
        <v>1121.2788510000003</v>
      </c>
      <c r="BC548" s="27">
        <v>921.46560599999998</v>
      </c>
      <c r="BD548" s="27"/>
      <c r="BE548" s="27"/>
    </row>
    <row r="549" spans="2:59" ht="11.25" customHeight="1">
      <c r="B549" s="30" t="s">
        <v>443</v>
      </c>
      <c r="AC549">
        <v>1000</v>
      </c>
      <c r="AT549" s="27">
        <f t="shared" ref="AT549:BC549" si="1796">AT50-AT548</f>
        <v>-2.029299999981049E-2</v>
      </c>
      <c r="AU549" s="27">
        <f t="shared" si="1796"/>
        <v>2.2500000011405064E-4</v>
      </c>
      <c r="AV549" s="27">
        <f t="shared" si="1796"/>
        <v>2.2199999995109465E-4</v>
      </c>
      <c r="AW549" s="27">
        <f t="shared" si="1796"/>
        <v>-2.2300000006225673E-4</v>
      </c>
      <c r="AX549" s="27">
        <f t="shared" si="1796"/>
        <v>3.2999999973526428E-5</v>
      </c>
      <c r="AY549" s="27">
        <f t="shared" si="1796"/>
        <v>3.5800000006247501E-4</v>
      </c>
      <c r="AZ549" s="27">
        <f t="shared" si="1796"/>
        <v>1.1300000005576294E-4</v>
      </c>
      <c r="BA549" s="27">
        <f t="shared" si="1796"/>
        <v>1.3999999953284714E-4</v>
      </c>
      <c r="BB549" s="27">
        <f t="shared" si="1796"/>
        <v>4.4099999990976357E-4</v>
      </c>
      <c r="BC549" s="27">
        <f t="shared" si="1796"/>
        <v>3.9399999991474033E-4</v>
      </c>
      <c r="BD549" s="27"/>
      <c r="BE549" s="27"/>
    </row>
    <row r="553" spans="2:59" ht="11.25" customHeight="1">
      <c r="B553" s="514" t="s">
        <v>127</v>
      </c>
    </row>
    <row r="554" spans="2:59" ht="11.25" customHeight="1">
      <c r="B554" s="515" t="s">
        <v>729</v>
      </c>
      <c r="AC554" s="521">
        <v>17.96</v>
      </c>
      <c r="AD554" s="521">
        <v>15.343999999999999</v>
      </c>
      <c r="AE554" s="521">
        <v>24.56</v>
      </c>
      <c r="AF554" s="521">
        <v>65.105999999999995</v>
      </c>
      <c r="AG554" s="521">
        <v>14.483000000000001</v>
      </c>
      <c r="AH554" s="521">
        <v>21.61</v>
      </c>
      <c r="AI554" s="521">
        <v>47.259</v>
      </c>
      <c r="AJ554" s="521">
        <v>92.316000000000003</v>
      </c>
      <c r="AK554" s="521">
        <v>93.575000000000003</v>
      </c>
      <c r="AL554" s="521">
        <v>127.01</v>
      </c>
      <c r="AM554" s="521">
        <v>109.17700000000001</v>
      </c>
      <c r="AN554" s="521">
        <v>99.933000000000007</v>
      </c>
      <c r="AO554" s="521">
        <v>89.218000000000004</v>
      </c>
      <c r="AP554" s="521">
        <v>161.60499999999999</v>
      </c>
      <c r="AQ554" s="521">
        <v>134.20099999999999</v>
      </c>
      <c r="AR554" s="521">
        <v>166.15899999999999</v>
      </c>
    </row>
    <row r="555" spans="2:59" ht="11.25" customHeight="1">
      <c r="B555" s="515" t="s">
        <v>730</v>
      </c>
      <c r="AC555" s="518">
        <v>-7.2999999999999995E-2</v>
      </c>
      <c r="AD555" s="518">
        <v>-1.0149999999999999</v>
      </c>
      <c r="AE555" s="518">
        <v>-0.51600000000000001</v>
      </c>
      <c r="AF555" s="518">
        <v>-3.6999999999999998E-2</v>
      </c>
      <c r="AG555" s="518">
        <v>4.3999999999999997E-2</v>
      </c>
      <c r="AH555" s="518">
        <v>-2.5000000000000001E-2</v>
      </c>
      <c r="AI555" s="518">
        <v>-3.0000000000000001E-3</v>
      </c>
      <c r="AJ555" s="518">
        <v>1.2999999999999999E-2</v>
      </c>
      <c r="AK555" s="518">
        <v>5.8000000000000003E-2</v>
      </c>
      <c r="AL555" s="518">
        <v>0.186</v>
      </c>
      <c r="AM555" s="518">
        <v>0.755</v>
      </c>
      <c r="AN555" s="518">
        <v>0.59</v>
      </c>
      <c r="AO555" s="518">
        <v>0.248</v>
      </c>
      <c r="AP555" s="518">
        <v>0.67700000000000005</v>
      </c>
      <c r="AQ555" s="518">
        <v>0.252</v>
      </c>
      <c r="AR555" s="518">
        <v>-0.19500000000000001</v>
      </c>
    </row>
    <row r="556" spans="2:59" ht="11.25" customHeight="1">
      <c r="B556" s="515" t="s">
        <v>731</v>
      </c>
      <c r="AC556" s="518">
        <v>9.782</v>
      </c>
      <c r="AD556" s="518">
        <v>15.295</v>
      </c>
      <c r="AE556" s="518">
        <v>21.417000000000002</v>
      </c>
      <c r="AF556" s="518">
        <v>41.445999999999998</v>
      </c>
      <c r="AG556" s="518">
        <v>55.323</v>
      </c>
      <c r="AH556" s="518">
        <v>65.001000000000005</v>
      </c>
      <c r="AI556" s="518">
        <v>69.161000000000001</v>
      </c>
      <c r="AJ556" s="518">
        <v>69.817999999999998</v>
      </c>
      <c r="AK556" s="518">
        <v>75.649000000000001</v>
      </c>
      <c r="AL556" s="518">
        <v>73.715000000000003</v>
      </c>
      <c r="AM556" s="518">
        <v>80.004999999999995</v>
      </c>
      <c r="AN556" s="518">
        <v>81.512</v>
      </c>
      <c r="AO556" s="518">
        <v>80.814999999999998</v>
      </c>
      <c r="AP556" s="518">
        <v>87.81</v>
      </c>
      <c r="AQ556" s="518">
        <v>107.682</v>
      </c>
      <c r="AR556" s="518">
        <v>131.34899999999999</v>
      </c>
    </row>
    <row r="557" spans="2:59" ht="11.25" customHeight="1">
      <c r="B557" s="515" t="s">
        <v>732</v>
      </c>
      <c r="AC557" s="518">
        <v>-2.202</v>
      </c>
      <c r="AD557" s="518">
        <v>-2.3580000000000001</v>
      </c>
      <c r="AE557" s="518">
        <v>-0.48199999999999998</v>
      </c>
      <c r="AF557" s="518">
        <v>-0.95599999999999996</v>
      </c>
      <c r="AG557" s="518">
        <v>-3.7879999999999998</v>
      </c>
      <c r="AH557" s="518">
        <v>5.4210000000000003</v>
      </c>
      <c r="AI557" s="518">
        <v>3.665</v>
      </c>
      <c r="AJ557" s="518">
        <v>-1.508</v>
      </c>
      <c r="AK557" s="518">
        <v>-3.3540000000000001</v>
      </c>
      <c r="AL557" s="518">
        <v>0.122</v>
      </c>
      <c r="AM557" s="518">
        <v>0.94399999999999995</v>
      </c>
      <c r="AN557" s="518">
        <v>2.2789999999999999</v>
      </c>
      <c r="AO557" s="518">
        <v>-1.752</v>
      </c>
      <c r="AP557" s="518">
        <v>-0.377</v>
      </c>
      <c r="AQ557" s="518">
        <v>-0.49099999999999999</v>
      </c>
      <c r="AR557" s="518">
        <v>0.57299999999999995</v>
      </c>
    </row>
    <row r="558" spans="2:59" ht="11.25" customHeight="1">
      <c r="B558" s="515" t="s">
        <v>733</v>
      </c>
      <c r="AC558" s="518">
        <v>6.4000000000000001E-2</v>
      </c>
      <c r="AD558" s="518">
        <v>1.4</v>
      </c>
      <c r="AE558" s="518">
        <v>0.28899999999999998</v>
      </c>
      <c r="AF558" s="518">
        <v>0.187</v>
      </c>
      <c r="AG558" s="518">
        <v>3.9590000000000001</v>
      </c>
      <c r="AH558" s="518">
        <v>1.9770000000000001</v>
      </c>
      <c r="AI558" s="518">
        <v>0.29399999999999998</v>
      </c>
      <c r="AJ558" s="518">
        <v>-2.0939999999999999</v>
      </c>
      <c r="AK558" s="518">
        <v>-1.4330000000000001</v>
      </c>
      <c r="AL558" s="518">
        <v>-2.347</v>
      </c>
      <c r="AM558" s="518">
        <v>-2.508</v>
      </c>
      <c r="AN558" s="518">
        <v>-0.70199999999999996</v>
      </c>
      <c r="AO558" s="518">
        <v>-4.5999999999999999E-2</v>
      </c>
      <c r="AP558" s="518">
        <v>-2.298</v>
      </c>
      <c r="AQ558" s="518">
        <v>-0.89800000000000002</v>
      </c>
      <c r="AR558" s="518">
        <v>-2.0289999999999999</v>
      </c>
    </row>
    <row r="559" spans="2:59" ht="11.25" customHeight="1">
      <c r="B559" s="515" t="s">
        <v>734</v>
      </c>
      <c r="AC559" s="522">
        <v>-0.89200000000000002</v>
      </c>
      <c r="AD559" s="522">
        <v>3.3610000000000002</v>
      </c>
      <c r="AE559" s="522">
        <v>-4.5979999999999999</v>
      </c>
      <c r="AF559" s="522">
        <v>-12.333</v>
      </c>
      <c r="AG559" s="522">
        <v>5.7969999999999997</v>
      </c>
      <c r="AH559" s="522">
        <v>4.5229999999999997</v>
      </c>
      <c r="AI559" s="522">
        <v>-4.3390000000000004</v>
      </c>
      <c r="AJ559" s="522">
        <v>-5.3940000000000001</v>
      </c>
      <c r="AK559" s="522">
        <v>-7.4820000000000002</v>
      </c>
      <c r="AL559" s="522">
        <v>6.3109999999999999</v>
      </c>
      <c r="AM559" s="522">
        <v>-4.6070000000000002</v>
      </c>
      <c r="AN559" s="522">
        <v>37.881999999999998</v>
      </c>
      <c r="AO559" s="522">
        <v>-8.5169999999999995</v>
      </c>
      <c r="AP559" s="522">
        <v>-17.940999999999999</v>
      </c>
      <c r="AQ559" s="522">
        <v>6.8410000000000002</v>
      </c>
      <c r="AR559" s="522">
        <v>-6.7930000000000001</v>
      </c>
    </row>
    <row r="560" spans="2:59" ht="11.25" customHeight="1">
      <c r="B560" s="515" t="s">
        <v>735</v>
      </c>
      <c r="AC560" s="523">
        <v>24.638999999999999</v>
      </c>
      <c r="AD560" s="523">
        <v>32.027000000000001</v>
      </c>
      <c r="AE560" s="523">
        <v>40.67</v>
      </c>
      <c r="AF560" s="523">
        <v>93.412999999999997</v>
      </c>
      <c r="AG560" s="523">
        <v>75.817999999999998</v>
      </c>
      <c r="AH560" s="523">
        <v>98.507000000000005</v>
      </c>
      <c r="AI560" s="523">
        <v>116.03700000000001</v>
      </c>
      <c r="AJ560" s="523">
        <v>153.15100000000001</v>
      </c>
      <c r="AK560" s="523">
        <v>157.01300000000001</v>
      </c>
      <c r="AL560" s="523">
        <v>204.99700000000001</v>
      </c>
      <c r="AM560" s="523">
        <v>183.76599999999999</v>
      </c>
      <c r="AN560" s="523">
        <v>221.494</v>
      </c>
      <c r="AO560" s="523">
        <v>159.96600000000001</v>
      </c>
      <c r="AP560" s="523">
        <v>229.476</v>
      </c>
      <c r="AQ560" s="523">
        <v>247.58699999999999</v>
      </c>
      <c r="AR560" s="523">
        <v>289.06400000000002</v>
      </c>
    </row>
    <row r="561" spans="2:44" ht="11.25" customHeight="1">
      <c r="B561" s="516"/>
      <c r="AC561" s="518"/>
      <c r="AD561" s="518"/>
      <c r="AE561" s="518"/>
      <c r="AF561" s="518"/>
      <c r="AG561" s="518"/>
      <c r="AH561" s="518"/>
      <c r="AI561" s="518"/>
      <c r="AJ561" s="518"/>
      <c r="AK561" s="518"/>
      <c r="AL561" s="518"/>
      <c r="AM561" s="518"/>
      <c r="AN561" s="518"/>
      <c r="AO561" s="518"/>
      <c r="AP561" s="518"/>
      <c r="AQ561" s="518"/>
      <c r="AR561" s="518"/>
    </row>
    <row r="562" spans="2:44" ht="11.25" customHeight="1">
      <c r="B562" s="514" t="s">
        <v>128</v>
      </c>
      <c r="AC562" s="518"/>
      <c r="AD562" s="518"/>
      <c r="AE562" s="518"/>
      <c r="AF562" s="518"/>
      <c r="AG562" s="518"/>
      <c r="AH562" s="518"/>
      <c r="AI562" s="518"/>
      <c r="AJ562" s="518"/>
      <c r="AK562" s="518"/>
      <c r="AL562" s="518"/>
      <c r="AM562" s="518"/>
      <c r="AN562" s="518"/>
      <c r="AO562" s="518"/>
      <c r="AP562" s="518"/>
      <c r="AQ562" s="518"/>
      <c r="AR562" s="518"/>
    </row>
    <row r="563" spans="2:44" ht="11.25" customHeight="1">
      <c r="B563" s="517" t="s">
        <v>736</v>
      </c>
      <c r="AC563" s="518">
        <v>-4.9710000000000001</v>
      </c>
      <c r="AD563" s="518">
        <v>-0.86</v>
      </c>
      <c r="AE563" s="518">
        <v>5.0880000000000001</v>
      </c>
      <c r="AF563" s="524">
        <v>0</v>
      </c>
      <c r="AG563" s="518">
        <v>0.11700000000000001</v>
      </c>
      <c r="AH563" s="518">
        <v>1.1839999999999999</v>
      </c>
      <c r="AI563" s="518">
        <v>-13.026</v>
      </c>
      <c r="AJ563" s="518">
        <v>-43.555</v>
      </c>
      <c r="AK563" s="518">
        <v>6.9539999999999997</v>
      </c>
      <c r="AL563" s="524">
        <v>0</v>
      </c>
      <c r="AM563" s="524">
        <v>0</v>
      </c>
      <c r="AN563" s="524">
        <v>0</v>
      </c>
      <c r="AO563" s="524">
        <v>0</v>
      </c>
      <c r="AP563" s="524">
        <v>0</v>
      </c>
      <c r="AQ563" s="524">
        <v>0</v>
      </c>
      <c r="AR563" s="524">
        <v>0</v>
      </c>
    </row>
    <row r="564" spans="2:44" ht="11.25" customHeight="1">
      <c r="B564" s="517" t="s">
        <v>737</v>
      </c>
      <c r="AC564" s="518">
        <v>-0.71399999999999997</v>
      </c>
      <c r="AD564" s="518">
        <v>-1.55</v>
      </c>
      <c r="AE564" s="518">
        <v>-10.058</v>
      </c>
      <c r="AF564" s="518">
        <v>-2.1070000000000002</v>
      </c>
      <c r="AG564" s="518">
        <v>-5.1210000000000004</v>
      </c>
      <c r="AH564" s="518">
        <v>-3.1920000000000002</v>
      </c>
      <c r="AI564" s="518">
        <v>-1.4119999999999999</v>
      </c>
      <c r="AJ564" s="518">
        <v>-23.053999999999998</v>
      </c>
      <c r="AK564" s="518">
        <v>-4.141</v>
      </c>
      <c r="AL564" s="524">
        <v>0</v>
      </c>
      <c r="AM564" s="524">
        <v>0</v>
      </c>
      <c r="AN564" s="524">
        <v>0</v>
      </c>
      <c r="AO564" s="524">
        <v>0</v>
      </c>
      <c r="AP564" s="524">
        <v>0</v>
      </c>
      <c r="AQ564" s="524">
        <v>0</v>
      </c>
      <c r="AR564" s="524">
        <v>0</v>
      </c>
    </row>
    <row r="565" spans="2:44" ht="11.25" customHeight="1">
      <c r="B565" s="515" t="s">
        <v>751</v>
      </c>
      <c r="AC565" s="518"/>
      <c r="AD565" s="518"/>
      <c r="AE565" s="518"/>
      <c r="AF565" s="518"/>
      <c r="AG565" s="518"/>
      <c r="AH565" s="518"/>
      <c r="AI565" s="518"/>
      <c r="AJ565" s="518"/>
      <c r="AK565" s="518"/>
      <c r="AL565" s="518"/>
      <c r="AM565" s="518"/>
      <c r="AN565" s="518"/>
      <c r="AO565" s="518"/>
      <c r="AP565" s="518"/>
      <c r="AQ565" s="518"/>
      <c r="AR565" s="518"/>
    </row>
    <row r="566" spans="2:44" ht="11.25" customHeight="1">
      <c r="B566" s="515" t="s">
        <v>738</v>
      </c>
      <c r="AC566" s="524">
        <v>0</v>
      </c>
      <c r="AD566" s="524">
        <v>0</v>
      </c>
      <c r="AE566" s="524">
        <v>0</v>
      </c>
      <c r="AF566" s="524">
        <v>0</v>
      </c>
      <c r="AG566" s="524">
        <v>0</v>
      </c>
      <c r="AH566" s="524">
        <v>0</v>
      </c>
      <c r="AI566" s="524">
        <v>0</v>
      </c>
      <c r="AJ566" s="524">
        <v>0</v>
      </c>
      <c r="AK566" s="524">
        <v>0</v>
      </c>
      <c r="AL566" s="518">
        <v>-137.846</v>
      </c>
      <c r="AM566" s="518">
        <v>-87.55</v>
      </c>
      <c r="AN566" s="518">
        <v>-101.797</v>
      </c>
      <c r="AO566" s="518">
        <v>-51.024999999999999</v>
      </c>
      <c r="AP566" s="518">
        <v>-52.442</v>
      </c>
      <c r="AQ566" s="518">
        <v>-35.673000000000002</v>
      </c>
      <c r="AR566" s="518">
        <v>-31.526</v>
      </c>
    </row>
    <row r="567" spans="2:44" ht="11.25" customHeight="1">
      <c r="B567" s="515" t="s">
        <v>739</v>
      </c>
      <c r="AC567" s="524">
        <v>0</v>
      </c>
      <c r="AD567" s="524">
        <v>0</v>
      </c>
      <c r="AE567" s="524">
        <v>0</v>
      </c>
      <c r="AF567" s="524">
        <v>0</v>
      </c>
      <c r="AG567" s="524">
        <v>0</v>
      </c>
      <c r="AH567" s="524">
        <v>0</v>
      </c>
      <c r="AI567" s="524">
        <v>0</v>
      </c>
      <c r="AJ567" s="524">
        <v>0</v>
      </c>
      <c r="AK567" s="524">
        <v>0</v>
      </c>
      <c r="AL567" s="518">
        <v>-2.613</v>
      </c>
      <c r="AM567" s="518">
        <v>-5.8040000000000003</v>
      </c>
      <c r="AN567" s="518">
        <v>-5.6000000000000001E-2</v>
      </c>
      <c r="AO567" s="518">
        <v>-4.2999999999999997E-2</v>
      </c>
      <c r="AP567" s="518">
        <v>-6.242</v>
      </c>
      <c r="AQ567" s="524">
        <v>0</v>
      </c>
      <c r="AR567" s="524">
        <v>0</v>
      </c>
    </row>
    <row r="568" spans="2:44" ht="11.25" customHeight="1">
      <c r="B568" s="515" t="s">
        <v>740</v>
      </c>
      <c r="AC568" s="518">
        <v>-38.648000000000003</v>
      </c>
      <c r="AD568" s="518">
        <v>-41.113999999999997</v>
      </c>
      <c r="AE568" s="518">
        <v>-38.484999999999999</v>
      </c>
      <c r="AF568" s="518">
        <v>-103.762</v>
      </c>
      <c r="AG568" s="518">
        <v>-70.200999999999993</v>
      </c>
      <c r="AH568" s="518">
        <v>-55.234999999999999</v>
      </c>
      <c r="AI568" s="518">
        <v>-37.871000000000002</v>
      </c>
      <c r="AJ568" s="518">
        <v>-81.094999999999999</v>
      </c>
      <c r="AK568" s="518">
        <v>-79.879000000000005</v>
      </c>
      <c r="AL568" s="518">
        <v>-78.736999999999995</v>
      </c>
      <c r="AM568" s="518">
        <v>-84.001000000000005</v>
      </c>
      <c r="AN568" s="518">
        <v>-59.222999999999999</v>
      </c>
      <c r="AO568" s="518">
        <v>-87.784999999999997</v>
      </c>
      <c r="AP568" s="518">
        <v>-186.94399999999999</v>
      </c>
      <c r="AQ568" s="518">
        <v>-213.96299999999999</v>
      </c>
      <c r="AR568" s="518">
        <v>-246.137</v>
      </c>
    </row>
    <row r="569" spans="2:44" ht="11.25" customHeight="1">
      <c r="B569" s="515" t="s">
        <v>741</v>
      </c>
      <c r="AC569" s="524">
        <v>0</v>
      </c>
      <c r="AD569" s="524">
        <v>0</v>
      </c>
      <c r="AE569" s="524">
        <v>0</v>
      </c>
      <c r="AF569" s="524">
        <v>0</v>
      </c>
      <c r="AG569" s="524">
        <v>0</v>
      </c>
      <c r="AH569" s="524">
        <v>0</v>
      </c>
      <c r="AI569" s="524">
        <v>0</v>
      </c>
      <c r="AJ569" s="524">
        <v>0</v>
      </c>
      <c r="AK569" s="524">
        <v>0</v>
      </c>
      <c r="AL569" s="518">
        <v>-0.51200000000000001</v>
      </c>
      <c r="AM569" s="518">
        <v>-0.91100000000000003</v>
      </c>
      <c r="AN569" s="518">
        <v>-0.46300000000000002</v>
      </c>
      <c r="AO569" s="518">
        <v>-0.32100000000000001</v>
      </c>
      <c r="AP569" s="518">
        <v>-1.8129999999999999</v>
      </c>
      <c r="AQ569" s="518">
        <v>-0.40400000000000003</v>
      </c>
      <c r="AR569" s="518">
        <v>-5.7000000000000002E-2</v>
      </c>
    </row>
    <row r="570" spans="2:44" ht="11.25" customHeight="1">
      <c r="B570" s="515" t="s">
        <v>742</v>
      </c>
      <c r="AC570" s="518"/>
      <c r="AD570" s="518"/>
      <c r="AE570" s="518"/>
      <c r="AF570" s="518"/>
      <c r="AG570" s="518"/>
      <c r="AH570" s="518"/>
      <c r="AI570" s="518"/>
      <c r="AJ570" s="518"/>
      <c r="AK570" s="518"/>
      <c r="AL570" s="518"/>
      <c r="AM570" s="518"/>
      <c r="AN570" s="518"/>
      <c r="AO570" s="518"/>
      <c r="AP570" s="518"/>
      <c r="AQ570" s="518"/>
      <c r="AR570" s="518"/>
    </row>
    <row r="571" spans="2:44" ht="11.25" customHeight="1">
      <c r="B571" s="515" t="s">
        <v>738</v>
      </c>
      <c r="AC571" s="524">
        <v>0</v>
      </c>
      <c r="AD571" s="524">
        <v>0</v>
      </c>
      <c r="AE571" s="524">
        <v>0</v>
      </c>
      <c r="AF571" s="524">
        <v>0</v>
      </c>
      <c r="AG571" s="524">
        <v>0</v>
      </c>
      <c r="AH571" s="524">
        <v>0</v>
      </c>
      <c r="AI571" s="524">
        <v>0</v>
      </c>
      <c r="AJ571" s="524">
        <v>0</v>
      </c>
      <c r="AK571" s="524">
        <v>0</v>
      </c>
      <c r="AL571" s="518">
        <v>102.03</v>
      </c>
      <c r="AM571" s="518">
        <v>112.23399999999999</v>
      </c>
      <c r="AN571" s="518">
        <v>154.15</v>
      </c>
      <c r="AO571" s="518">
        <v>43.984999999999999</v>
      </c>
      <c r="AP571" s="518">
        <v>53.759</v>
      </c>
      <c r="AQ571" s="518">
        <v>64.093999999999994</v>
      </c>
      <c r="AR571" s="518">
        <v>3.6760000000000002</v>
      </c>
    </row>
    <row r="572" spans="2:44" ht="11.25" customHeight="1">
      <c r="B572" s="515" t="s">
        <v>739</v>
      </c>
      <c r="AC572" s="524">
        <v>0</v>
      </c>
      <c r="AD572" s="524">
        <v>0</v>
      </c>
      <c r="AE572" s="524">
        <v>0</v>
      </c>
      <c r="AF572" s="524">
        <v>0</v>
      </c>
      <c r="AG572" s="524">
        <v>0</v>
      </c>
      <c r="AH572" s="524">
        <v>0</v>
      </c>
      <c r="AI572" s="524">
        <v>0</v>
      </c>
      <c r="AJ572" s="524">
        <v>0</v>
      </c>
      <c r="AK572" s="524">
        <v>0</v>
      </c>
      <c r="AL572" s="524">
        <v>0</v>
      </c>
      <c r="AM572" s="524">
        <v>0</v>
      </c>
      <c r="AN572" s="524">
        <v>0</v>
      </c>
      <c r="AO572" s="524">
        <v>0</v>
      </c>
      <c r="AP572" s="524">
        <v>0</v>
      </c>
      <c r="AQ572" s="524">
        <v>0</v>
      </c>
      <c r="AR572" s="524">
        <v>0</v>
      </c>
    </row>
    <row r="573" spans="2:44" ht="11.25" customHeight="1">
      <c r="B573" s="515" t="s">
        <v>752</v>
      </c>
      <c r="AC573" s="518">
        <v>3.7999999999999999E-2</v>
      </c>
      <c r="AD573" s="518">
        <v>3.0000000000000001E-3</v>
      </c>
      <c r="AE573" s="518">
        <v>0.38800000000000001</v>
      </c>
      <c r="AF573" s="518">
        <v>0.36499999999999999</v>
      </c>
      <c r="AG573" s="518">
        <v>0.30099999999999999</v>
      </c>
      <c r="AH573" s="518">
        <v>0.496</v>
      </c>
      <c r="AI573" s="518">
        <v>0.17699999999999999</v>
      </c>
      <c r="AJ573" s="518">
        <v>1.8129999999999999</v>
      </c>
      <c r="AK573" s="518">
        <v>0.48099999999999998</v>
      </c>
      <c r="AL573" s="518">
        <v>0.51900000000000002</v>
      </c>
      <c r="AM573" s="518">
        <v>6.0999999999999999E-2</v>
      </c>
      <c r="AN573" s="518">
        <v>0.19500000000000001</v>
      </c>
      <c r="AO573" s="518">
        <v>2.4E-2</v>
      </c>
      <c r="AP573" s="518">
        <v>0.11600000000000001</v>
      </c>
      <c r="AQ573" s="518">
        <v>0.69799999999999995</v>
      </c>
      <c r="AR573" s="518">
        <v>0.157</v>
      </c>
    </row>
    <row r="574" spans="2:44" ht="11.25" customHeight="1">
      <c r="B574" s="515" t="s">
        <v>741</v>
      </c>
      <c r="AC574" s="524">
        <v>0</v>
      </c>
      <c r="AD574" s="524">
        <v>0</v>
      </c>
      <c r="AE574" s="524">
        <v>0</v>
      </c>
      <c r="AF574" s="524">
        <v>0</v>
      </c>
      <c r="AG574" s="524">
        <v>0</v>
      </c>
      <c r="AH574" s="524">
        <v>0</v>
      </c>
      <c r="AI574" s="524">
        <v>0</v>
      </c>
      <c r="AJ574" s="524">
        <v>0</v>
      </c>
      <c r="AK574" s="524">
        <v>0</v>
      </c>
      <c r="AL574" s="518">
        <v>0.126</v>
      </c>
      <c r="AM574" s="518">
        <v>0.41</v>
      </c>
      <c r="AN574" s="518">
        <v>0.19900000000000001</v>
      </c>
      <c r="AO574" s="518">
        <v>0.13100000000000001</v>
      </c>
      <c r="AP574" s="518">
        <v>0.24199999999999999</v>
      </c>
      <c r="AQ574" s="518">
        <v>0.22600000000000001</v>
      </c>
      <c r="AR574" s="518">
        <v>0.35399999999999998</v>
      </c>
    </row>
    <row r="575" spans="2:44" ht="11.25" customHeight="1">
      <c r="B575" s="515" t="s">
        <v>753</v>
      </c>
      <c r="AC575" s="518">
        <v>-0.23200000000000001</v>
      </c>
      <c r="AD575" s="518">
        <v>1.2430000000000001</v>
      </c>
      <c r="AE575" s="518">
        <v>-1.92</v>
      </c>
      <c r="AF575" s="518">
        <v>-14.071</v>
      </c>
      <c r="AG575" s="518">
        <v>-2.3279999999999998</v>
      </c>
      <c r="AH575" s="518">
        <v>-5.4420000000000002</v>
      </c>
      <c r="AI575" s="518">
        <v>-1.2729999999999999</v>
      </c>
      <c r="AJ575" s="518">
        <v>-2.1219999999999999</v>
      </c>
      <c r="AK575" s="518">
        <v>-0.85499999999999998</v>
      </c>
      <c r="AL575" s="518">
        <v>-2.6909999999999998</v>
      </c>
      <c r="AM575" s="518">
        <v>-5.1280000000000001</v>
      </c>
      <c r="AN575" s="518">
        <v>-1.0469999999999999</v>
      </c>
      <c r="AO575" s="518">
        <v>-1.4339999999999999</v>
      </c>
      <c r="AP575" s="518">
        <v>-8.7620000000000005</v>
      </c>
      <c r="AQ575" s="518">
        <v>2.4990000000000001</v>
      </c>
      <c r="AR575" s="518">
        <v>0.33700000000000002</v>
      </c>
    </row>
    <row r="576" spans="2:44" ht="11.25" customHeight="1">
      <c r="B576" s="515" t="s">
        <v>743</v>
      </c>
      <c r="AC576" s="523">
        <v>-44.527000000000001</v>
      </c>
      <c r="AD576" s="523">
        <v>-42.277999999999999</v>
      </c>
      <c r="AE576" s="523">
        <v>-44.987000000000002</v>
      </c>
      <c r="AF576" s="523">
        <v>-119.575</v>
      </c>
      <c r="AG576" s="523">
        <v>-77.231999999999999</v>
      </c>
      <c r="AH576" s="523">
        <v>-62.189</v>
      </c>
      <c r="AI576" s="523">
        <v>-53.405000000000001</v>
      </c>
      <c r="AJ576" s="523">
        <v>-148.01300000000001</v>
      </c>
      <c r="AK576" s="523">
        <v>-77.44</v>
      </c>
      <c r="AL576" s="523">
        <v>-119.724</v>
      </c>
      <c r="AM576" s="523">
        <v>-70.688999999999993</v>
      </c>
      <c r="AN576" s="523">
        <v>-8.0419999999999998</v>
      </c>
      <c r="AO576" s="523">
        <v>-96.468000000000004</v>
      </c>
      <c r="AP576" s="523">
        <v>-202.08600000000001</v>
      </c>
      <c r="AQ576" s="523">
        <v>-182.523</v>
      </c>
      <c r="AR576" s="523">
        <v>-273.19600000000003</v>
      </c>
    </row>
    <row r="577" spans="2:44" ht="11.25" customHeight="1">
      <c r="B577" s="516"/>
      <c r="AC577" s="518"/>
      <c r="AD577" s="518"/>
      <c r="AE577" s="518"/>
      <c r="AF577" s="518"/>
      <c r="AG577" s="518"/>
      <c r="AH577" s="518"/>
      <c r="AI577" s="518"/>
      <c r="AJ577" s="518"/>
      <c r="AK577" s="518"/>
      <c r="AL577" s="518"/>
      <c r="AM577" s="518"/>
      <c r="AN577" s="518"/>
      <c r="AO577" s="518"/>
      <c r="AP577" s="518"/>
      <c r="AQ577" s="518"/>
      <c r="AR577" s="518"/>
    </row>
    <row r="578" spans="2:44" ht="11.25" customHeight="1">
      <c r="B578" s="514" t="s">
        <v>129</v>
      </c>
      <c r="AC578" s="518"/>
      <c r="AD578" s="518"/>
      <c r="AE578" s="518"/>
      <c r="AF578" s="518"/>
      <c r="AG578" s="518"/>
      <c r="AH578" s="518"/>
      <c r="AI578" s="518"/>
      <c r="AJ578" s="518"/>
      <c r="AK578" s="518"/>
      <c r="AL578" s="518"/>
      <c r="AM578" s="518"/>
      <c r="AN578" s="518"/>
      <c r="AO578" s="518"/>
      <c r="AP578" s="518"/>
      <c r="AQ578" s="518"/>
      <c r="AR578" s="518"/>
    </row>
    <row r="579" spans="2:44" ht="11.25" customHeight="1">
      <c r="B579" s="516" t="s">
        <v>754</v>
      </c>
      <c r="AC579" s="518">
        <v>0</v>
      </c>
      <c r="AD579" s="518">
        <v>0</v>
      </c>
      <c r="AE579" s="518">
        <v>0</v>
      </c>
      <c r="AF579" s="518">
        <v>0</v>
      </c>
      <c r="AG579" s="518">
        <v>0</v>
      </c>
      <c r="AH579" s="518">
        <v>0</v>
      </c>
      <c r="AI579" s="518">
        <v>0</v>
      </c>
      <c r="AJ579" s="518">
        <v>0</v>
      </c>
      <c r="AK579" s="518">
        <v>0</v>
      </c>
      <c r="AL579" s="518">
        <v>0</v>
      </c>
      <c r="AM579" s="518">
        <v>0</v>
      </c>
      <c r="AN579" s="518">
        <v>0</v>
      </c>
      <c r="AO579" s="518">
        <v>0</v>
      </c>
      <c r="AP579" s="518">
        <v>31.213999999999999</v>
      </c>
      <c r="AQ579" s="518">
        <v>-5.2869999999999999</v>
      </c>
      <c r="AR579" s="518">
        <v>8.7880000000000003</v>
      </c>
    </row>
    <row r="580" spans="2:44" ht="11.25" customHeight="1">
      <c r="B580" s="516" t="s">
        <v>755</v>
      </c>
      <c r="AC580" s="518">
        <v>-0.30399999999999999</v>
      </c>
      <c r="AD580" s="518">
        <v>-2.3929999999999998</v>
      </c>
      <c r="AE580" s="518">
        <v>-0.93799999999999994</v>
      </c>
      <c r="AF580" s="518">
        <v>2.9790000000000001</v>
      </c>
      <c r="AG580" s="518">
        <v>0.126</v>
      </c>
      <c r="AH580" s="518">
        <v>-5.8179999999999996</v>
      </c>
      <c r="AI580" s="518">
        <v>-0.63100000000000001</v>
      </c>
      <c r="AJ580" s="518">
        <v>-0.35099999999999998</v>
      </c>
      <c r="AK580" s="518">
        <v>2.484</v>
      </c>
      <c r="AL580" s="518">
        <v>0.92100000000000004</v>
      </c>
      <c r="AM580" s="518">
        <v>-1.5740000000000001</v>
      </c>
      <c r="AN580" s="518">
        <v>-0.75900000000000001</v>
      </c>
      <c r="AO580" s="518">
        <v>-0.47799999999999998</v>
      </c>
      <c r="AP580" s="518">
        <v>-0.23300000000000001</v>
      </c>
      <c r="AQ580" s="518">
        <v>-0.34200000000000003</v>
      </c>
      <c r="AR580" s="518">
        <v>-0.24</v>
      </c>
    </row>
    <row r="581" spans="2:44" ht="11.25" customHeight="1">
      <c r="B581" s="516" t="s">
        <v>744</v>
      </c>
      <c r="AC581" s="524">
        <v>0</v>
      </c>
      <c r="AD581" s="524">
        <v>0</v>
      </c>
      <c r="AE581" s="524">
        <v>0</v>
      </c>
      <c r="AF581" s="524">
        <v>0</v>
      </c>
      <c r="AG581" s="524">
        <v>0</v>
      </c>
      <c r="AH581" s="524">
        <v>0</v>
      </c>
      <c r="AI581" s="524">
        <v>0</v>
      </c>
      <c r="AJ581" s="518">
        <v>4.0000000000000001E-3</v>
      </c>
      <c r="AK581" s="518">
        <v>0.27100000000000002</v>
      </c>
      <c r="AL581" s="518">
        <v>0.57499999999999996</v>
      </c>
      <c r="AM581" s="518">
        <v>0.437</v>
      </c>
      <c r="AN581" s="518">
        <v>0.22700000000000001</v>
      </c>
      <c r="AO581" s="518">
        <v>0.26100000000000001</v>
      </c>
      <c r="AP581" s="518">
        <v>0.245</v>
      </c>
      <c r="AQ581" s="518">
        <v>0.218</v>
      </c>
      <c r="AR581" s="518">
        <v>0.24199999999999999</v>
      </c>
    </row>
    <row r="582" spans="2:44" ht="11.25" customHeight="1">
      <c r="B582" s="516" t="s">
        <v>745</v>
      </c>
      <c r="AC582" s="518">
        <v>-0.17399999999999999</v>
      </c>
      <c r="AD582" s="518">
        <v>-0.16200000000000001</v>
      </c>
      <c r="AE582" s="518">
        <v>-0.13800000000000001</v>
      </c>
      <c r="AF582" s="518">
        <v>-0.215</v>
      </c>
      <c r="AG582" s="518">
        <v>-0.17</v>
      </c>
      <c r="AH582" s="518">
        <v>-0.13400000000000001</v>
      </c>
      <c r="AI582" s="518">
        <v>-5.8000000000000003E-2</v>
      </c>
      <c r="AJ582" s="518">
        <v>-0.128</v>
      </c>
      <c r="AK582" s="518">
        <v>-0.23100000000000001</v>
      </c>
      <c r="AL582" s="518">
        <v>-0.25700000000000001</v>
      </c>
      <c r="AM582" s="518">
        <v>-0.28599999999999998</v>
      </c>
      <c r="AN582" s="518">
        <v>-0.17699999999999999</v>
      </c>
      <c r="AO582" s="524">
        <v>0</v>
      </c>
      <c r="AP582" s="524">
        <v>0</v>
      </c>
      <c r="AQ582" s="524">
        <v>0</v>
      </c>
      <c r="AR582" s="524">
        <v>0</v>
      </c>
    </row>
    <row r="583" spans="2:44" ht="11.25" customHeight="1">
      <c r="B583" s="516" t="s">
        <v>746</v>
      </c>
      <c r="AC583" s="518">
        <v>11.55</v>
      </c>
      <c r="AD583" s="518">
        <v>9.7729999999999997</v>
      </c>
      <c r="AE583" s="518">
        <v>9.4510000000000005</v>
      </c>
      <c r="AF583" s="518">
        <v>9</v>
      </c>
      <c r="AG583" s="524">
        <v>0</v>
      </c>
      <c r="AH583" s="518">
        <v>10</v>
      </c>
      <c r="AI583" s="518">
        <v>-4</v>
      </c>
      <c r="AJ583" s="518">
        <v>-5</v>
      </c>
      <c r="AK583" s="518">
        <v>-10.5</v>
      </c>
      <c r="AL583" s="524">
        <v>0</v>
      </c>
      <c r="AM583" s="518">
        <v>-7</v>
      </c>
      <c r="AN583" s="524">
        <v>0</v>
      </c>
      <c r="AO583" s="518">
        <v>-8</v>
      </c>
      <c r="AP583" s="524">
        <v>0</v>
      </c>
      <c r="AQ583" s="524">
        <v>18</v>
      </c>
      <c r="AR583" s="524">
        <v>57.5</v>
      </c>
    </row>
    <row r="584" spans="2:44" ht="11.25" customHeight="1">
      <c r="B584" s="516" t="s">
        <v>747</v>
      </c>
      <c r="AC584" s="524">
        <v>0</v>
      </c>
      <c r="AD584" s="524">
        <v>0</v>
      </c>
      <c r="AE584" s="524">
        <v>0</v>
      </c>
      <c r="AF584" s="524">
        <v>0</v>
      </c>
      <c r="AG584" s="524">
        <v>0</v>
      </c>
      <c r="AH584" s="524">
        <v>0</v>
      </c>
      <c r="AI584" s="524">
        <v>0</v>
      </c>
      <c r="AJ584" s="518">
        <v>-12.137</v>
      </c>
      <c r="AK584" s="518">
        <v>-46.42</v>
      </c>
      <c r="AL584" s="518">
        <v>-61.743000000000002</v>
      </c>
      <c r="AM584" s="518">
        <v>-77.387</v>
      </c>
      <c r="AN584" s="518">
        <v>-76.778999999999996</v>
      </c>
      <c r="AO584" s="518">
        <v>-76.876000000000005</v>
      </c>
      <c r="AP584" s="518">
        <v>-77.707999999999998</v>
      </c>
      <c r="AQ584" s="518">
        <v>-77.73</v>
      </c>
      <c r="AR584" s="518">
        <v>-77.748999999999995</v>
      </c>
    </row>
    <row r="585" spans="2:44" ht="11.25" customHeight="1">
      <c r="B585" s="516" t="s">
        <v>748</v>
      </c>
      <c r="AC585" s="524">
        <v>0</v>
      </c>
      <c r="AD585" s="524">
        <v>0</v>
      </c>
      <c r="AE585" s="524">
        <v>0</v>
      </c>
      <c r="AF585" s="524">
        <v>0</v>
      </c>
      <c r="AG585" s="518">
        <v>-0.45500000000000002</v>
      </c>
      <c r="AH585" s="518">
        <v>-0.45500000000000002</v>
      </c>
      <c r="AI585" s="518">
        <v>-0.45500000000000002</v>
      </c>
      <c r="AJ585" s="518">
        <v>-0.184</v>
      </c>
      <c r="AK585" s="524">
        <v>0</v>
      </c>
      <c r="AL585" s="524">
        <v>0</v>
      </c>
      <c r="AM585" s="524">
        <v>0</v>
      </c>
      <c r="AN585" s="524">
        <v>0</v>
      </c>
      <c r="AO585" s="524">
        <v>0</v>
      </c>
      <c r="AP585" s="524">
        <v>0</v>
      </c>
      <c r="AQ585" s="524">
        <v>0</v>
      </c>
      <c r="AR585" s="524">
        <v>0</v>
      </c>
    </row>
    <row r="586" spans="2:44" ht="11.25" customHeight="1">
      <c r="B586" s="516" t="s">
        <v>749</v>
      </c>
      <c r="AC586" s="518">
        <v>0</v>
      </c>
      <c r="AD586" s="518">
        <v>0</v>
      </c>
      <c r="AE586" s="518">
        <v>0</v>
      </c>
      <c r="AF586" s="518">
        <v>0</v>
      </c>
      <c r="AG586" s="518">
        <v>0</v>
      </c>
      <c r="AH586" s="518">
        <v>0</v>
      </c>
      <c r="AI586" s="518">
        <v>0</v>
      </c>
      <c r="AJ586" s="518">
        <v>-7.06</v>
      </c>
      <c r="AK586" s="518">
        <v>0</v>
      </c>
      <c r="AL586" s="518">
        <v>0</v>
      </c>
      <c r="AM586" s="518">
        <v>-45.412999999999997</v>
      </c>
      <c r="AN586" s="518">
        <v>-33.481000000000002</v>
      </c>
      <c r="AO586" s="524">
        <v>0</v>
      </c>
      <c r="AP586" s="524">
        <v>0</v>
      </c>
      <c r="AQ586" s="518">
        <v>-7.1999999999999995E-2</v>
      </c>
      <c r="AR586" s="524">
        <v>0</v>
      </c>
    </row>
    <row r="587" spans="2:44" ht="11.25" customHeight="1">
      <c r="B587" s="516" t="s">
        <v>756</v>
      </c>
      <c r="AC587" s="518">
        <v>-0.39400000000000002</v>
      </c>
      <c r="AD587" s="524">
        <v>0</v>
      </c>
      <c r="AE587" s="524">
        <v>0</v>
      </c>
      <c r="AF587" s="524">
        <v>0</v>
      </c>
      <c r="AG587" s="524">
        <v>0</v>
      </c>
      <c r="AH587" s="524">
        <v>0</v>
      </c>
      <c r="AI587" s="524">
        <v>0</v>
      </c>
      <c r="AJ587" s="518">
        <v>-0.68200000000000005</v>
      </c>
      <c r="AK587" s="518">
        <v>-3.0859999999999999</v>
      </c>
      <c r="AL587" s="518">
        <v>-3.4319999999999999</v>
      </c>
      <c r="AM587" s="518">
        <v>-4.5730000000000004</v>
      </c>
      <c r="AN587" s="518">
        <v>-3.94</v>
      </c>
      <c r="AO587" s="524">
        <v>0</v>
      </c>
      <c r="AP587" s="524">
        <v>0</v>
      </c>
      <c r="AQ587" s="524">
        <v>0</v>
      </c>
      <c r="AR587" s="524">
        <v>0</v>
      </c>
    </row>
    <row r="588" spans="2:44" ht="11.25" customHeight="1">
      <c r="B588" s="516" t="s">
        <v>753</v>
      </c>
      <c r="AC588" s="518">
        <v>2.6869999999999998</v>
      </c>
      <c r="AD588" s="518">
        <v>0.55400000000000005</v>
      </c>
      <c r="AE588" s="518">
        <v>4.08</v>
      </c>
      <c r="AF588" s="518">
        <v>23.602</v>
      </c>
      <c r="AG588" s="518">
        <v>1.3959999999999999</v>
      </c>
      <c r="AH588" s="518">
        <v>-9.9390000000000001</v>
      </c>
      <c r="AI588" s="518">
        <v>-22.225999999999999</v>
      </c>
      <c r="AJ588" s="518">
        <f>(-13677+7060)/1000</f>
        <v>-6.617</v>
      </c>
      <c r="AK588" s="518">
        <v>-0.48699999999999999</v>
      </c>
      <c r="AL588" s="518">
        <v>0.153</v>
      </c>
      <c r="AM588" s="518">
        <v>0.38600000000000001</v>
      </c>
      <c r="AN588" s="518">
        <v>-0.48399999999999999</v>
      </c>
      <c r="AO588" s="518">
        <v>-0.378</v>
      </c>
      <c r="AP588" s="518">
        <v>-2.1560000000000001</v>
      </c>
      <c r="AQ588" s="518">
        <v>-2.645</v>
      </c>
      <c r="AR588" s="518">
        <v>-2.3519999999999999</v>
      </c>
    </row>
    <row r="589" spans="2:44" ht="11.25" customHeight="1">
      <c r="B589" s="518" t="s">
        <v>757</v>
      </c>
      <c r="AC589" s="523">
        <v>13.365</v>
      </c>
      <c r="AD589" s="523">
        <v>7.7720000000000002</v>
      </c>
      <c r="AE589" s="523">
        <v>12.455</v>
      </c>
      <c r="AF589" s="523">
        <v>35.366</v>
      </c>
      <c r="AG589" s="523">
        <v>0.89700000000000002</v>
      </c>
      <c r="AH589" s="523">
        <v>-6.3460000000000001</v>
      </c>
      <c r="AI589" s="523">
        <v>-27.37</v>
      </c>
      <c r="AJ589" s="523">
        <v>-32.155000000000001</v>
      </c>
      <c r="AK589" s="523">
        <v>-57.969000000000001</v>
      </c>
      <c r="AL589" s="523">
        <v>-63.783000000000001</v>
      </c>
      <c r="AM589" s="523">
        <v>-135.41</v>
      </c>
      <c r="AN589" s="523">
        <v>-115.393</v>
      </c>
      <c r="AO589" s="523">
        <v>-85.471000000000004</v>
      </c>
      <c r="AP589" s="523">
        <v>-48.637999999999998</v>
      </c>
      <c r="AQ589" s="523">
        <v>-67.858000000000004</v>
      </c>
      <c r="AR589" s="523">
        <v>-13.811</v>
      </c>
    </row>
    <row r="590" spans="2:44" ht="11.25" customHeight="1">
      <c r="B590" s="516"/>
      <c r="AC590" s="518"/>
      <c r="AD590" s="518"/>
      <c r="AE590" s="518"/>
      <c r="AF590" s="518"/>
      <c r="AG590" s="518"/>
      <c r="AH590" s="518"/>
      <c r="AI590" s="518"/>
      <c r="AJ590" s="518"/>
      <c r="AK590" s="518"/>
      <c r="AL590" s="518"/>
      <c r="AM590" s="518"/>
      <c r="AN590" s="518"/>
      <c r="AO590" s="518"/>
      <c r="AP590" s="518"/>
      <c r="AQ590" s="518"/>
      <c r="AR590" s="518"/>
    </row>
    <row r="591" spans="2:44" ht="11.25" customHeight="1">
      <c r="B591" s="519" t="s">
        <v>157</v>
      </c>
      <c r="AC591" s="518">
        <v>-6.5229999999999997</v>
      </c>
      <c r="AD591" s="518">
        <v>-2.4790000000000001</v>
      </c>
      <c r="AE591" s="518">
        <v>8.1379999999999999</v>
      </c>
      <c r="AF591" s="518">
        <v>9.2040000000000006</v>
      </c>
      <c r="AG591" s="518">
        <v>-0.51700000000000002</v>
      </c>
      <c r="AH591" s="518">
        <v>29.972000000000001</v>
      </c>
      <c r="AI591" s="518">
        <v>35.262</v>
      </c>
      <c r="AJ591" s="518">
        <v>-27.016999999999999</v>
      </c>
      <c r="AK591" s="518">
        <v>21.603999999999999</v>
      </c>
      <c r="AL591" s="518">
        <v>21.49</v>
      </c>
      <c r="AM591" s="518">
        <v>-22.332999999999998</v>
      </c>
      <c r="AN591" s="518">
        <v>98.058999999999997</v>
      </c>
      <c r="AO591" s="518">
        <v>-21.972999999999999</v>
      </c>
      <c r="AP591" s="518">
        <v>-21.248000000000001</v>
      </c>
      <c r="AQ591" s="518">
        <v>-2.794</v>
      </c>
      <c r="AR591" s="518">
        <v>2.0569999999999999</v>
      </c>
    </row>
    <row r="592" spans="2:44" ht="11.25" customHeight="1">
      <c r="B592" s="520"/>
      <c r="AC592" s="518"/>
      <c r="AD592" s="518"/>
      <c r="AE592" s="518"/>
      <c r="AF592" s="518"/>
      <c r="AG592" s="518"/>
      <c r="AH592" s="518"/>
      <c r="AI592" s="518"/>
      <c r="AJ592" s="518"/>
      <c r="AK592" s="518"/>
      <c r="AL592" s="518"/>
      <c r="AM592" s="518"/>
      <c r="AN592" s="518"/>
      <c r="AO592" s="518"/>
      <c r="AP592" s="518"/>
      <c r="AQ592" s="518"/>
      <c r="AR592" s="518"/>
    </row>
    <row r="593" spans="2:44" ht="11.25" customHeight="1">
      <c r="B593" s="520" t="s">
        <v>750</v>
      </c>
      <c r="AC593" s="518">
        <v>0.59299999999999997</v>
      </c>
      <c r="AD593" s="518">
        <v>-0.65800000000000003</v>
      </c>
      <c r="AE593" s="518">
        <v>-0.17299999999999999</v>
      </c>
      <c r="AF593" s="518">
        <v>0.11799999999999999</v>
      </c>
      <c r="AG593" s="518">
        <v>-0.76700000000000002</v>
      </c>
      <c r="AH593" s="518">
        <v>0.26200000000000001</v>
      </c>
      <c r="AI593" s="518">
        <v>-6.3E-2</v>
      </c>
      <c r="AJ593" s="518">
        <v>-1.67</v>
      </c>
      <c r="AK593" s="518">
        <v>0.57799999999999996</v>
      </c>
      <c r="AL593" s="518">
        <v>-0.13700000000000001</v>
      </c>
      <c r="AM593" s="518">
        <v>-0.51800000000000002</v>
      </c>
      <c r="AN593" s="518">
        <v>1.569</v>
      </c>
      <c r="AO593" s="518">
        <v>-1.365</v>
      </c>
      <c r="AP593" s="518">
        <v>-2.141</v>
      </c>
      <c r="AQ593" s="518">
        <v>-0.14799999999999999</v>
      </c>
      <c r="AR593" s="518">
        <v>-2.1179999999999999</v>
      </c>
    </row>
    <row r="594" spans="2:44" ht="11.25" customHeight="1">
      <c r="B594" s="520"/>
      <c r="AC594" s="518"/>
      <c r="AD594" s="518"/>
      <c r="AE594" s="518"/>
      <c r="AF594" s="518"/>
      <c r="AG594" s="518"/>
      <c r="AH594" s="518"/>
      <c r="AI594" s="518"/>
      <c r="AJ594" s="518"/>
      <c r="AK594" s="518"/>
      <c r="AL594" s="518"/>
      <c r="AM594" s="518"/>
      <c r="AN594" s="518"/>
      <c r="AO594" s="518"/>
      <c r="AP594" s="518"/>
      <c r="AQ594" s="518"/>
      <c r="AR594" s="518"/>
    </row>
    <row r="595" spans="2:44" ht="11.25" customHeight="1">
      <c r="B595" s="520" t="s">
        <v>188</v>
      </c>
      <c r="AC595" s="524">
        <v>0</v>
      </c>
      <c r="AD595" s="524">
        <v>0</v>
      </c>
      <c r="AE595" s="524">
        <v>0</v>
      </c>
      <c r="AF595" s="524">
        <v>0</v>
      </c>
      <c r="AG595" s="524">
        <v>0</v>
      </c>
      <c r="AH595" s="524">
        <v>0</v>
      </c>
      <c r="AI595" s="524">
        <v>0</v>
      </c>
      <c r="AJ595" s="524">
        <v>0</v>
      </c>
      <c r="AK595" s="524">
        <v>0</v>
      </c>
      <c r="AL595" s="524">
        <v>0</v>
      </c>
      <c r="AM595" s="524">
        <v>0</v>
      </c>
      <c r="AN595" s="524">
        <v>0</v>
      </c>
      <c r="AO595" s="524">
        <v>0</v>
      </c>
      <c r="AP595" s="524">
        <v>0</v>
      </c>
      <c r="AQ595" s="518">
        <v>-1.4730000000000001</v>
      </c>
      <c r="AR595" s="524">
        <v>0</v>
      </c>
    </row>
    <row r="596" spans="2:44" ht="11.25" customHeight="1">
      <c r="B596" s="520"/>
      <c r="AC596" s="518"/>
      <c r="AD596" s="518"/>
      <c r="AE596" s="518"/>
      <c r="AF596" s="518"/>
      <c r="AG596" s="518"/>
      <c r="AH596" s="518"/>
      <c r="AI596" s="518"/>
      <c r="AJ596" s="518"/>
      <c r="AK596" s="518"/>
      <c r="AL596" s="518"/>
      <c r="AM596" s="518"/>
      <c r="AN596" s="518"/>
      <c r="AO596" s="518"/>
      <c r="AP596" s="518"/>
      <c r="AQ596" s="518"/>
      <c r="AR596" s="518"/>
    </row>
    <row r="597" spans="2:44" ht="11.25" customHeight="1">
      <c r="B597" s="519" t="s">
        <v>130</v>
      </c>
      <c r="AC597" s="522">
        <v>18.745999999999999</v>
      </c>
      <c r="AD597" s="522">
        <v>12.816000000000001</v>
      </c>
      <c r="AE597" s="522">
        <v>9.6790000000000003</v>
      </c>
      <c r="AF597" s="522">
        <v>29.518000000000001</v>
      </c>
      <c r="AG597" s="522">
        <v>38.840000000000003</v>
      </c>
      <c r="AH597" s="522">
        <v>37.555999999999997</v>
      </c>
      <c r="AI597" s="522">
        <v>67.790000000000006</v>
      </c>
      <c r="AJ597" s="522">
        <v>102.989</v>
      </c>
      <c r="AK597" s="522">
        <v>74.302000000000007</v>
      </c>
      <c r="AL597" s="522">
        <v>96.483999999999995</v>
      </c>
      <c r="AM597" s="522">
        <v>117.837</v>
      </c>
      <c r="AN597" s="522">
        <v>94.986000000000004</v>
      </c>
      <c r="AO597" s="522">
        <v>194.614</v>
      </c>
      <c r="AP597" s="522">
        <v>171.27600000000001</v>
      </c>
      <c r="AQ597" s="522">
        <v>147.887</v>
      </c>
      <c r="AR597" s="522">
        <v>143.47200000000001</v>
      </c>
    </row>
    <row r="598" spans="2:44" ht="11.25" customHeight="1">
      <c r="B598" s="520"/>
      <c r="AC598" s="518"/>
      <c r="AD598" s="518"/>
      <c r="AE598" s="518"/>
      <c r="AF598" s="518"/>
      <c r="AG598" s="518"/>
      <c r="AH598" s="518"/>
      <c r="AI598" s="518"/>
      <c r="AJ598" s="518"/>
      <c r="AK598" s="518"/>
      <c r="AL598" s="518"/>
      <c r="AM598" s="518"/>
      <c r="AN598" s="518"/>
      <c r="AO598" s="518"/>
      <c r="AP598" s="518"/>
      <c r="AQ598" s="518"/>
      <c r="AR598" s="518"/>
    </row>
    <row r="599" spans="2:44" ht="11.25" customHeight="1" thickBot="1">
      <c r="B599" s="519" t="s">
        <v>131</v>
      </c>
      <c r="AC599" s="525">
        <v>12.816000000000001</v>
      </c>
      <c r="AD599" s="525">
        <v>9.6790000000000003</v>
      </c>
      <c r="AE599" s="525">
        <v>17.643999999999998</v>
      </c>
      <c r="AF599" s="525">
        <v>38.840000000000003</v>
      </c>
      <c r="AG599" s="525">
        <v>37.555999999999997</v>
      </c>
      <c r="AH599" s="525">
        <v>67.790000000000006</v>
      </c>
      <c r="AI599" s="525">
        <v>102.989</v>
      </c>
      <c r="AJ599" s="525">
        <v>74.302000000000007</v>
      </c>
      <c r="AK599" s="525">
        <v>96.483999999999995</v>
      </c>
      <c r="AL599" s="525">
        <v>117.837</v>
      </c>
      <c r="AM599" s="525">
        <v>94.986000000000004</v>
      </c>
      <c r="AN599" s="525">
        <v>194.614</v>
      </c>
      <c r="AO599" s="525">
        <v>171.27600000000001</v>
      </c>
      <c r="AP599" s="525">
        <v>147.887</v>
      </c>
      <c r="AQ599" s="525">
        <v>143.47200000000001</v>
      </c>
      <c r="AR599" s="525">
        <v>143.411</v>
      </c>
    </row>
    <row r="600" spans="2:44" ht="11.25" customHeight="1" thickTop="1"/>
  </sheetData>
  <pageMargins left="0.3" right="0.3" top="0.3" bottom="0.5" header="0.3" footer="0.3"/>
  <pageSetup scale="45" fitToHeight="9" orientation="landscape" r:id="rId1"/>
  <headerFooter>
    <oddFooter>Page &amp;P of &amp;N</oddFooter>
  </headerFooter>
  <rowBreaks count="9" manualBreakCount="9">
    <brk id="101" min="1" max="56" man="1"/>
    <brk id="101" min="1" max="56" man="1"/>
    <brk id="153" min="1" max="56" man="1"/>
    <brk id="254" min="1" max="56" man="1"/>
    <brk id="297" min="1" max="56" man="1"/>
    <brk id="337" min="1" max="56" man="1"/>
    <brk id="390" min="1" max="56" man="1"/>
    <brk id="444" min="1" max="56" man="1"/>
    <brk id="500" min="1" max="56" man="1"/>
  </rowBreak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89A89-0E29-4E1B-AE86-F01DB7F0A564}">
  <sheetPr>
    <tabColor theme="4" tint="0.59999389629810485"/>
  </sheetPr>
  <dimension ref="A1:AQ124"/>
  <sheetViews>
    <sheetView view="pageBreakPreview" zoomScale="85" zoomScaleNormal="100" zoomScaleSheetLayoutView="85" workbookViewId="0">
      <pane xSplit="3" ySplit="6" topLeftCell="D7" activePane="bottomRight" state="frozen"/>
      <selection activeCell="E120" sqref="E120"/>
      <selection pane="topRight" activeCell="E120" sqref="E120"/>
      <selection pane="bottomLeft" activeCell="E120" sqref="E120"/>
      <selection pane="bottomRight" activeCell="AP37" sqref="AP37"/>
    </sheetView>
  </sheetViews>
  <sheetFormatPr defaultColWidth="9.140625" defaultRowHeight="11.25" customHeight="1" outlineLevelCol="1"/>
  <cols>
    <col min="1" max="1" width="2.7109375" style="659" customWidth="1"/>
    <col min="2" max="2" width="22.140625" style="659" customWidth="1"/>
    <col min="3" max="3" width="2.42578125" style="659" customWidth="1"/>
    <col min="4" max="31" width="7.85546875" style="659" customWidth="1"/>
    <col min="32" max="33" width="7.85546875" style="659" hidden="1" customWidth="1" outlineLevel="1"/>
    <col min="34" max="34" width="2.7109375" style="659" hidden="1" customWidth="1" outlineLevel="1"/>
    <col min="35" max="35" width="7.85546875" style="659" hidden="1" customWidth="1" outlineLevel="1"/>
    <col min="36" max="36" width="2.7109375" style="659" customWidth="1" collapsed="1"/>
    <col min="37" max="40" width="7.85546875" style="659" customWidth="1"/>
    <col min="41" max="41" width="2.7109375" style="659" customWidth="1"/>
    <col min="42" max="16384" width="9.140625" style="659"/>
  </cols>
  <sheetData>
    <row r="1" spans="1:40" ht="11.25" customHeight="1">
      <c r="B1" s="198"/>
      <c r="D1" s="505">
        <v>35795</v>
      </c>
      <c r="E1" s="502">
        <f>EOMONTH(D1,12)</f>
        <v>36160</v>
      </c>
      <c r="F1" s="502">
        <f t="shared" ref="F1:AG1" si="0">EOMONTH(E1,12)</f>
        <v>36525</v>
      </c>
      <c r="G1" s="502">
        <f t="shared" si="0"/>
        <v>36891</v>
      </c>
      <c r="H1" s="502">
        <f t="shared" si="0"/>
        <v>37256</v>
      </c>
      <c r="I1" s="502">
        <f t="shared" si="0"/>
        <v>37621</v>
      </c>
      <c r="J1" s="502">
        <f t="shared" si="0"/>
        <v>37986</v>
      </c>
      <c r="K1" s="502">
        <f t="shared" si="0"/>
        <v>38352</v>
      </c>
      <c r="L1" s="502">
        <f t="shared" si="0"/>
        <v>38717</v>
      </c>
      <c r="M1" s="502">
        <f t="shared" si="0"/>
        <v>39082</v>
      </c>
      <c r="N1" s="502">
        <f t="shared" si="0"/>
        <v>39447</v>
      </c>
      <c r="O1" s="502">
        <f t="shared" si="0"/>
        <v>39813</v>
      </c>
      <c r="P1" s="502">
        <f t="shared" si="0"/>
        <v>40178</v>
      </c>
      <c r="Q1" s="502">
        <f t="shared" si="0"/>
        <v>40543</v>
      </c>
      <c r="R1" s="502">
        <f t="shared" si="0"/>
        <v>40908</v>
      </c>
      <c r="S1" s="502">
        <f t="shared" si="0"/>
        <v>41274</v>
      </c>
      <c r="T1" s="502">
        <f t="shared" si="0"/>
        <v>41639</v>
      </c>
      <c r="U1" s="502">
        <f t="shared" si="0"/>
        <v>42004</v>
      </c>
      <c r="V1" s="502">
        <f t="shared" si="0"/>
        <v>42369</v>
      </c>
      <c r="W1" s="502">
        <f t="shared" si="0"/>
        <v>42735</v>
      </c>
      <c r="X1" s="502">
        <f t="shared" si="0"/>
        <v>43100</v>
      </c>
      <c r="Y1" s="502">
        <f t="shared" si="0"/>
        <v>43465</v>
      </c>
      <c r="Z1" s="502">
        <f t="shared" si="0"/>
        <v>43830</v>
      </c>
      <c r="AA1" s="502">
        <f t="shared" si="0"/>
        <v>44196</v>
      </c>
      <c r="AB1" s="502">
        <f t="shared" si="0"/>
        <v>44561</v>
      </c>
      <c r="AC1" s="502">
        <f t="shared" si="0"/>
        <v>44926</v>
      </c>
      <c r="AD1" s="502">
        <f t="shared" si="0"/>
        <v>45291</v>
      </c>
      <c r="AE1" s="502">
        <f t="shared" si="0"/>
        <v>45657</v>
      </c>
      <c r="AF1" s="502">
        <f t="shared" si="0"/>
        <v>46022</v>
      </c>
      <c r="AG1" s="502">
        <f t="shared" si="0"/>
        <v>46387</v>
      </c>
      <c r="AH1" s="502"/>
      <c r="AI1" s="502">
        <f ca="1">+AN2</f>
        <v>45796</v>
      </c>
    </row>
    <row r="2" spans="1:40" ht="11.25" customHeight="1">
      <c r="B2" s="55" t="s">
        <v>114</v>
      </c>
      <c r="D2" s="660"/>
      <c r="E2" s="660"/>
      <c r="F2" s="660"/>
      <c r="G2" s="660"/>
      <c r="H2" s="660"/>
      <c r="I2" s="660"/>
      <c r="J2" s="660"/>
      <c r="K2" s="660"/>
      <c r="L2" s="660"/>
      <c r="M2" s="660"/>
      <c r="N2" s="660"/>
      <c r="O2" s="660"/>
      <c r="P2" s="660"/>
      <c r="Q2" s="660"/>
      <c r="R2" s="660"/>
      <c r="S2" s="660"/>
      <c r="T2" s="660"/>
      <c r="U2" s="660"/>
      <c r="V2" s="660"/>
      <c r="W2" s="660"/>
      <c r="X2" s="660"/>
      <c r="Y2" s="660"/>
      <c r="Z2" s="660"/>
      <c r="AA2" s="660"/>
      <c r="AB2" s="660"/>
      <c r="AC2" s="660"/>
      <c r="AD2" s="660"/>
      <c r="AN2" s="62">
        <f ca="1">TODAY()</f>
        <v>45796</v>
      </c>
    </row>
    <row r="3" spans="1:40" ht="11.25" customHeight="1">
      <c r="B3" s="55" t="s">
        <v>694</v>
      </c>
    </row>
    <row r="4" spans="1:40" ht="11.25" customHeight="1">
      <c r="B4" s="279" t="s">
        <v>111</v>
      </c>
      <c r="C4" s="674"/>
      <c r="D4" s="674"/>
      <c r="E4" s="674"/>
      <c r="F4" s="674"/>
      <c r="G4" s="674"/>
      <c r="H4" s="674"/>
      <c r="I4" s="674"/>
      <c r="J4" s="674"/>
      <c r="K4" s="674"/>
      <c r="L4" s="674"/>
      <c r="M4" s="674"/>
      <c r="N4" s="674"/>
      <c r="O4" s="674"/>
      <c r="P4" s="674"/>
      <c r="Q4" s="674"/>
      <c r="R4" s="674"/>
      <c r="S4" s="674"/>
      <c r="T4" s="674"/>
      <c r="U4" s="674"/>
      <c r="V4" s="674"/>
      <c r="W4" s="674"/>
      <c r="X4" s="674"/>
      <c r="Y4" s="674"/>
      <c r="Z4" s="674"/>
      <c r="AA4" s="674"/>
      <c r="AB4" s="674"/>
      <c r="AC4" s="674"/>
      <c r="AD4" s="674"/>
      <c r="AE4" s="661"/>
      <c r="AF4" s="661"/>
      <c r="AG4" s="661"/>
      <c r="AH4" s="661"/>
      <c r="AI4" s="661"/>
      <c r="AJ4" s="661"/>
      <c r="AK4" s="661"/>
      <c r="AL4" s="661"/>
      <c r="AM4" s="661"/>
      <c r="AN4" s="674"/>
    </row>
    <row r="5" spans="1:40" ht="13.5" customHeight="1">
      <c r="B5" s="232"/>
      <c r="D5" s="658" t="s">
        <v>0</v>
      </c>
      <c r="E5" s="655"/>
      <c r="F5" s="655"/>
      <c r="G5" s="655"/>
      <c r="H5" s="656"/>
      <c r="I5" s="656"/>
      <c r="J5" s="656"/>
      <c r="K5" s="656"/>
      <c r="L5" s="656"/>
      <c r="M5" s="656"/>
      <c r="N5" s="656"/>
      <c r="O5" s="656"/>
      <c r="P5" s="656"/>
      <c r="Q5" s="656"/>
      <c r="R5" s="656"/>
      <c r="S5" s="656"/>
      <c r="T5" s="656"/>
      <c r="U5" s="656"/>
      <c r="V5" s="662"/>
      <c r="W5" s="656"/>
      <c r="X5" s="657"/>
      <c r="Y5" s="657"/>
      <c r="Z5" s="656"/>
      <c r="AA5" s="656"/>
      <c r="AB5" s="656"/>
      <c r="AC5" s="656"/>
      <c r="AD5" s="656"/>
      <c r="AE5" s="656"/>
      <c r="AF5" s="656"/>
      <c r="AG5" s="656"/>
      <c r="AH5" s="608"/>
      <c r="AI5" s="677">
        <f ca="1">+AN2</f>
        <v>45796</v>
      </c>
      <c r="AK5" s="22" t="s">
        <v>695</v>
      </c>
      <c r="AL5" s="660"/>
      <c r="AM5" s="660"/>
      <c r="AN5" s="660"/>
    </row>
    <row r="6" spans="1:40" ht="13.5" customHeight="1">
      <c r="B6" s="198"/>
      <c r="D6" s="8" t="s">
        <v>158</v>
      </c>
      <c r="E6" s="8" t="s">
        <v>159</v>
      </c>
      <c r="F6" s="8" t="s">
        <v>160</v>
      </c>
      <c r="G6" s="8" t="s">
        <v>161</v>
      </c>
      <c r="H6" s="8" t="s">
        <v>162</v>
      </c>
      <c r="I6" s="8" t="s">
        <v>163</v>
      </c>
      <c r="J6" s="8" t="s">
        <v>164</v>
      </c>
      <c r="K6" s="8" t="s">
        <v>165</v>
      </c>
      <c r="L6" s="8" t="s">
        <v>166</v>
      </c>
      <c r="M6" s="8" t="s">
        <v>167</v>
      </c>
      <c r="N6" s="8" t="s">
        <v>168</v>
      </c>
      <c r="O6" s="8" t="s">
        <v>169</v>
      </c>
      <c r="P6" s="8" t="s">
        <v>170</v>
      </c>
      <c r="Q6" s="8" t="s">
        <v>171</v>
      </c>
      <c r="R6" s="8" t="s">
        <v>172</v>
      </c>
      <c r="S6" s="8" t="s">
        <v>153</v>
      </c>
      <c r="T6" s="8" t="s">
        <v>152</v>
      </c>
      <c r="U6" s="8" t="s">
        <v>151</v>
      </c>
      <c r="V6" s="8" t="s">
        <v>150</v>
      </c>
      <c r="W6" s="8" t="s">
        <v>10</v>
      </c>
      <c r="X6" s="8" t="s">
        <v>11</v>
      </c>
      <c r="Y6" s="8" t="s">
        <v>1</v>
      </c>
      <c r="Z6" s="8" t="s">
        <v>2</v>
      </c>
      <c r="AA6" s="8" t="s">
        <v>3</v>
      </c>
      <c r="AB6" s="8" t="s">
        <v>4</v>
      </c>
      <c r="AC6" s="8" t="s">
        <v>5</v>
      </c>
      <c r="AD6" s="8" t="s">
        <v>68</v>
      </c>
      <c r="AE6" s="8" t="s">
        <v>6</v>
      </c>
      <c r="AF6" s="8" t="s">
        <v>22</v>
      </c>
      <c r="AG6" s="8" t="s">
        <v>23</v>
      </c>
      <c r="AH6" s="8"/>
      <c r="AI6" s="8" t="s">
        <v>981</v>
      </c>
      <c r="AK6" s="8" t="s">
        <v>696</v>
      </c>
      <c r="AL6" s="8" t="s">
        <v>697</v>
      </c>
      <c r="AM6" s="8" t="s">
        <v>698</v>
      </c>
      <c r="AN6" s="8" t="s">
        <v>699</v>
      </c>
    </row>
    <row r="7" spans="1:40" ht="13.5" customHeight="1">
      <c r="B7" s="198"/>
      <c r="D7" s="389"/>
      <c r="E7" s="389"/>
      <c r="F7" s="389"/>
      <c r="G7" s="389"/>
      <c r="H7" s="389"/>
      <c r="I7" s="389"/>
      <c r="J7" s="389"/>
      <c r="K7" s="389"/>
      <c r="L7" s="389"/>
      <c r="M7" s="389"/>
      <c r="N7" s="389"/>
      <c r="O7" s="389"/>
      <c r="P7" s="389"/>
      <c r="Q7" s="389"/>
      <c r="R7" s="389"/>
      <c r="S7" s="389"/>
      <c r="T7" s="389"/>
      <c r="U7" s="389"/>
      <c r="V7" s="389"/>
      <c r="W7" s="389"/>
      <c r="X7" s="389"/>
      <c r="Y7" s="389"/>
      <c r="Z7" s="389"/>
      <c r="AA7" s="389"/>
      <c r="AB7" s="389"/>
      <c r="AC7" s="389"/>
      <c r="AD7" s="389"/>
      <c r="AE7" s="389"/>
      <c r="AF7" s="389"/>
      <c r="AG7" s="389"/>
      <c r="AH7" s="389"/>
      <c r="AI7" s="389"/>
      <c r="AK7" s="389"/>
      <c r="AL7" s="389"/>
      <c r="AM7" s="389"/>
      <c r="AN7" s="389"/>
    </row>
    <row r="8" spans="1:40" ht="11.25" customHeight="1">
      <c r="B8" s="504" t="s">
        <v>16</v>
      </c>
      <c r="C8" s="503"/>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K8" s="8"/>
      <c r="AL8" s="8"/>
      <c r="AM8" s="8"/>
      <c r="AN8" s="8"/>
    </row>
    <row r="9" spans="1:40" ht="11.25" customHeight="1">
      <c r="B9" s="532"/>
      <c r="C9" s="147"/>
      <c r="D9" s="435"/>
      <c r="E9" s="435"/>
      <c r="F9" s="435"/>
      <c r="G9" s="435"/>
      <c r="H9" s="435"/>
      <c r="I9" s="435"/>
      <c r="J9" s="435"/>
      <c r="K9" s="435"/>
      <c r="L9" s="435"/>
      <c r="M9" s="435"/>
      <c r="N9" s="435"/>
      <c r="O9" s="435"/>
      <c r="P9" s="435"/>
      <c r="Q9" s="435"/>
      <c r="R9" s="435"/>
      <c r="S9" s="8"/>
      <c r="T9" s="8"/>
      <c r="U9" s="8"/>
      <c r="V9" s="8"/>
      <c r="W9" s="8"/>
      <c r="X9" s="8"/>
      <c r="Y9" s="8"/>
      <c r="Z9" s="8"/>
      <c r="AA9" s="8"/>
      <c r="AB9" s="8"/>
      <c r="AC9" s="8"/>
      <c r="AD9" s="8"/>
      <c r="AE9" s="8"/>
      <c r="AF9" s="8"/>
      <c r="AG9" s="8"/>
      <c r="AH9" s="8"/>
      <c r="AI9" s="8"/>
      <c r="AK9" s="8"/>
      <c r="AL9" s="8"/>
      <c r="AM9" s="8"/>
      <c r="AN9" s="8"/>
    </row>
    <row r="10" spans="1:40" ht="11.25" customHeight="1">
      <c r="A10" s="5"/>
      <c r="B10" s="496" t="s">
        <v>132</v>
      </c>
      <c r="C10" s="147"/>
      <c r="D10" s="320">
        <f>('Historical Financials'!AC16/1000)*1000</f>
        <v>43.927</v>
      </c>
      <c r="E10" s="320">
        <f>('Historical Financials'!AD16/1000)*1000</f>
        <v>50.421999999999997</v>
      </c>
      <c r="F10" s="320">
        <f>('Historical Financials'!AE16/1000)*1000</f>
        <v>73.066999999999993</v>
      </c>
      <c r="G10" s="320">
        <f>('Historical Financials'!AF16/1000)*1000</f>
        <v>166.19800000000001</v>
      </c>
      <c r="H10" s="320">
        <f>('Historical Financials'!AG16/1000)*1000</f>
        <v>125.88499999999999</v>
      </c>
      <c r="I10" s="320">
        <f>('Historical Financials'!AH16/1000)*1000</f>
        <v>162.30099999999999</v>
      </c>
      <c r="J10" s="320">
        <f>('Historical Financials'!AI16/1000)*1000</f>
        <v>202.99700000000001</v>
      </c>
      <c r="K10" s="320">
        <f>('Historical Financials'!AJ16/1000)*1000</f>
        <v>257.21300000000002</v>
      </c>
      <c r="L10" s="320">
        <f>('Historical Financials'!AK16/1000)*1000</f>
        <v>266.565</v>
      </c>
      <c r="M10" s="320">
        <f>('Historical Financials'!AL16/1000)*1000</f>
        <v>317.40699999999998</v>
      </c>
      <c r="N10" s="320">
        <f>('Historical Financials'!AM16/1000)*1000</f>
        <v>322.63</v>
      </c>
      <c r="O10" s="320">
        <f>('Historical Financials'!AN16/1000)*1000</f>
        <v>333.15800000000002</v>
      </c>
      <c r="P10" s="320">
        <f>('Historical Financials'!AO16/1000)*1000</f>
        <v>295.74200000000002</v>
      </c>
      <c r="Q10" s="320">
        <f>('Historical Financials'!AP16/1000)*1000</f>
        <v>419.53800000000001</v>
      </c>
      <c r="R10" s="320">
        <f>('Historical Financials'!AQ16/1000)*1000</f>
        <v>427.08100000000002</v>
      </c>
      <c r="S10" s="320">
        <f>('Historical Financials'!AR16/1000)*1000</f>
        <v>506.745</v>
      </c>
      <c r="T10" s="320">
        <f>('Historical Financials'!AS16/1000)*1000</f>
        <v>597.024</v>
      </c>
      <c r="U10" s="320">
        <f>('Historical Financials'!AT16/1000)*1000</f>
        <v>762.80600000000004</v>
      </c>
      <c r="V10" s="320">
        <f>('Historical Financials'!AU16/1000)*1000</f>
        <v>843.49699999999996</v>
      </c>
      <c r="W10" s="320">
        <f>('Historical Financials'!AV16/1000)*1000</f>
        <v>947.93799999999999</v>
      </c>
      <c r="X10" s="320">
        <f>('Historical Financials'!AW16/1000)*1000</f>
        <v>977.44699999999989</v>
      </c>
      <c r="Y10" s="320">
        <f>('Historical Financials'!AX16/1000)*1000</f>
        <v>1031.473557</v>
      </c>
      <c r="Z10" s="320">
        <f>('Historical Financials'!AY16/1000)*1000</f>
        <v>1069.9854480000001</v>
      </c>
      <c r="AA10" s="320">
        <f>('Historical Financials'!AZ16/1000)*1000</f>
        <v>1339.254811</v>
      </c>
      <c r="AB10" s="320">
        <f>('Historical Financials'!BA16/1000)*1000</f>
        <v>1587.4150369999998</v>
      </c>
      <c r="AC10" s="320">
        <f>('Historical Financials'!BB16/1000)*1000</f>
        <v>2263.8912920000002</v>
      </c>
      <c r="AD10" s="320">
        <f>('Historical Financials'!BC16/1000)*1000</f>
        <v>2161.7359999999999</v>
      </c>
      <c r="AE10" s="320">
        <f ca="1">('Historical Financials'!BD16/1000)*1000</f>
        <v>2886.9901861713583</v>
      </c>
      <c r="AF10" s="320">
        <f ca="1">('Historical Financials'!BE16/1000)*1000</f>
        <v>3553.2848535556295</v>
      </c>
      <c r="AG10" s="320">
        <f ca="1">+'Simple Model (A)'!L12</f>
        <v>4264.3958628665014</v>
      </c>
      <c r="AH10" s="653"/>
      <c r="AI10" s="653"/>
      <c r="AK10" s="499">
        <f ca="1">IFERROR(($AE10/Z10)^(1/5)-1,"n/a")</f>
        <v>0.21958896811338735</v>
      </c>
      <c r="AL10" s="499">
        <f ca="1">IFERROR(($AE10/U10)^(1/10)-1,"n/a")</f>
        <v>0.14236034968115296</v>
      </c>
      <c r="AM10" s="499">
        <f ca="1">IFERROR(($AE10/P10)^(1/15)-1,"n/a")</f>
        <v>0.16404245480936552</v>
      </c>
      <c r="AN10" s="499">
        <f ca="1">IFERROR(($AE10/K10)^(1/20)-1,"n/a")</f>
        <v>0.12851573700957286</v>
      </c>
    </row>
    <row r="11" spans="1:40" s="663" customFormat="1" ht="11.25" customHeight="1">
      <c r="B11" s="35" t="s">
        <v>249</v>
      </c>
      <c r="D11" s="120" t="str">
        <f t="shared" ref="D11" si="1">IFERROR(D10/C10-1,"n/a")</f>
        <v>n/a</v>
      </c>
      <c r="E11" s="120">
        <f t="shared" ref="E11" si="2">IFERROR(E10/D10-1,"n/a")</f>
        <v>0.14785894779975872</v>
      </c>
      <c r="F11" s="120">
        <f t="shared" ref="F11" si="3">IFERROR(F10/E10-1,"n/a")</f>
        <v>0.44910951568759661</v>
      </c>
      <c r="G11" s="120">
        <f t="shared" ref="G11" si="4">IFERROR(G10/F10-1,"n/a")</f>
        <v>1.2745972874211344</v>
      </c>
      <c r="H11" s="120">
        <f t="shared" ref="H11" si="5">IFERROR(H10/G10-1,"n/a")</f>
        <v>-0.24256007894198495</v>
      </c>
      <c r="I11" s="120">
        <f t="shared" ref="I11" si="6">IFERROR(I10/H10-1,"n/a")</f>
        <v>0.2892798983198952</v>
      </c>
      <c r="J11" s="120">
        <f t="shared" ref="J11" si="7">IFERROR(J10/I10-1,"n/a")</f>
        <v>0.25074398802225506</v>
      </c>
      <c r="K11" s="120">
        <f t="shared" ref="K11" si="8">IFERROR(K10/J10-1,"n/a")</f>
        <v>0.26707783858874756</v>
      </c>
      <c r="L11" s="120">
        <f t="shared" ref="L11" si="9">IFERROR(L10/K10-1,"n/a")</f>
        <v>3.6358970969585513E-2</v>
      </c>
      <c r="M11" s="120">
        <f t="shared" ref="M11" si="10">IFERROR(M10/L10-1,"n/a")</f>
        <v>0.19073021589480987</v>
      </c>
      <c r="N11" s="120">
        <f t="shared" ref="N11" si="11">IFERROR(N10/M10-1,"n/a")</f>
        <v>1.6455213653133072E-2</v>
      </c>
      <c r="O11" s="120">
        <f t="shared" ref="O11" si="12">IFERROR(O10/N10-1,"n/a")</f>
        <v>3.2631807333478147E-2</v>
      </c>
      <c r="P11" s="120">
        <f t="shared" ref="P11" si="13">IFERROR(P10/O10-1,"n/a")</f>
        <v>-0.11230707352067182</v>
      </c>
      <c r="Q11" s="120">
        <f t="shared" ref="Q11" si="14">IFERROR(Q10/P10-1,"n/a")</f>
        <v>0.41859458582142528</v>
      </c>
      <c r="R11" s="120">
        <f t="shared" ref="R11" si="15">IFERROR(R10/Q10-1,"n/a")</f>
        <v>1.7979301040668583E-2</v>
      </c>
      <c r="S11" s="120">
        <f t="shared" ref="S11" si="16">IFERROR(S10/R10-1,"n/a")</f>
        <v>0.18653136056157971</v>
      </c>
      <c r="T11" s="120">
        <f t="shared" ref="T11" si="17">IFERROR(T10/S10-1,"n/a")</f>
        <v>0.178154693188882</v>
      </c>
      <c r="U11" s="120">
        <f t="shared" ref="U11" si="18">IFERROR(U10/T10-1,"n/a")</f>
        <v>0.27768062925443537</v>
      </c>
      <c r="V11" s="120">
        <f t="shared" ref="V11" si="19">IFERROR(V10/U10-1,"n/a")</f>
        <v>0.10578181084050198</v>
      </c>
      <c r="W11" s="120">
        <f t="shared" ref="W11" si="20">IFERROR(W10/V10-1,"n/a")</f>
        <v>0.12381905329835208</v>
      </c>
      <c r="X11" s="120">
        <f t="shared" ref="X11" si="21">IFERROR(X10/W10-1,"n/a")</f>
        <v>3.1129673037687988E-2</v>
      </c>
      <c r="Y11" s="120">
        <f t="shared" ref="Y11" si="22">IFERROR(Y10/X10-1,"n/a")</f>
        <v>5.5273131944750142E-2</v>
      </c>
      <c r="Z11" s="120">
        <f t="shared" ref="Z11" si="23">IFERROR(Z10/Y10-1,"n/a")</f>
        <v>3.7336770039951839E-2</v>
      </c>
      <c r="AA11" s="120">
        <f t="shared" ref="AA11" si="24">IFERROR(AA10/Z10-1,"n/a")</f>
        <v>0.25165703281601992</v>
      </c>
      <c r="AB11" s="120">
        <f t="shared" ref="AB11" si="25">IFERROR(AB10/AA10-1,"n/a")</f>
        <v>0.18529724437928463</v>
      </c>
      <c r="AC11" s="120">
        <f t="shared" ref="AC11" si="26">IFERROR(AC10/AB10-1,"n/a")</f>
        <v>0.42614958232879618</v>
      </c>
      <c r="AD11" s="120">
        <f t="shared" ref="AD11" si="27">IFERROR(AD10/AC10-1,"n/a")</f>
        <v>-4.5123762064455342E-2</v>
      </c>
      <c r="AE11" s="120">
        <f t="shared" ref="AE11:AG11" ca="1" si="28">IFERROR(AE10/AD10-1,"n/a")</f>
        <v>0.33549618740279041</v>
      </c>
      <c r="AF11" s="120">
        <f t="shared" ca="1" si="28"/>
        <v>0.23079214836815631</v>
      </c>
      <c r="AG11" s="120">
        <f t="shared" ca="1" si="28"/>
        <v>0.20012777996092601</v>
      </c>
      <c r="AH11" s="120"/>
      <c r="AI11" s="120"/>
      <c r="AJ11" s="659"/>
    </row>
    <row r="12" spans="1:40" s="663" customFormat="1" ht="11.25" customHeight="1">
      <c r="B12" s="35" t="s">
        <v>324</v>
      </c>
      <c r="D12" s="120" t="str">
        <f>+D11</f>
        <v>n/a</v>
      </c>
      <c r="E12" s="252">
        <f>'Historical Financials'!AD19</f>
        <v>-1.4461850970036456E-2</v>
      </c>
      <c r="F12" s="252">
        <f>'Historical Financials'!AE19</f>
        <v>0.50328096744571282</v>
      </c>
      <c r="G12" s="252">
        <f>'Historical Financials'!AF19</f>
        <v>1.3511422953485408</v>
      </c>
      <c r="H12" s="252">
        <f>'Historical Financials'!AG19</f>
        <v>-0.30003356605502202</v>
      </c>
      <c r="I12" s="252">
        <f>'Historical Financials'!AH19</f>
        <v>0.2629956270819811</v>
      </c>
      <c r="J12" s="252">
        <f>'Historical Financials'!AI19</f>
        <v>0.25567140462994781</v>
      </c>
      <c r="K12" s="252">
        <f>'Historical Financials'!AJ19</f>
        <v>0.30582866472718306</v>
      </c>
      <c r="L12" s="252">
        <f>'Historical Financials'!AK19</f>
        <v>7.6582235508883933E-2</v>
      </c>
      <c r="M12" s="252">
        <f>'Historical Financials'!AL19</f>
        <v>0.17702264645391824</v>
      </c>
      <c r="N12" s="252">
        <f>'Historical Financials'!AM19</f>
        <v>3.9300763620186393E-3</v>
      </c>
      <c r="O12" s="252">
        <f>'Historical Financials'!AN19</f>
        <v>7.7416002665274722E-2</v>
      </c>
      <c r="P12" s="252">
        <f>'Historical Financials'!AO19</f>
        <v>-0.1525706177329548</v>
      </c>
      <c r="Q12" s="252">
        <f>'Historical Financials'!AP19</f>
        <v>0.48624766401454955</v>
      </c>
      <c r="R12" s="252">
        <f>'Historical Financials'!AQ19</f>
        <v>9.1389110207480612E-2</v>
      </c>
      <c r="S12" s="252">
        <f>'Historical Financials'!AR19</f>
        <v>0.18018360868448849</v>
      </c>
      <c r="T12" s="252">
        <f>'Historical Financials'!AS19</f>
        <v>0.17316696777808005</v>
      </c>
      <c r="U12" s="252">
        <f>'Historical Financials'!AT19</f>
        <v>0.25129767215938148</v>
      </c>
      <c r="V12" s="252">
        <f>'Historical Financials'!AU19</f>
        <v>5.5056929904315613E-2</v>
      </c>
      <c r="W12" s="252">
        <f>'Historical Financials'!AV19</f>
        <v>0.10698852778266627</v>
      </c>
      <c r="X12" s="252">
        <f>'Historical Financials'!AW19</f>
        <v>9.1063540604824994E-2</v>
      </c>
      <c r="Y12" s="252">
        <f>'Historical Financials'!AX19</f>
        <v>6.5088757396449815E-2</v>
      </c>
      <c r="Z12" s="252">
        <f>'Historical Financials'!AY19</f>
        <v>1.2573099415204668E-2</v>
      </c>
      <c r="AA12" s="252">
        <f>'Historical Financials'!AZ19</f>
        <v>0.31417845798440641</v>
      </c>
      <c r="AB12" s="252">
        <f>'Historical Financials'!BA19</f>
        <v>0.2485168094924193</v>
      </c>
      <c r="AC12" s="252">
        <f>'Historical Financials'!BB19</f>
        <v>0.33544526575149586</v>
      </c>
      <c r="AD12" s="252">
        <f>'Historical Financials'!BC19</f>
        <v>-8.6715867158671564E-2</v>
      </c>
      <c r="AE12" s="252">
        <f ca="1">'Historical Financials'!BD19</f>
        <v>0.29527961611876108</v>
      </c>
      <c r="AF12" s="252">
        <f ca="1">'Historical Financials'!BE19</f>
        <v>0.21230018279697865</v>
      </c>
      <c r="AG12" s="252">
        <f ca="1">+AG11</f>
        <v>0.20012777996092601</v>
      </c>
      <c r="AH12" s="252"/>
      <c r="AI12" s="252"/>
      <c r="AJ12" s="659"/>
    </row>
    <row r="13" spans="1:40" s="663" customFormat="1" ht="11.25" customHeight="1">
      <c r="A13" s="55"/>
      <c r="B13" s="496" t="s">
        <v>137</v>
      </c>
      <c r="C13" s="205"/>
      <c r="D13" s="320">
        <f>('Historical Financials'!AC29/1000)*1000</f>
        <v>21.085000000000001</v>
      </c>
      <c r="E13" s="320">
        <f>('Historical Financials'!AD29/1000)*1000</f>
        <v>19.344999999999995</v>
      </c>
      <c r="F13" s="320">
        <f>('Historical Financials'!AE29/1000)*1000</f>
        <v>31.506999999999994</v>
      </c>
      <c r="G13" s="320">
        <f>('Historical Financials'!AF29/1000)*1000</f>
        <v>76.516000000000005</v>
      </c>
      <c r="H13" s="320">
        <f>('Historical Financials'!AG29/1000)*1000</f>
        <v>33.657000000000011</v>
      </c>
      <c r="I13" s="320">
        <f>('Historical Financials'!AH29/1000)*1000</f>
        <v>52.312999999999988</v>
      </c>
      <c r="J13" s="320">
        <f>('Historical Financials'!AI29/1000)*1000</f>
        <v>74.884000000000015</v>
      </c>
      <c r="K13" s="320">
        <f>('Historical Financials'!AJ29/1000)*1000</f>
        <v>115.81900000000002</v>
      </c>
      <c r="L13" s="320">
        <f>('Historical Financials'!AK29/1000)*1000</f>
        <v>118.203</v>
      </c>
      <c r="M13" s="320">
        <f>('Historical Financials'!AL29/1000)*1000</f>
        <v>155.80999999999997</v>
      </c>
      <c r="N13" s="320">
        <f>('Historical Financials'!AM29/1000)*1000</f>
        <v>142.35</v>
      </c>
      <c r="O13" s="320">
        <f>('Historical Financials'!AN29/1000)*1000</f>
        <v>141.75000000000003</v>
      </c>
      <c r="P13" s="320">
        <f>('Historical Financials'!AO29/1000)*1000</f>
        <v>129.32900000000001</v>
      </c>
      <c r="Q13" s="320">
        <f>('Historical Financials'!AP29/1000)*1000</f>
        <v>207.054</v>
      </c>
      <c r="R13" s="320">
        <f>('Historical Financials'!AQ29/1000)*1000</f>
        <v>194.06900000000002</v>
      </c>
      <c r="S13" s="320">
        <f>('Historical Financials'!AR29/1000)*1000</f>
        <v>244.137</v>
      </c>
      <c r="T13" s="320">
        <f>('Historical Financials'!AS29/1000)*1000</f>
        <v>280.94499999999999</v>
      </c>
      <c r="U13" s="320">
        <f>('Historical Financials'!AT29/1000)*1000</f>
        <v>377.72200000000004</v>
      </c>
      <c r="V13" s="320">
        <f>('Historical Financials'!AU29/1000)*1000</f>
        <v>410.39499999999998</v>
      </c>
      <c r="W13" s="320">
        <f>('Historical Financials'!AV29/1000)*1000</f>
        <v>474.83199999999999</v>
      </c>
      <c r="X13" s="320">
        <f>('Historical Financials'!AW29/1000)*1000</f>
        <v>494.82599999999991</v>
      </c>
      <c r="Y13" s="320">
        <f>('Historical Financials'!AX29/1000)*1000</f>
        <v>497.87355700000001</v>
      </c>
      <c r="Z13" s="320">
        <f>('Historical Financials'!AY29/1000)*1000</f>
        <v>492.70244800000012</v>
      </c>
      <c r="AA13" s="320">
        <f>('Historical Financials'!AZ29/1000)*1000</f>
        <v>711.12981100000002</v>
      </c>
      <c r="AB13" s="320">
        <f>('Historical Financials'!BA29/1000)*1000</f>
        <v>819.53703699999971</v>
      </c>
      <c r="AC13" s="320">
        <f>('Historical Financials'!BB29/1000)*1000</f>
        <v>1348.3552920000002</v>
      </c>
      <c r="AD13" s="320">
        <f>('Historical Financials'!BC29/1000)*1000</f>
        <v>1175.1109999999999</v>
      </c>
      <c r="AE13" s="320">
        <f ca="1">('Historical Financials'!BD29/1000)*1000</f>
        <v>1611.438786739388</v>
      </c>
      <c r="AF13" s="320">
        <f ca="1">('Historical Financials'!BE29/1000)*1000</f>
        <v>1987.0368156386971</v>
      </c>
      <c r="AG13" s="320">
        <f ca="1">+'Simple Model (A)'!L19</f>
        <v>2380.7700464854447</v>
      </c>
      <c r="AH13" s="653"/>
      <c r="AI13" s="653"/>
      <c r="AJ13" s="659"/>
      <c r="AK13" s="499">
        <f ca="1">IFERROR(($AE13/Z13)^(1/5)-1,"n/a")</f>
        <v>0.26743535782287076</v>
      </c>
      <c r="AL13" s="499">
        <f ca="1">IFERROR(($AE13/U13)^(1/10)-1,"n/a")</f>
        <v>0.15612329830480598</v>
      </c>
      <c r="AM13" s="499">
        <f ca="1">IFERROR(($AE13/P13)^(1/15)-1,"n/a")</f>
        <v>0.18313561073095719</v>
      </c>
      <c r="AN13" s="499">
        <f ca="1">IFERROR(($AE13/K13)^(1/20)-1,"n/a")</f>
        <v>0.14070067909073636</v>
      </c>
    </row>
    <row r="14" spans="1:40" s="663" customFormat="1" ht="11.25" customHeight="1">
      <c r="B14" s="35" t="s">
        <v>17</v>
      </c>
      <c r="D14" s="120">
        <f>IFERROR(D13/D10,"n/a")</f>
        <v>0.4800009106016801</v>
      </c>
      <c r="E14" s="120">
        <f t="shared" ref="E14:AE14" si="29">IFERROR(E13/E10,"n/a")</f>
        <v>0.38366189361786512</v>
      </c>
      <c r="F14" s="120">
        <f t="shared" si="29"/>
        <v>0.43120697442073708</v>
      </c>
      <c r="G14" s="120">
        <f t="shared" si="29"/>
        <v>0.4603906184189942</v>
      </c>
      <c r="H14" s="120">
        <f t="shared" si="29"/>
        <v>0.26736306946816552</v>
      </c>
      <c r="I14" s="120">
        <f t="shared" si="29"/>
        <v>0.32232087294594608</v>
      </c>
      <c r="J14" s="120">
        <f t="shared" si="29"/>
        <v>0.36889215111553375</v>
      </c>
      <c r="K14" s="120">
        <f t="shared" si="29"/>
        <v>0.45028439464568276</v>
      </c>
      <c r="L14" s="120">
        <f t="shared" si="29"/>
        <v>0.4434303078048506</v>
      </c>
      <c r="M14" s="120">
        <f t="shared" si="29"/>
        <v>0.49088394395838775</v>
      </c>
      <c r="N14" s="120">
        <f t="shared" si="29"/>
        <v>0.44121749372346031</v>
      </c>
      <c r="O14" s="120">
        <f t="shared" si="29"/>
        <v>0.42547379921838896</v>
      </c>
      <c r="P14" s="120">
        <f t="shared" si="29"/>
        <v>0.43730346044863427</v>
      </c>
      <c r="Q14" s="120">
        <f t="shared" si="29"/>
        <v>0.49352859574102942</v>
      </c>
      <c r="R14" s="120">
        <f t="shared" si="29"/>
        <v>0.45440794603365642</v>
      </c>
      <c r="S14" s="120">
        <f t="shared" si="29"/>
        <v>0.4817748571766865</v>
      </c>
      <c r="T14" s="120">
        <f t="shared" si="29"/>
        <v>0.47057572224902178</v>
      </c>
      <c r="U14" s="120">
        <f t="shared" si="29"/>
        <v>0.49517439558682025</v>
      </c>
      <c r="V14" s="120">
        <f t="shared" si="29"/>
        <v>0.48653996398327437</v>
      </c>
      <c r="W14" s="120">
        <f t="shared" si="29"/>
        <v>0.50091039709348084</v>
      </c>
      <c r="X14" s="120">
        <f t="shared" si="29"/>
        <v>0.50624330526361017</v>
      </c>
      <c r="Y14" s="120">
        <f t="shared" si="29"/>
        <v>0.48268184251668605</v>
      </c>
      <c r="Z14" s="120">
        <f t="shared" si="29"/>
        <v>0.46047584004151809</v>
      </c>
      <c r="AA14" s="120">
        <f t="shared" si="29"/>
        <v>0.5309891778316711</v>
      </c>
      <c r="AB14" s="120">
        <f t="shared" si="29"/>
        <v>0.51627143368177619</v>
      </c>
      <c r="AC14" s="120">
        <f t="shared" si="29"/>
        <v>0.59559188940066832</v>
      </c>
      <c r="AD14" s="120">
        <f t="shared" si="29"/>
        <v>0.54359598026771072</v>
      </c>
      <c r="AE14" s="120">
        <f t="shared" ca="1" si="29"/>
        <v>0.55817258903689959</v>
      </c>
      <c r="AF14" s="120">
        <f t="shared" ref="AF14:AG14" ca="1" si="30">IFERROR(AF13/AF10,"n/a")</f>
        <v>0.55921123623127178</v>
      </c>
      <c r="AG14" s="120">
        <f t="shared" ca="1" si="30"/>
        <v>0.55829011260814454</v>
      </c>
      <c r="AH14" s="120"/>
      <c r="AI14" s="120"/>
      <c r="AJ14" s="659"/>
    </row>
    <row r="15" spans="1:40" s="663" customFormat="1" ht="11.25" customHeight="1">
      <c r="B15" s="664" t="s">
        <v>764</v>
      </c>
      <c r="D15" s="498">
        <f>D13-D17</f>
        <v>6.157</v>
      </c>
      <c r="E15" s="498">
        <f t="shared" ref="E15:AE15" si="31">E13-E17</f>
        <v>5.536999999999999</v>
      </c>
      <c r="F15" s="498">
        <f t="shared" si="31"/>
        <v>6.6770000000000032</v>
      </c>
      <c r="G15" s="498">
        <f t="shared" si="31"/>
        <v>15.221000000000004</v>
      </c>
      <c r="H15" s="498">
        <f t="shared" si="31"/>
        <v>20.878999999999998</v>
      </c>
      <c r="I15" s="498">
        <f t="shared" si="31"/>
        <v>20.724000000000004</v>
      </c>
      <c r="J15" s="498">
        <f t="shared" si="31"/>
        <v>23.582999999999998</v>
      </c>
      <c r="K15" s="498">
        <f t="shared" si="31"/>
        <v>27.337000000000003</v>
      </c>
      <c r="L15" s="498">
        <f t="shared" si="31"/>
        <v>27.234999999999999</v>
      </c>
      <c r="M15" s="498">
        <f t="shared" si="31"/>
        <v>28.545000000000016</v>
      </c>
      <c r="N15" s="498">
        <f t="shared" si="31"/>
        <v>30.628</v>
      </c>
      <c r="O15" s="498">
        <f t="shared" si="31"/>
        <v>37.314999999999998</v>
      </c>
      <c r="P15" s="498">
        <f t="shared" si="31"/>
        <v>37.36699999999999</v>
      </c>
      <c r="Q15" s="498">
        <f t="shared" si="31"/>
        <v>47.878999999999991</v>
      </c>
      <c r="R15" s="498">
        <f t="shared" si="31"/>
        <v>52.512</v>
      </c>
      <c r="S15" s="498">
        <f t="shared" si="31"/>
        <v>62.960000000000008</v>
      </c>
      <c r="T15" s="498">
        <f t="shared" si="31"/>
        <v>71.51600000000002</v>
      </c>
      <c r="U15" s="498">
        <f t="shared" si="31"/>
        <v>81.851999999999975</v>
      </c>
      <c r="V15" s="498">
        <f t="shared" si="31"/>
        <v>90.34699999999998</v>
      </c>
      <c r="W15" s="498">
        <f t="shared" si="31"/>
        <v>96.874000000000024</v>
      </c>
      <c r="X15" s="498">
        <f t="shared" si="31"/>
        <v>109.267</v>
      </c>
      <c r="Y15" s="498">
        <f t="shared" si="31"/>
        <v>114.25</v>
      </c>
      <c r="Z15" s="498">
        <f t="shared" si="31"/>
        <v>120.00099999999998</v>
      </c>
      <c r="AA15" s="498">
        <f t="shared" si="31"/>
        <v>144.346</v>
      </c>
      <c r="AB15" s="498">
        <f t="shared" si="31"/>
        <v>169.55600000000004</v>
      </c>
      <c r="AC15" s="498">
        <f t="shared" si="31"/>
        <v>227.07600000000002</v>
      </c>
      <c r="AD15" s="498">
        <f t="shared" si="31"/>
        <v>253.64499999999998</v>
      </c>
      <c r="AE15" s="498">
        <f t="shared" ca="1" si="31"/>
        <v>306.05509985799245</v>
      </c>
      <c r="AF15" s="498">
        <f t="shared" ref="AF15:AG15" ca="1" si="32">AF13-AF17</f>
        <v>373.09490962334121</v>
      </c>
      <c r="AG15" s="498">
        <f t="shared" ca="1" si="32"/>
        <v>445.62936766954931</v>
      </c>
      <c r="AH15" s="498"/>
      <c r="AI15" s="498"/>
      <c r="AJ15" s="659"/>
      <c r="AK15" s="138">
        <f ca="1">IFERROR(($AE15/Z15)^(1/5)-1,"n/a")</f>
        <v>0.20593236532402792</v>
      </c>
      <c r="AL15" s="138">
        <f ca="1">IFERROR(($AE15/U15)^(1/10)-1,"n/a")</f>
        <v>0.14097737457976645</v>
      </c>
      <c r="AM15" s="138">
        <f ca="1">IFERROR(($AE15/P15)^(1/15)-1,"n/a")</f>
        <v>0.15050212698975951</v>
      </c>
      <c r="AN15" s="138">
        <f ca="1">IFERROR(($AE15/K15)^(1/20)-1,"n/a")</f>
        <v>0.12837235746019315</v>
      </c>
    </row>
    <row r="16" spans="1:40" s="663" customFormat="1" ht="11.25" customHeight="1">
      <c r="B16" s="35" t="s">
        <v>259</v>
      </c>
      <c r="D16" s="120">
        <f>IFERROR(D15/D10,"n/a")</f>
        <v>0.14016436360325085</v>
      </c>
      <c r="E16" s="120">
        <f t="shared" ref="E16:AE16" si="33">IFERROR(E15/E10,"n/a")</f>
        <v>0.10981317678791003</v>
      </c>
      <c r="F16" s="120">
        <f t="shared" si="33"/>
        <v>9.138188238192349E-2</v>
      </c>
      <c r="G16" s="120">
        <f t="shared" si="33"/>
        <v>9.1583532894499345E-2</v>
      </c>
      <c r="H16" s="120">
        <f t="shared" si="33"/>
        <v>0.16585772729078127</v>
      </c>
      <c r="I16" s="120">
        <f t="shared" si="33"/>
        <v>0.12768867721086133</v>
      </c>
      <c r="J16" s="120">
        <f t="shared" si="33"/>
        <v>0.1161741306521771</v>
      </c>
      <c r="K16" s="120">
        <f t="shared" si="33"/>
        <v>0.10628156430662525</v>
      </c>
      <c r="L16" s="120">
        <f t="shared" si="33"/>
        <v>0.10217020238966106</v>
      </c>
      <c r="M16" s="120">
        <f t="shared" si="33"/>
        <v>8.9931854054888571E-2</v>
      </c>
      <c r="N16" s="120">
        <f t="shared" si="33"/>
        <v>9.4932275361869642E-2</v>
      </c>
      <c r="O16" s="120">
        <f t="shared" si="33"/>
        <v>0.11200391405879491</v>
      </c>
      <c r="P16" s="120">
        <f t="shared" si="33"/>
        <v>0.12634999425174642</v>
      </c>
      <c r="Q16" s="120">
        <f t="shared" si="33"/>
        <v>0.11412315451758837</v>
      </c>
      <c r="R16" s="120">
        <f t="shared" si="33"/>
        <v>0.12295559858668496</v>
      </c>
      <c r="S16" s="120">
        <f t="shared" si="33"/>
        <v>0.1242439491262864</v>
      </c>
      <c r="T16" s="120">
        <f t="shared" si="33"/>
        <v>0.11978747923031573</v>
      </c>
      <c r="U16" s="120">
        <f t="shared" si="33"/>
        <v>0.10730382299038022</v>
      </c>
      <c r="V16" s="120">
        <f t="shared" si="33"/>
        <v>0.10711004307069259</v>
      </c>
      <c r="W16" s="120">
        <f t="shared" si="33"/>
        <v>0.10219444731617472</v>
      </c>
      <c r="X16" s="120">
        <f t="shared" si="33"/>
        <v>0.11178815833492763</v>
      </c>
      <c r="Y16" s="120">
        <f t="shared" si="33"/>
        <v>0.11076386711482125</v>
      </c>
      <c r="Z16" s="120">
        <f t="shared" si="33"/>
        <v>0.11215199255681836</v>
      </c>
      <c r="AA16" s="120">
        <f t="shared" si="33"/>
        <v>0.10778083365048297</v>
      </c>
      <c r="AB16" s="120">
        <f t="shared" si="33"/>
        <v>0.10681264574665868</v>
      </c>
      <c r="AC16" s="120">
        <f t="shared" si="33"/>
        <v>0.10030340273069967</v>
      </c>
      <c r="AD16" s="120">
        <f t="shared" si="33"/>
        <v>0.11733393901938072</v>
      </c>
      <c r="AE16" s="120">
        <f t="shared" ca="1" si="33"/>
        <v>0.10601182550740629</v>
      </c>
      <c r="AF16" s="120">
        <f t="shared" ref="AF16:AG16" ca="1" si="34">IFERROR(AF15/AF10,"n/a")</f>
        <v>0.10500000000000002</v>
      </c>
      <c r="AG16" s="120">
        <f t="shared" ca="1" si="34"/>
        <v>0.10449999999999998</v>
      </c>
      <c r="AH16" s="120"/>
      <c r="AI16" s="120"/>
      <c r="AJ16" s="659"/>
    </row>
    <row r="17" spans="1:40" s="663" customFormat="1" ht="11.25" customHeight="1">
      <c r="A17" s="55"/>
      <c r="B17" s="496" t="s">
        <v>253</v>
      </c>
      <c r="C17" s="205"/>
      <c r="D17" s="320">
        <f>('Historical Financials'!AC50/1000)*1000</f>
        <v>14.928000000000001</v>
      </c>
      <c r="E17" s="320">
        <f>('Historical Financials'!AD50/1000)*1000</f>
        <v>13.807999999999996</v>
      </c>
      <c r="F17" s="320">
        <f>('Historical Financials'!AE50/1000)*1000</f>
        <v>24.829999999999991</v>
      </c>
      <c r="G17" s="320">
        <f>('Historical Financials'!AF50/1000)*1000</f>
        <v>61.295000000000002</v>
      </c>
      <c r="H17" s="320">
        <f>('Historical Financials'!AG50/1000)*1000</f>
        <v>12.778000000000013</v>
      </c>
      <c r="I17" s="320">
        <f>('Historical Financials'!AH50/1000)*1000</f>
        <v>31.588999999999984</v>
      </c>
      <c r="J17" s="320">
        <f>('Historical Financials'!AI50/1000)*1000</f>
        <v>51.301000000000016</v>
      </c>
      <c r="K17" s="320">
        <f>('Historical Financials'!AJ50/1000)*1000</f>
        <v>88.482000000000014</v>
      </c>
      <c r="L17" s="320">
        <f>('Historical Financials'!AK50/1000)*1000</f>
        <v>90.968000000000004</v>
      </c>
      <c r="M17" s="320">
        <f>('Historical Financials'!AL50/1000)*1000</f>
        <v>127.26499999999996</v>
      </c>
      <c r="N17" s="320">
        <f>('Historical Financials'!AM50/1000)*1000</f>
        <v>111.72199999999999</v>
      </c>
      <c r="O17" s="320">
        <f>('Historical Financials'!AN50/1000)*1000</f>
        <v>104.43500000000003</v>
      </c>
      <c r="P17" s="320">
        <f>('Historical Financials'!AO50/1000)*1000</f>
        <v>91.962000000000018</v>
      </c>
      <c r="Q17" s="320">
        <f>('Historical Financials'!AP50/1000)*1000</f>
        <v>159.17500000000001</v>
      </c>
      <c r="R17" s="320">
        <f>('Historical Financials'!AQ50/1000)*1000</f>
        <v>141.55700000000002</v>
      </c>
      <c r="S17" s="320">
        <f>('Historical Financials'!AR50/1000)*1000</f>
        <v>181.17699999999999</v>
      </c>
      <c r="T17" s="320">
        <f>('Historical Financials'!AS50/1000)*1000</f>
        <v>209.42899999999997</v>
      </c>
      <c r="U17" s="320">
        <f>('Historical Financials'!AT50/1000)*1000</f>
        <v>295.87000000000006</v>
      </c>
      <c r="V17" s="320">
        <f>('Historical Financials'!AU50/1000)*1000</f>
        <v>320.048</v>
      </c>
      <c r="W17" s="320">
        <f>('Historical Financials'!AV50/1000)*1000</f>
        <v>377.95799999999997</v>
      </c>
      <c r="X17" s="320">
        <f>('Historical Financials'!AW50/1000)*1000</f>
        <v>385.55899999999991</v>
      </c>
      <c r="Y17" s="320">
        <f>('Historical Financials'!AX50/1000)*1000</f>
        <v>383.62355700000001</v>
      </c>
      <c r="Z17" s="320">
        <f>('Historical Financials'!AY50/1000)*1000</f>
        <v>372.70144800000014</v>
      </c>
      <c r="AA17" s="320">
        <f>('Historical Financials'!AZ50/1000)*1000</f>
        <v>566.78381100000001</v>
      </c>
      <c r="AB17" s="320">
        <f>('Historical Financials'!BA50/1000)*1000</f>
        <v>649.98103699999967</v>
      </c>
      <c r="AC17" s="320">
        <f>('Historical Financials'!BB50/1000)*1000</f>
        <v>1121.2792920000002</v>
      </c>
      <c r="AD17" s="320">
        <f>('Historical Financials'!BC50/1000)*1000</f>
        <v>921.46599999999989</v>
      </c>
      <c r="AE17" s="320">
        <f ca="1">('Historical Financials'!BD50/1000)*1000</f>
        <v>1305.3836868813955</v>
      </c>
      <c r="AF17" s="320">
        <f ca="1">('Historical Financials'!BE50/1000)*1000</f>
        <v>1613.9419060153559</v>
      </c>
      <c r="AG17" s="320">
        <f ca="1">+'Simple Model (A)'!L29</f>
        <v>1935.1406788158954</v>
      </c>
      <c r="AH17" s="653"/>
      <c r="AI17" s="653"/>
      <c r="AJ17" s="659"/>
      <c r="AK17" s="499">
        <f ca="1">IFERROR(($AE17/Z17)^(1/5)-1,"n/a")</f>
        <v>0.28491802118369769</v>
      </c>
      <c r="AL17" s="499">
        <f ca="1">IFERROR(($AE17/U17)^(1/10)-1,"n/a")</f>
        <v>0.16001532017866515</v>
      </c>
      <c r="AM17" s="499">
        <f ca="1">IFERROR(($AE17/P17)^(1/15)-1,"n/a")</f>
        <v>0.1934621538623793</v>
      </c>
      <c r="AN17" s="499">
        <f ca="1">IFERROR(($AE17/K17)^(1/20)-1,"n/a")</f>
        <v>0.14404777951883529</v>
      </c>
    </row>
    <row r="18" spans="1:40" s="663" customFormat="1" ht="11.25" customHeight="1">
      <c r="B18" s="35" t="s">
        <v>249</v>
      </c>
      <c r="D18" s="120" t="str">
        <f t="shared" ref="D18" si="35">IFERROR(D17/C17-1,"n/a")</f>
        <v>n/a</v>
      </c>
      <c r="E18" s="120">
        <f t="shared" ref="E18" si="36">IFERROR(E17/D17-1,"n/a")</f>
        <v>-7.5026795284030334E-2</v>
      </c>
      <c r="F18" s="120">
        <f t="shared" ref="F18" si="37">IFERROR(F17/E17-1,"n/a")</f>
        <v>0.79823290845886419</v>
      </c>
      <c r="G18" s="120">
        <f t="shared" ref="G18" si="38">IFERROR(G17/F17-1,"n/a")</f>
        <v>1.4685863874345557</v>
      </c>
      <c r="H18" s="120">
        <f t="shared" ref="H18" si="39">IFERROR(H17/G17-1,"n/a")</f>
        <v>-0.79153275144791557</v>
      </c>
      <c r="I18" s="120">
        <f t="shared" ref="I18" si="40">IFERROR(I17/H17-1,"n/a")</f>
        <v>1.4721396149632144</v>
      </c>
      <c r="J18" s="120">
        <f t="shared" ref="J18" si="41">IFERROR(J17/I17-1,"n/a")</f>
        <v>0.62401468865744536</v>
      </c>
      <c r="K18" s="120">
        <f t="shared" ref="K18" si="42">IFERROR(K17/J17-1,"n/a")</f>
        <v>0.72476170055164579</v>
      </c>
      <c r="L18" s="120">
        <f t="shared" ref="L18" si="43">IFERROR(L17/K17-1,"n/a")</f>
        <v>2.8096109943265279E-2</v>
      </c>
      <c r="M18" s="120">
        <f t="shared" ref="M18" si="44">IFERROR(M17/L17-1,"n/a")</f>
        <v>0.39900844252924061</v>
      </c>
      <c r="N18" s="120">
        <f t="shared" ref="N18" si="45">IFERROR(N17/M17-1,"n/a")</f>
        <v>-0.12213098652418153</v>
      </c>
      <c r="O18" s="120">
        <f t="shared" ref="O18" si="46">IFERROR(O17/N17-1,"n/a")</f>
        <v>-6.522439626931098E-2</v>
      </c>
      <c r="P18" s="120">
        <f t="shared" ref="P18" si="47">IFERROR(P17/O17-1,"n/a")</f>
        <v>-0.11943314023076568</v>
      </c>
      <c r="Q18" s="120">
        <f t="shared" ref="Q18" si="48">IFERROR(Q17/P17-1,"n/a")</f>
        <v>0.73087797133598631</v>
      </c>
      <c r="R18" s="120">
        <f t="shared" ref="R18" si="49">IFERROR(R17/Q17-1,"n/a")</f>
        <v>-0.11068321030312545</v>
      </c>
      <c r="S18" s="120">
        <f t="shared" ref="S18" si="50">IFERROR(S17/R17-1,"n/a")</f>
        <v>0.27988725389772307</v>
      </c>
      <c r="T18" s="120">
        <f t="shared" ref="T18" si="51">IFERROR(T17/S17-1,"n/a")</f>
        <v>0.15593590797948953</v>
      </c>
      <c r="U18" s="120">
        <f t="shared" ref="U18" si="52">IFERROR(U17/T17-1,"n/a")</f>
        <v>0.41274608578563665</v>
      </c>
      <c r="V18" s="120">
        <f t="shared" ref="V18" si="53">IFERROR(V17/U17-1,"n/a")</f>
        <v>8.171832223611708E-2</v>
      </c>
      <c r="W18" s="120">
        <f t="shared" ref="W18" si="54">IFERROR(W17/V17-1,"n/a")</f>
        <v>0.18094160875868615</v>
      </c>
      <c r="X18" s="120">
        <f t="shared" ref="X18" si="55">IFERROR(X17/W17-1,"n/a")</f>
        <v>2.0110700130702153E-2</v>
      </c>
      <c r="Y18" s="120">
        <f t="shared" ref="Y18" si="56">IFERROR(Y17/X17-1,"n/a")</f>
        <v>-5.0198361340285658E-3</v>
      </c>
      <c r="Z18" s="120">
        <f t="shared" ref="Z18" si="57">IFERROR(Z17/Y17-1,"n/a")</f>
        <v>-2.8470902791821628E-2</v>
      </c>
      <c r="AA18" s="120">
        <f t="shared" ref="AA18" si="58">IFERROR(AA17/Z17-1,"n/a")</f>
        <v>0.52074485903258361</v>
      </c>
      <c r="AB18" s="120">
        <f t="shared" ref="AB18" si="59">IFERROR(AB17/AA17-1,"n/a")</f>
        <v>0.14678828926537513</v>
      </c>
      <c r="AC18" s="120">
        <f t="shared" ref="AC18" si="60">IFERROR(AC17/AB17-1,"n/a")</f>
        <v>0.72509539228296083</v>
      </c>
      <c r="AD18" s="120">
        <f t="shared" ref="AD18" si="61">IFERROR(AD17/AC17-1,"n/a")</f>
        <v>-0.17820117915813627</v>
      </c>
      <c r="AE18" s="120">
        <f t="shared" ref="AE18:AF18" ca="1" si="62">IFERROR(AE17/AD17-1,"n/a")</f>
        <v>0.41663793008249428</v>
      </c>
      <c r="AF18" s="120">
        <f t="shared" ca="1" si="62"/>
        <v>0.23637358290505084</v>
      </c>
      <c r="AG18" s="120">
        <f ca="1">IFERROR(AG17/AF17-1,"n/a")</f>
        <v>0.19901507706280697</v>
      </c>
      <c r="AH18" s="120"/>
      <c r="AI18" s="120"/>
      <c r="AJ18" s="659"/>
    </row>
    <row r="19" spans="1:40" s="663" customFormat="1" ht="11.25" customHeight="1">
      <c r="B19" s="35" t="s">
        <v>17</v>
      </c>
      <c r="D19" s="120">
        <f>IFERROR(D17/D10,"n/a")</f>
        <v>0.33983654699842925</v>
      </c>
      <c r="E19" s="120">
        <f t="shared" ref="E19:AE19" si="63">IFERROR(E17/E10,"n/a")</f>
        <v>0.2738487168299551</v>
      </c>
      <c r="F19" s="120">
        <f t="shared" si="63"/>
        <v>0.33982509203881361</v>
      </c>
      <c r="G19" s="120">
        <f t="shared" si="63"/>
        <v>0.36880708552449487</v>
      </c>
      <c r="H19" s="120">
        <f t="shared" si="63"/>
        <v>0.10150534217738423</v>
      </c>
      <c r="I19" s="120">
        <f t="shared" si="63"/>
        <v>0.19463219573508472</v>
      </c>
      <c r="J19" s="120">
        <f t="shared" si="63"/>
        <v>0.25271802046335667</v>
      </c>
      <c r="K19" s="120">
        <f t="shared" si="63"/>
        <v>0.34400283033905754</v>
      </c>
      <c r="L19" s="120">
        <f t="shared" si="63"/>
        <v>0.34126010541518953</v>
      </c>
      <c r="M19" s="120">
        <f t="shared" si="63"/>
        <v>0.40095208990349918</v>
      </c>
      <c r="N19" s="120">
        <f t="shared" si="63"/>
        <v>0.34628521836159065</v>
      </c>
      <c r="O19" s="120">
        <f t="shared" si="63"/>
        <v>0.31346988515959401</v>
      </c>
      <c r="P19" s="120">
        <f t="shared" si="63"/>
        <v>0.31095346619688785</v>
      </c>
      <c r="Q19" s="120">
        <f t="shared" si="63"/>
        <v>0.37940544122344105</v>
      </c>
      <c r="R19" s="120">
        <f t="shared" si="63"/>
        <v>0.33145234744697144</v>
      </c>
      <c r="S19" s="120">
        <f t="shared" si="63"/>
        <v>0.35753090805040011</v>
      </c>
      <c r="T19" s="120">
        <f t="shared" si="63"/>
        <v>0.35078824301870609</v>
      </c>
      <c r="U19" s="120">
        <f t="shared" si="63"/>
        <v>0.38787057259644003</v>
      </c>
      <c r="V19" s="120">
        <f t="shared" si="63"/>
        <v>0.37942992091258182</v>
      </c>
      <c r="W19" s="120">
        <f t="shared" si="63"/>
        <v>0.39871594977730607</v>
      </c>
      <c r="X19" s="120">
        <f t="shared" si="63"/>
        <v>0.39445514692868255</v>
      </c>
      <c r="Y19" s="120">
        <f t="shared" si="63"/>
        <v>0.37191797540186483</v>
      </c>
      <c r="Z19" s="120">
        <f t="shared" si="63"/>
        <v>0.34832384748469969</v>
      </c>
      <c r="AA19" s="120">
        <f t="shared" si="63"/>
        <v>0.42320834418118808</v>
      </c>
      <c r="AB19" s="120">
        <f t="shared" si="63"/>
        <v>0.40945878793511753</v>
      </c>
      <c r="AC19" s="120">
        <f t="shared" si="63"/>
        <v>0.49528848666996861</v>
      </c>
      <c r="AD19" s="120">
        <f t="shared" si="63"/>
        <v>0.42626204124833</v>
      </c>
      <c r="AE19" s="120">
        <f t="shared" ca="1" si="63"/>
        <v>0.45216076352949336</v>
      </c>
      <c r="AF19" s="120">
        <f t="shared" ref="AF19" ca="1" si="64">IFERROR(AF17/AF10,"n/a")</f>
        <v>0.45421123623127174</v>
      </c>
      <c r="AG19" s="120">
        <f ca="1">IFERROR(AG17/AG10,"n/a")</f>
        <v>0.45379011260814456</v>
      </c>
      <c r="AH19" s="120"/>
      <c r="AI19" s="120"/>
      <c r="AJ19" s="659"/>
    </row>
    <row r="20" spans="1:40" s="663" customFormat="1" ht="11.25" customHeight="1">
      <c r="B20" s="35"/>
      <c r="D20" s="120"/>
      <c r="E20" s="120"/>
      <c r="F20" s="120"/>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659"/>
    </row>
    <row r="21" spans="1:40" s="663" customFormat="1" ht="11.25" customHeight="1">
      <c r="B21" s="664" t="s">
        <v>763</v>
      </c>
      <c r="D21" s="57">
        <f>('Historical Financials'!AC55/1000)*1000</f>
        <v>-6.4000000000000001E-2</v>
      </c>
      <c r="E21" s="57">
        <f>('Historical Financials'!AD55/1000)*1000</f>
        <v>-1.4</v>
      </c>
      <c r="F21" s="57">
        <f>('Historical Financials'!AE55/1000)*1000</f>
        <v>-0.28899999999999998</v>
      </c>
      <c r="G21" s="57">
        <f>('Historical Financials'!AF55/1000)*1000</f>
        <v>-0.187</v>
      </c>
      <c r="H21" s="57">
        <f>('Historical Financials'!AG55/1000)*1000</f>
        <v>-3.9589999999999996</v>
      </c>
      <c r="I21" s="57">
        <f>('Historical Financials'!AH55/1000)*1000</f>
        <v>-1.9770000000000001</v>
      </c>
      <c r="J21" s="57">
        <f>('Historical Financials'!AI55/1000)*1000</f>
        <v>-0.29399999999999998</v>
      </c>
      <c r="K21" s="57">
        <f>('Historical Financials'!AJ55/1000)*1000</f>
        <v>2.0939999999999999</v>
      </c>
      <c r="L21" s="57">
        <f>('Historical Financials'!AK55/1000)*1000</f>
        <v>1.4339999999999999</v>
      </c>
      <c r="M21" s="57">
        <f>('Historical Financials'!AL55/1000)*1000</f>
        <v>2.347</v>
      </c>
      <c r="N21" s="57">
        <f>('Historical Financials'!AM55/1000)*1000</f>
        <v>2.508</v>
      </c>
      <c r="O21" s="57">
        <f>('Historical Financials'!AN55/1000)*1000</f>
        <v>0.70199999999999996</v>
      </c>
      <c r="P21" s="57">
        <f>('Historical Financials'!AO55/1000)*1000</f>
        <v>4.5999999999999999E-2</v>
      </c>
      <c r="Q21" s="57">
        <f>('Historical Financials'!AP55/1000)*1000</f>
        <v>2.298</v>
      </c>
      <c r="R21" s="57">
        <f>('Historical Financials'!AQ55/1000)*1000</f>
        <v>0.89800000000000002</v>
      </c>
      <c r="S21" s="57">
        <f>('Historical Financials'!AR55/1000)*1000</f>
        <v>2.073</v>
      </c>
      <c r="T21" s="57">
        <f>('Historical Financials'!AS55/1000)*1000</f>
        <v>3.972</v>
      </c>
      <c r="U21" s="57">
        <f>('Historical Financials'!AT55/1000)*1000</f>
        <v>3.9509999999999996</v>
      </c>
      <c r="V21" s="57">
        <f>('Historical Financials'!AU55/1000)*1000</f>
        <v>4.1319999999999997</v>
      </c>
      <c r="W21" s="57">
        <f>('Historical Financials'!AV55/1000)*1000</f>
        <v>3.4950000000000001</v>
      </c>
      <c r="X21" s="57">
        <f>('Historical Financials'!AW55/1000)*1000</f>
        <v>2.9860000000000002</v>
      </c>
      <c r="Y21" s="57">
        <f>('Historical Financials'!AX55/1000)*1000</f>
        <v>3.0579999999999998</v>
      </c>
      <c r="Z21" s="57">
        <f>('Historical Financials'!AY55/1000)*1000</f>
        <v>2.8439999999999999</v>
      </c>
      <c r="AA21" s="57">
        <f>('Historical Financials'!AZ55/1000)*1000</f>
        <v>3.593</v>
      </c>
      <c r="AB21" s="57">
        <f>('Historical Financials'!BA55/1000)*1000</f>
        <v>5.6029999999999998</v>
      </c>
      <c r="AC21" s="57">
        <f>('Historical Financials'!BB55/1000)*1000</f>
        <v>7.7990000000000004</v>
      </c>
      <c r="AD21" s="57">
        <f>('Historical Financials'!BC55/1000)*1000</f>
        <v>4.6550000000000002</v>
      </c>
      <c r="AE21" s="57">
        <f ca="1">('Historical Financials'!BD55/1000)*1000</f>
        <v>5.3608913011865233</v>
      </c>
      <c r="AF21" s="57">
        <f ca="1">('Historical Financials'!BE55/1000)*1000</f>
        <v>6.9833723668249519</v>
      </c>
      <c r="AG21" s="57">
        <f ca="1">-'Simple Model (A)'!L39</f>
        <v>0</v>
      </c>
      <c r="AH21" s="57"/>
      <c r="AI21" s="57"/>
      <c r="AJ21" s="659"/>
      <c r="AK21" s="138">
        <f ca="1">IFERROR(($AE21/Z21)^(1/5)-1,"n/a")</f>
        <v>0.13517150741284945</v>
      </c>
      <c r="AL21" s="138">
        <f ca="1">IFERROR(($AE21/U21)^(1/10)-1,"n/a")</f>
        <v>3.0986544199135713E-2</v>
      </c>
      <c r="AM21" s="138">
        <f ca="1">IFERROR(($AE21/P21)^(1/15)-1,"n/a")</f>
        <v>0.37329955074556187</v>
      </c>
      <c r="AN21" s="138">
        <f ca="1">IFERROR(($AE21/K21)^(1/20)-1,"n/a")</f>
        <v>4.8124846158225765E-2</v>
      </c>
    </row>
    <row r="22" spans="1:40" s="663" customFormat="1" ht="11.25" customHeight="1">
      <c r="B22" s="664" t="s">
        <v>280</v>
      </c>
      <c r="D22" s="57">
        <f>('Historical Financials'!AC56/1000)*1000</f>
        <v>-4.505600000000004E-2</v>
      </c>
      <c r="E22" s="57">
        <f>('Historical Financials'!AD56/1000)*1000</f>
        <v>-0.41536799999999996</v>
      </c>
      <c r="F22" s="57">
        <f>('Historical Financials'!AE56/1000)*1000</f>
        <v>-0.60691100000000009</v>
      </c>
      <c r="G22" s="57">
        <f>('Historical Financials'!AF56/1000)*1000</f>
        <v>-0.28273700000000007</v>
      </c>
      <c r="H22" s="57">
        <f>('Historical Financials'!AG56/1000)*1000</f>
        <v>-0.58591099999999985</v>
      </c>
      <c r="I22" s="57">
        <f>('Historical Financials'!AH56/1000)*1000</f>
        <v>-1.111788</v>
      </c>
      <c r="J22" s="57">
        <f>('Historical Financials'!AI56/1000)*1000</f>
        <v>-0.75696600000000014</v>
      </c>
      <c r="K22" s="57">
        <f>('Historical Financials'!AJ56/1000)*1000</f>
        <v>0.40960900000000017</v>
      </c>
      <c r="L22" s="57">
        <f>('Historical Financials'!AK56/1000)*1000</f>
        <v>0.34040999999999938</v>
      </c>
      <c r="M22" s="57">
        <f>('Historical Financials'!AL56/1000)*1000</f>
        <v>3.6509999999999998</v>
      </c>
      <c r="N22" s="57">
        <f>('Historical Financials'!AM56/1000)*1000</f>
        <v>4.8094580000000002</v>
      </c>
      <c r="O22" s="57">
        <f>('Historical Financials'!AN56/1000)*1000</f>
        <v>4.7588350000000004</v>
      </c>
      <c r="P22" s="57">
        <f>('Historical Financials'!AO56/1000)*1000</f>
        <v>2.2094459999999998</v>
      </c>
      <c r="Q22" s="57">
        <f>('Historical Financials'!AP56/1000)*1000</f>
        <v>1.2398370000000001</v>
      </c>
      <c r="R22" s="57">
        <f>('Historical Financials'!AQ56/1000)*1000</f>
        <v>0.85278899999999991</v>
      </c>
      <c r="S22" s="57">
        <f>('Historical Financials'!AR56/1000)*1000</f>
        <v>0.624614</v>
      </c>
      <c r="T22" s="57">
        <f>('Historical Financials'!AS56/1000)*1000</f>
        <v>-0.81100000000000005</v>
      </c>
      <c r="U22" s="57">
        <f>('Historical Financials'!AT56/1000)*1000</f>
        <v>-0.50600000000000001</v>
      </c>
      <c r="V22" s="57">
        <f>('Historical Financials'!AU56/1000)*1000</f>
        <v>0.93899999999999995</v>
      </c>
      <c r="W22" s="57">
        <f>('Historical Financials'!AV56/1000)*1000</f>
        <v>3.0110000000000001</v>
      </c>
      <c r="X22" s="57">
        <f>('Historical Financials'!AW56/1000)*1000</f>
        <v>6.1340000000000003</v>
      </c>
      <c r="Y22" s="57">
        <f>('Historical Financials'!AX56/1000)*1000</f>
        <v>11.643000000000001</v>
      </c>
      <c r="Z22" s="57">
        <f>('Historical Financials'!AY56/1000)*1000</f>
        <v>12.939</v>
      </c>
      <c r="AA22" s="57">
        <f>('Historical Financials'!AZ56/1000)*1000</f>
        <v>6.9370000000000003</v>
      </c>
      <c r="AB22" s="57">
        <f>('Historical Financials'!BA56/1000)*1000</f>
        <v>0.29399999999999998</v>
      </c>
      <c r="AC22" s="57">
        <f>('Historical Financials'!BB56/1000)*1000</f>
        <v>10.672000000000001</v>
      </c>
      <c r="AD22" s="57">
        <f>('Historical Financials'!BC56/1000)*1000</f>
        <v>48.293999999999997</v>
      </c>
      <c r="AE22" s="57">
        <f>('Historical Financials'!BD56/1000)*1000</f>
        <v>77.548677962169123</v>
      </c>
      <c r="AF22" s="57">
        <f ca="1">('Historical Financials'!BE56/1000)*1000</f>
        <v>129.62128989487331</v>
      </c>
      <c r="AG22" s="57">
        <f ca="1">-'Simple Model (A)'!L36</f>
        <v>0</v>
      </c>
      <c r="AH22" s="57"/>
      <c r="AI22" s="57"/>
      <c r="AJ22" s="659"/>
      <c r="AK22" s="138">
        <f>IFERROR(($AE22/Z22)^(1/5)-1,"n/a")</f>
        <v>0.43065440736155458</v>
      </c>
      <c r="AL22" s="138" t="str">
        <f>IFERROR(($AE22/U22)^(1/10)-1,"n/a")</f>
        <v>n/a</v>
      </c>
      <c r="AM22" s="138">
        <f>IFERROR(($AE22/P22)^(1/15)-1,"n/a")</f>
        <v>0.26770849464220237</v>
      </c>
      <c r="AN22" s="138">
        <f>IFERROR(($AE22/K22)^(1/20)-1,"n/a")</f>
        <v>0.29975125485277121</v>
      </c>
    </row>
    <row r="23" spans="1:40" s="663" customFormat="1" ht="13.5" customHeight="1">
      <c r="B23" s="664" t="s">
        <v>19</v>
      </c>
      <c r="D23" s="210">
        <f>('Historical Financials'!AC57/1000)*1000</f>
        <v>0.50905600000000006</v>
      </c>
      <c r="E23" s="210">
        <f>('Historical Financials'!AD57/1000)*1000</f>
        <v>0.67136799999999996</v>
      </c>
      <c r="F23" s="210">
        <f>('Historical Financials'!AE57/1000)*1000</f>
        <v>-0.27708899999999997</v>
      </c>
      <c r="G23" s="210">
        <f>('Historical Financials'!AF57/1000)*1000</f>
        <v>3.0767370000000001</v>
      </c>
      <c r="H23" s="210">
        <f>('Historical Financials'!AG57/1000)*1000</f>
        <v>2.5539109999999998</v>
      </c>
      <c r="I23" s="210">
        <f>('Historical Financials'!AH57/1000)*1000</f>
        <v>-1.2782120000000001</v>
      </c>
      <c r="J23" s="210">
        <f>('Historical Financials'!AI57/1000)*1000</f>
        <v>0.92896600000000018</v>
      </c>
      <c r="K23" s="210">
        <f>('Historical Financials'!AJ57/1000)*1000</f>
        <v>0.9803909999999999</v>
      </c>
      <c r="L23" s="210">
        <f>('Historical Financials'!AK57/1000)*1000</f>
        <v>1.5215900000000004</v>
      </c>
      <c r="M23" s="210">
        <f>('Historical Financials'!AL57/1000)*1000</f>
        <v>9.9000000000000643E-2</v>
      </c>
      <c r="N23" s="210">
        <f>('Historical Financials'!AM57/1000)*1000</f>
        <v>2.6025419999999997</v>
      </c>
      <c r="O23" s="210">
        <f>('Historical Financials'!AN57/1000)*1000</f>
        <v>1.5761649999999996</v>
      </c>
      <c r="P23" s="210">
        <f>('Historical Financials'!AO57/1000)*1000</f>
        <v>1.2455540000000001</v>
      </c>
      <c r="Q23" s="210">
        <f>('Historical Financials'!AP57/1000)*1000</f>
        <v>7.557163000000001</v>
      </c>
      <c r="R23" s="210">
        <f>('Historical Financials'!AQ57/1000)*1000</f>
        <v>1.840211</v>
      </c>
      <c r="S23" s="210">
        <f>('Historical Financials'!AR57/1000)*1000</f>
        <v>-2.1989999999999998</v>
      </c>
      <c r="T23" s="210">
        <f>('Historical Financials'!AS57/1000)*1000</f>
        <v>2.8969999999999998</v>
      </c>
      <c r="U23" s="210">
        <f>('Historical Financials'!AT57/1000)*1000</f>
        <v>2.7639999999999998</v>
      </c>
      <c r="V23" s="210">
        <f>('Historical Financials'!AU57/1000)*1000</f>
        <v>25.31</v>
      </c>
      <c r="W23" s="210">
        <f>('Historical Financials'!AV57/1000)*1000</f>
        <v>1.4950000000000001</v>
      </c>
      <c r="X23" s="210">
        <f>('Historical Financials'!AW57/1000)*1000</f>
        <v>1.454</v>
      </c>
      <c r="Y23" s="210">
        <f>('Historical Financials'!AX57/1000)*1000</f>
        <v>-0.81499999999999995</v>
      </c>
      <c r="Z23" s="210">
        <f>('Historical Financials'!AY57/1000)*1000</f>
        <v>1.361</v>
      </c>
      <c r="AA23" s="210">
        <f>('Historical Financials'!AZ57/1000)*1000</f>
        <v>7.4630000000000001</v>
      </c>
      <c r="AB23" s="210">
        <f>('Historical Financials'!BA57/1000)*1000</f>
        <v>7.2480000000000002</v>
      </c>
      <c r="AC23" s="210">
        <f>('Historical Financials'!BB57/1000)*1000</f>
        <v>4.4409999999999998</v>
      </c>
      <c r="AD23" s="210">
        <f>('Historical Financials'!BC57/1000)*1000</f>
        <v>4.7560000000000002</v>
      </c>
      <c r="AE23" s="210">
        <f>('Historical Financials'!BD57/1000)*1000</f>
        <v>2.1419999999999999</v>
      </c>
      <c r="AF23" s="210">
        <f>('Historical Financials'!BE57/1000)*1000</f>
        <v>0</v>
      </c>
      <c r="AG23" s="166">
        <v>0</v>
      </c>
      <c r="AH23" s="210"/>
      <c r="AI23" s="210"/>
      <c r="AJ23" s="659"/>
      <c r="AK23" s="529">
        <f>IFERROR(($AE23/Z23)^(1/5)-1,"n/a")</f>
        <v>9.4944907996995731E-2</v>
      </c>
      <c r="AL23" s="529">
        <f>IFERROR(($AE23/U23)^(1/10)-1,"n/a")</f>
        <v>-2.5171668154032711E-2</v>
      </c>
      <c r="AM23" s="529">
        <f>IFERROR(($AE23/P23)^(1/15)-1,"n/a")</f>
        <v>3.68051053488474E-2</v>
      </c>
      <c r="AN23" s="529">
        <f>IFERROR(($AE23/K23)^(1/20)-1,"n/a")</f>
        <v>3.985074555642143E-2</v>
      </c>
    </row>
    <row r="24" spans="1:40" s="663" customFormat="1" ht="11.25" customHeight="1">
      <c r="B24" s="129" t="s">
        <v>761</v>
      </c>
      <c r="D24" s="117">
        <f>D17+SUM(D21:D23)</f>
        <v>15.328000000000001</v>
      </c>
      <c r="E24" s="117">
        <f t="shared" ref="E24:AE24" si="65">E17+SUM(E21:E23)</f>
        <v>12.663999999999996</v>
      </c>
      <c r="F24" s="117">
        <f t="shared" si="65"/>
        <v>23.656999999999989</v>
      </c>
      <c r="G24" s="117">
        <f t="shared" si="65"/>
        <v>63.902000000000001</v>
      </c>
      <c r="H24" s="117">
        <f t="shared" si="65"/>
        <v>10.787000000000013</v>
      </c>
      <c r="I24" s="117">
        <f t="shared" si="65"/>
        <v>27.221999999999984</v>
      </c>
      <c r="J24" s="117">
        <f t="shared" si="65"/>
        <v>51.179000000000016</v>
      </c>
      <c r="K24" s="117">
        <f t="shared" si="65"/>
        <v>91.966000000000008</v>
      </c>
      <c r="L24" s="117">
        <f t="shared" si="65"/>
        <v>94.26400000000001</v>
      </c>
      <c r="M24" s="117">
        <f t="shared" si="65"/>
        <v>133.36199999999997</v>
      </c>
      <c r="N24" s="117">
        <f t="shared" si="65"/>
        <v>121.642</v>
      </c>
      <c r="O24" s="117">
        <f t="shared" si="65"/>
        <v>111.47200000000004</v>
      </c>
      <c r="P24" s="117">
        <f t="shared" si="65"/>
        <v>95.463000000000022</v>
      </c>
      <c r="Q24" s="117">
        <f t="shared" si="65"/>
        <v>170.27</v>
      </c>
      <c r="R24" s="117">
        <f t="shared" si="65"/>
        <v>145.14800000000002</v>
      </c>
      <c r="S24" s="117">
        <f t="shared" si="65"/>
        <v>181.675614</v>
      </c>
      <c r="T24" s="117">
        <f t="shared" si="65"/>
        <v>215.48699999999997</v>
      </c>
      <c r="U24" s="117">
        <f t="shared" si="65"/>
        <v>302.07900000000006</v>
      </c>
      <c r="V24" s="117">
        <f t="shared" si="65"/>
        <v>350.42899999999997</v>
      </c>
      <c r="W24" s="117">
        <f t="shared" si="65"/>
        <v>385.95899999999995</v>
      </c>
      <c r="X24" s="117">
        <f t="shared" si="65"/>
        <v>396.13299999999992</v>
      </c>
      <c r="Y24" s="117">
        <f t="shared" si="65"/>
        <v>397.50955700000003</v>
      </c>
      <c r="Z24" s="117">
        <f t="shared" si="65"/>
        <v>389.84544800000015</v>
      </c>
      <c r="AA24" s="117">
        <f t="shared" si="65"/>
        <v>584.77681100000007</v>
      </c>
      <c r="AB24" s="117">
        <f t="shared" si="65"/>
        <v>663.12603699999966</v>
      </c>
      <c r="AC24" s="117">
        <f t="shared" si="65"/>
        <v>1144.1912920000002</v>
      </c>
      <c r="AD24" s="117">
        <f t="shared" si="65"/>
        <v>979.17099999999994</v>
      </c>
      <c r="AE24" s="117">
        <f t="shared" ca="1" si="65"/>
        <v>1390.4352561447513</v>
      </c>
      <c r="AF24" s="117">
        <f t="shared" ref="AF24:AG24" ca="1" si="66">AF17+SUM(AF21:AF23)</f>
        <v>1750.5465682770541</v>
      </c>
      <c r="AG24" s="117">
        <f t="shared" ca="1" si="66"/>
        <v>1935.1406788158954</v>
      </c>
      <c r="AH24" s="117"/>
      <c r="AI24" s="117"/>
      <c r="AJ24" s="659"/>
      <c r="AK24" s="500">
        <f ca="1">($AE24/Z24)^(1/5)-1</f>
        <v>0.2895900117701633</v>
      </c>
      <c r="AL24" s="500">
        <f ca="1">($AE24/U24)^(1/10)-1</f>
        <v>0.16493856747424784</v>
      </c>
      <c r="AM24" s="500">
        <f ca="1">($AE24/P24)^(1/15)-1</f>
        <v>0.19551321070045957</v>
      </c>
      <c r="AN24" s="500">
        <f ca="1">($AE24/K24)^(1/20)-1</f>
        <v>0.14545009791052954</v>
      </c>
    </row>
    <row r="25" spans="1:40" s="663" customFormat="1" ht="13.5" customHeight="1">
      <c r="B25" s="664" t="s">
        <v>700</v>
      </c>
      <c r="D25" s="210">
        <f>('Historical Financials'!AC59/1000)*1000</f>
        <v>2.2991999999999999</v>
      </c>
      <c r="E25" s="210">
        <f>('Historical Financials'!AD59/1000)*1000</f>
        <v>1.8995999999999993</v>
      </c>
      <c r="F25" s="210">
        <f>('Historical Financials'!AE59/1000)*1000</f>
        <v>3.5485499999999983</v>
      </c>
      <c r="G25" s="210">
        <f>('Historical Financials'!AF59/1000)*1000</f>
        <v>9.5853000000000002</v>
      </c>
      <c r="H25" s="210">
        <f>('Historical Financials'!AG59/1000)*1000</f>
        <v>1.618050000000002</v>
      </c>
      <c r="I25" s="210">
        <f>('Historical Financials'!AH59/1000)*1000</f>
        <v>4.0832999999999977</v>
      </c>
      <c r="J25" s="210">
        <f>('Historical Financials'!AI59/1000)*1000</f>
        <v>7.6768500000000017</v>
      </c>
      <c r="K25" s="210">
        <f>('Historical Financials'!AJ59/1000)*1000</f>
        <v>13.7949</v>
      </c>
      <c r="L25" s="210">
        <f>('Historical Financials'!AK59/1000)*1000</f>
        <v>14.139600000000002</v>
      </c>
      <c r="M25" s="210">
        <f>('Historical Financials'!AL59/1000)*1000</f>
        <v>20.004299999999994</v>
      </c>
      <c r="N25" s="210">
        <f>('Historical Financials'!AM59/1000)*1000</f>
        <v>18.246299999999998</v>
      </c>
      <c r="O25" s="210">
        <f>('Historical Financials'!AN59/1000)*1000</f>
        <v>16.720800000000004</v>
      </c>
      <c r="P25" s="210">
        <f>('Historical Financials'!AO59/1000)*1000</f>
        <v>14.319450000000003</v>
      </c>
      <c r="Q25" s="210">
        <f>('Historical Financials'!AP59/1000)*1000</f>
        <v>25.540500000000002</v>
      </c>
      <c r="R25" s="210">
        <f>('Historical Financials'!AQ59/1000)*1000</f>
        <v>21.772200000000002</v>
      </c>
      <c r="S25" s="210">
        <f>('Historical Financials'!AR59/1000)*1000</f>
        <v>27.251342099999999</v>
      </c>
      <c r="T25" s="210">
        <f>('Historical Financials'!AS59/1000)*1000</f>
        <v>32.323049999999995</v>
      </c>
      <c r="U25" s="210">
        <f>('Historical Financials'!AT59/1000)*1000</f>
        <v>45.311850000000007</v>
      </c>
      <c r="V25" s="210">
        <f>('Historical Financials'!AU59/1000)*1000</f>
        <v>52.564349999999997</v>
      </c>
      <c r="W25" s="210">
        <f>('Historical Financials'!AV59/1000)*1000</f>
        <v>57.893849999999986</v>
      </c>
      <c r="X25" s="210">
        <f>('Historical Financials'!AW59/1000)*1000</f>
        <v>59.419949999999986</v>
      </c>
      <c r="Y25" s="210">
        <f>('Historical Financials'!AX59/1000)*1000</f>
        <v>59.626433550000002</v>
      </c>
      <c r="Z25" s="210">
        <f>('Historical Financials'!AY59/1000)*1000</f>
        <v>58.476817200000021</v>
      </c>
      <c r="AA25" s="210">
        <f>('Historical Financials'!AZ59/1000)*1000</f>
        <v>87.716521650000033</v>
      </c>
      <c r="AB25" s="210">
        <f>('Historical Financials'!BA59/1000)*1000</f>
        <v>99.468905550000002</v>
      </c>
      <c r="AC25" s="210">
        <f>('Historical Financials'!BB59/1000)*1000</f>
        <v>171.62869380000004</v>
      </c>
      <c r="AD25" s="210">
        <f>('Historical Financials'!BC59/1000)*1000</f>
        <v>146.87564999999998</v>
      </c>
      <c r="AE25" s="210">
        <f ca="1">('Historical Financials'!BD59/1000)*1000</f>
        <v>208.56528842171258</v>
      </c>
      <c r="AF25" s="210">
        <f ca="1">('Historical Financials'!BE59/1000)*1000</f>
        <v>262.58198524155813</v>
      </c>
      <c r="AG25" s="210">
        <f ca="1">+AG24*0.15</f>
        <v>290.27110182238431</v>
      </c>
      <c r="AH25" s="210"/>
      <c r="AI25" s="678"/>
      <c r="AJ25" s="659"/>
      <c r="AK25" s="529">
        <f ca="1">IFERROR(($AE25/Z25)^(1/5)-1,"n/a")</f>
        <v>0.28959001177016308</v>
      </c>
      <c r="AL25" s="529">
        <f ca="1">IFERROR(($AE25/U25)^(1/10)-1,"n/a")</f>
        <v>0.16493856747424784</v>
      </c>
      <c r="AM25" s="529">
        <f ca="1">IFERROR(($AE25/P25)^(1/15)-1,"n/a")</f>
        <v>0.19551321070045957</v>
      </c>
      <c r="AN25" s="529">
        <f ca="1">IFERROR(($AE25/K25)^(1/20)-1,"n/a")</f>
        <v>0.14545009791052954</v>
      </c>
    </row>
    <row r="26" spans="1:40" s="663" customFormat="1" ht="11.25" customHeight="1">
      <c r="B26" s="129" t="s">
        <v>762</v>
      </c>
      <c r="D26" s="117">
        <f t="shared" ref="D26:AE26" si="67">D24-D25</f>
        <v>13.0288</v>
      </c>
      <c r="E26" s="117">
        <f t="shared" si="67"/>
        <v>10.764399999999997</v>
      </c>
      <c r="F26" s="117">
        <f t="shared" si="67"/>
        <v>20.108449999999991</v>
      </c>
      <c r="G26" s="117">
        <f t="shared" si="67"/>
        <v>54.316699999999997</v>
      </c>
      <c r="H26" s="117">
        <f t="shared" si="67"/>
        <v>9.1689500000000113</v>
      </c>
      <c r="I26" s="117">
        <f t="shared" si="67"/>
        <v>23.138699999999986</v>
      </c>
      <c r="J26" s="117">
        <f t="shared" si="67"/>
        <v>43.502150000000015</v>
      </c>
      <c r="K26" s="117">
        <f t="shared" si="67"/>
        <v>78.17110000000001</v>
      </c>
      <c r="L26" s="117">
        <f t="shared" si="67"/>
        <v>80.124400000000009</v>
      </c>
      <c r="M26" s="117">
        <f t="shared" si="67"/>
        <v>113.35769999999997</v>
      </c>
      <c r="N26" s="117">
        <f t="shared" si="67"/>
        <v>103.39570000000001</v>
      </c>
      <c r="O26" s="117">
        <f t="shared" si="67"/>
        <v>94.75120000000004</v>
      </c>
      <c r="P26" s="117">
        <f t="shared" si="67"/>
        <v>81.143550000000019</v>
      </c>
      <c r="Q26" s="117">
        <f t="shared" si="67"/>
        <v>144.7295</v>
      </c>
      <c r="R26" s="117">
        <f t="shared" si="67"/>
        <v>123.37580000000003</v>
      </c>
      <c r="S26" s="117">
        <f t="shared" si="67"/>
        <v>154.42427190000001</v>
      </c>
      <c r="T26" s="117">
        <f t="shared" si="67"/>
        <v>183.16394999999997</v>
      </c>
      <c r="U26" s="117">
        <f t="shared" si="67"/>
        <v>256.76715000000007</v>
      </c>
      <c r="V26" s="117">
        <f t="shared" si="67"/>
        <v>297.86464999999998</v>
      </c>
      <c r="W26" s="117">
        <f t="shared" si="67"/>
        <v>328.06514999999996</v>
      </c>
      <c r="X26" s="117">
        <f t="shared" si="67"/>
        <v>336.71304999999995</v>
      </c>
      <c r="Y26" s="117">
        <f t="shared" si="67"/>
        <v>337.88312345000003</v>
      </c>
      <c r="Z26" s="117">
        <f t="shared" si="67"/>
        <v>331.36863080000012</v>
      </c>
      <c r="AA26" s="117">
        <f t="shared" si="67"/>
        <v>497.06028935000006</v>
      </c>
      <c r="AB26" s="117">
        <f t="shared" si="67"/>
        <v>563.65713144999961</v>
      </c>
      <c r="AC26" s="117">
        <f t="shared" si="67"/>
        <v>972.56259820000014</v>
      </c>
      <c r="AD26" s="117">
        <f t="shared" si="67"/>
        <v>832.29534999999998</v>
      </c>
      <c r="AE26" s="117">
        <f t="shared" ca="1" si="67"/>
        <v>1181.8699677230388</v>
      </c>
      <c r="AF26" s="117">
        <f t="shared" ref="AF26:AG26" ca="1" si="68">AF24-AF25</f>
        <v>1487.9645830354959</v>
      </c>
      <c r="AG26" s="117">
        <f t="shared" ca="1" si="68"/>
        <v>1644.8695769935111</v>
      </c>
      <c r="AH26" s="117"/>
      <c r="AI26" s="117"/>
      <c r="AJ26" s="659"/>
      <c r="AK26" s="500">
        <f ca="1">($AE26/Z26)^(1/5)-1</f>
        <v>0.2895900117701633</v>
      </c>
      <c r="AL26" s="500">
        <f ca="1">($AE26/U26)^(1/10)-1</f>
        <v>0.16493856747424784</v>
      </c>
      <c r="AM26" s="500">
        <f ca="1">($AE26/P26)^(1/15)-1</f>
        <v>0.19551321070045957</v>
      </c>
      <c r="AN26" s="500">
        <f ca="1">($AE26/K26)^(1/20)-1</f>
        <v>0.14545009791052954</v>
      </c>
    </row>
    <row r="27" spans="1:40" s="663" customFormat="1" ht="13.5" customHeight="1">
      <c r="B27" s="664" t="s">
        <v>279</v>
      </c>
      <c r="D27" s="210">
        <f>('Historical Financials'!AC61/1000)*1000</f>
        <v>-7.2999999999999995E-2</v>
      </c>
      <c r="E27" s="210">
        <f>('Historical Financials'!AD61/1000)*1000</f>
        <v>-1.0149999999999999</v>
      </c>
      <c r="F27" s="210">
        <f>('Historical Financials'!AE61/1000)*1000</f>
        <v>-0.51600000000000001</v>
      </c>
      <c r="G27" s="210">
        <f>('Historical Financials'!AF61/1000)*1000</f>
        <v>-3.6999999999999998E-2</v>
      </c>
      <c r="H27" s="210">
        <f>('Historical Financials'!AG61/1000)*1000</f>
        <v>4.3999999999999997E-2</v>
      </c>
      <c r="I27" s="210">
        <f>('Historical Financials'!AH61/1000)*1000</f>
        <v>-2.5000000000000001E-2</v>
      </c>
      <c r="J27" s="210">
        <f>('Historical Financials'!AI61/1000)*1000</f>
        <v>-3.0000000000000001E-3</v>
      </c>
      <c r="K27" s="210">
        <f>('Historical Financials'!AJ61/1000)*1000</f>
        <v>1.2999999999999999E-2</v>
      </c>
      <c r="L27" s="210">
        <f>('Historical Financials'!AK61/1000)*1000</f>
        <v>5.8000000000000003E-2</v>
      </c>
      <c r="M27" s="210">
        <f>('Historical Financials'!AL61/1000)*1000</f>
        <v>0.185</v>
      </c>
      <c r="N27" s="210">
        <f>('Historical Financials'!AM61/1000)*1000</f>
        <v>0.755</v>
      </c>
      <c r="O27" s="210">
        <f>('Historical Financials'!AN61/1000)*1000</f>
        <v>0.59</v>
      </c>
      <c r="P27" s="210">
        <f>('Historical Financials'!AO61/1000)*1000</f>
        <v>0.248</v>
      </c>
      <c r="Q27" s="210">
        <f>('Historical Financials'!AP61/1000)*1000</f>
        <v>0.67700000000000005</v>
      </c>
      <c r="R27" s="210">
        <f>('Historical Financials'!AQ61/1000)*1000</f>
        <v>0.252</v>
      </c>
      <c r="S27" s="210">
        <f>('Historical Financials'!AR61/1000)*1000</f>
        <v>-0.19400000000000001</v>
      </c>
      <c r="T27" s="210">
        <f>('Historical Financials'!AS61/1000)*1000</f>
        <v>-0.128</v>
      </c>
      <c r="U27" s="210">
        <f>('Historical Financials'!AT61/1000)*1000</f>
        <v>-0.11799999999999999</v>
      </c>
      <c r="V27" s="210">
        <f>('Historical Financials'!AU61/1000)*1000</f>
        <v>-1.7999999999999999E-2</v>
      </c>
      <c r="W27" s="210">
        <f>('Historical Financials'!AV61/1000)*1000</f>
        <v>9.0999999999999998E-2</v>
      </c>
      <c r="X27" s="210">
        <f>('Historical Financials'!AW61/1000)*1000</f>
        <v>3.5999999999999997E-2</v>
      </c>
      <c r="Y27" s="210">
        <f>('Historical Financials'!AX61/1000)*1000</f>
        <v>5.2999999999999999E-2</v>
      </c>
      <c r="Z27" s="210">
        <f>('Historical Financials'!AY61/1000)*1000</f>
        <v>0.08</v>
      </c>
      <c r="AA27" s="210">
        <f>('Historical Financials'!AZ61/1000)*1000</f>
        <v>0.27300000000000002</v>
      </c>
      <c r="AB27" s="210">
        <f>('Historical Financials'!BA61/1000)*1000</f>
        <v>0.53300000000000003</v>
      </c>
      <c r="AC27" s="210">
        <f>('Historical Financials'!BB61/1000)*1000</f>
        <v>0.371</v>
      </c>
      <c r="AD27" s="210">
        <f>('Historical Financials'!BC61/1000)*1000</f>
        <v>-0.73</v>
      </c>
      <c r="AE27" s="210">
        <f>('Historical Financials'!BD61/1000)*1000</f>
        <v>-0.625</v>
      </c>
      <c r="AF27" s="210">
        <f>('Historical Financials'!BE61/1000)*1000</f>
        <v>0</v>
      </c>
      <c r="AG27" s="166">
        <v>0</v>
      </c>
      <c r="AH27" s="210"/>
      <c r="AI27" s="210"/>
      <c r="AJ27" s="659"/>
      <c r="AK27" s="529">
        <f>IFERROR(($AE27/Z27)^(1/5)-1,"n/a")</f>
        <v>-2.5085440841362905</v>
      </c>
      <c r="AL27" s="529">
        <f>IFERROR(($AE27/U27)^(1/10)-1,"n/a")</f>
        <v>0.18140771059302208</v>
      </c>
      <c r="AM27" s="529">
        <f>IFERROR(($AE27/P27)^(1/15)-1,"n/a")</f>
        <v>-2.0635597397985794</v>
      </c>
      <c r="AN27" s="529" t="str">
        <f>IFERROR(($AE27/K27)^(1/20)-1,"n/a")</f>
        <v>n/a</v>
      </c>
    </row>
    <row r="28" spans="1:40" s="663" customFormat="1" ht="11.25" customHeight="1">
      <c r="B28" s="204" t="s">
        <v>256</v>
      </c>
      <c r="C28" s="665"/>
      <c r="D28" s="206">
        <f t="shared" ref="D28:AE28" si="69">D26-D27</f>
        <v>13.101800000000001</v>
      </c>
      <c r="E28" s="206">
        <f t="shared" si="69"/>
        <v>11.779399999999997</v>
      </c>
      <c r="F28" s="206">
        <f t="shared" si="69"/>
        <v>20.624449999999989</v>
      </c>
      <c r="G28" s="206">
        <f t="shared" si="69"/>
        <v>54.353699999999996</v>
      </c>
      <c r="H28" s="206">
        <f t="shared" si="69"/>
        <v>9.1249500000000108</v>
      </c>
      <c r="I28" s="206">
        <f t="shared" si="69"/>
        <v>23.163699999999984</v>
      </c>
      <c r="J28" s="206">
        <f t="shared" si="69"/>
        <v>43.505150000000015</v>
      </c>
      <c r="K28" s="206">
        <f t="shared" si="69"/>
        <v>78.158100000000005</v>
      </c>
      <c r="L28" s="206">
        <f t="shared" si="69"/>
        <v>80.066400000000002</v>
      </c>
      <c r="M28" s="206">
        <f t="shared" si="69"/>
        <v>113.17269999999996</v>
      </c>
      <c r="N28" s="206">
        <f t="shared" si="69"/>
        <v>102.64070000000001</v>
      </c>
      <c r="O28" s="206">
        <f t="shared" si="69"/>
        <v>94.161200000000036</v>
      </c>
      <c r="P28" s="206">
        <f t="shared" si="69"/>
        <v>80.895550000000014</v>
      </c>
      <c r="Q28" s="206">
        <f t="shared" si="69"/>
        <v>144.05250000000001</v>
      </c>
      <c r="R28" s="206">
        <f t="shared" si="69"/>
        <v>123.12380000000003</v>
      </c>
      <c r="S28" s="206">
        <f t="shared" si="69"/>
        <v>154.6182719</v>
      </c>
      <c r="T28" s="206">
        <f t="shared" si="69"/>
        <v>183.29194999999996</v>
      </c>
      <c r="U28" s="206">
        <f t="shared" si="69"/>
        <v>256.88515000000007</v>
      </c>
      <c r="V28" s="206">
        <f t="shared" si="69"/>
        <v>297.88264999999996</v>
      </c>
      <c r="W28" s="206">
        <f t="shared" si="69"/>
        <v>327.97414999999995</v>
      </c>
      <c r="X28" s="206">
        <f t="shared" si="69"/>
        <v>336.67704999999995</v>
      </c>
      <c r="Y28" s="206">
        <f t="shared" si="69"/>
        <v>337.83012345000003</v>
      </c>
      <c r="Z28" s="206">
        <f t="shared" si="69"/>
        <v>331.28863080000013</v>
      </c>
      <c r="AA28" s="206">
        <f t="shared" si="69"/>
        <v>496.78728935000004</v>
      </c>
      <c r="AB28" s="206">
        <f t="shared" si="69"/>
        <v>563.1241314499996</v>
      </c>
      <c r="AC28" s="206">
        <f t="shared" si="69"/>
        <v>972.19159820000016</v>
      </c>
      <c r="AD28" s="206">
        <f t="shared" si="69"/>
        <v>833.02535</v>
      </c>
      <c r="AE28" s="206">
        <f t="shared" ca="1" si="69"/>
        <v>1182.4949677230388</v>
      </c>
      <c r="AF28" s="206">
        <f t="shared" ref="AF28:AG28" ca="1" si="70">AF26-AF27</f>
        <v>1487.9645830354959</v>
      </c>
      <c r="AG28" s="206">
        <f t="shared" ca="1" si="70"/>
        <v>1644.8695769935111</v>
      </c>
      <c r="AH28" s="117"/>
      <c r="AI28" s="117"/>
      <c r="AJ28" s="659"/>
      <c r="AK28" s="499">
        <f ca="1">($AE28/Z28)^(1/5)-1</f>
        <v>0.28978865883260019</v>
      </c>
      <c r="AL28" s="499">
        <f ca="1">($AE28/U28)^(1/10)-1</f>
        <v>0.16494663218833017</v>
      </c>
      <c r="AM28" s="499">
        <f ca="1">($AE28/P28)^(1/15)-1</f>
        <v>0.19579934521123876</v>
      </c>
      <c r="AN28" s="499">
        <f ca="1">($AE28/K28)^(1/20)-1</f>
        <v>0.14548990293016062</v>
      </c>
    </row>
    <row r="29" spans="1:40" s="663" customFormat="1" ht="13.5" customHeight="1">
      <c r="B29" s="663" t="s">
        <v>255</v>
      </c>
      <c r="D29" s="210">
        <f>('Historical Financials'!AC63/1000)*1000</f>
        <v>4.081818181818182</v>
      </c>
      <c r="E29" s="210">
        <f>('Historical Financials'!AD63/1000)*1000</f>
        <v>6.0409448818897635</v>
      </c>
      <c r="F29" s="210">
        <f>('Historical Financials'!AE63/1000)*1000</f>
        <v>7.5802469135802459</v>
      </c>
      <c r="G29" s="210">
        <f>('Historical Financials'!AF63/1000)*1000</f>
        <v>11.402101576182135</v>
      </c>
      <c r="H29" s="210">
        <f>('Historical Financials'!AG63/1000)*1000</f>
        <v>17.449397590361446</v>
      </c>
      <c r="I29" s="210">
        <f>('Historical Financials'!AH63/1000)*1000</f>
        <v>18.956140350877195</v>
      </c>
      <c r="J29" s="210">
        <f>('Historical Financials'!AI63/1000)*1000</f>
        <v>20.282832618025751</v>
      </c>
      <c r="K29" s="210">
        <f>('Historical Financials'!AJ63/1000)*1000</f>
        <v>23.253400503778337</v>
      </c>
      <c r="L29" s="210">
        <f>('Historical Financials'!AK63/1000)*1000</f>
        <v>24.689973614775727</v>
      </c>
      <c r="M29" s="210">
        <f>('Historical Financials'!AL63/1000)*1000</f>
        <v>25.813237843801961</v>
      </c>
      <c r="N29" s="210">
        <f>('Historical Financials'!AM63/1000)*1000</f>
        <v>26.371256038647346</v>
      </c>
      <c r="O29" s="210">
        <f>('Historical Financials'!AN63/1000)*1000</f>
        <v>26.092167101827677</v>
      </c>
      <c r="P29" s="210">
        <f>('Historical Financials'!AO63/1000)*1000</f>
        <v>25.935465116279072</v>
      </c>
      <c r="Q29" s="210">
        <f>('Historical Financials'!AP63/1000)*1000</f>
        <v>25.939807383627606</v>
      </c>
      <c r="R29" s="210">
        <f>('Historical Financials'!AQ63/1000)*1000</f>
        <v>25.907528957528957</v>
      </c>
      <c r="S29" s="210">
        <f>('Historical Financials'!AR63/1000)*1000</f>
        <v>25.946645865834636</v>
      </c>
      <c r="T29" s="210">
        <f>('Historical Financials'!AS63/1000)*1000</f>
        <v>25.915564738292012</v>
      </c>
      <c r="U29" s="210">
        <f>('Historical Financials'!AT63/1000)*1000</f>
        <v>25.928453722669293</v>
      </c>
      <c r="V29" s="210">
        <f>('Historical Financials'!AU63/1000)*1000</f>
        <v>25.930394244734238</v>
      </c>
      <c r="W29" s="210">
        <f>('Historical Financials'!AV63/1000)*1000</f>
        <v>25.930366493877752</v>
      </c>
      <c r="X29" s="210">
        <f>('Historical Financials'!AW63/1000)*1000</f>
        <v>25.930344503642758</v>
      </c>
      <c r="Y29" s="210">
        <f>('Historical Financials'!AX63/1000)*1000</f>
        <v>25.930389013608327</v>
      </c>
      <c r="Z29" s="210">
        <f>('Historical Financials'!AY63/1000)*1000</f>
        <v>25.930405387205631</v>
      </c>
      <c r="AA29" s="210">
        <f>('Historical Financials'!AZ63/1000)*1000</f>
        <v>25.9303610804645</v>
      </c>
      <c r="AB29" s="210">
        <f>('Historical Financials'!BA63/1000)*1000</f>
        <v>25.930379911998891</v>
      </c>
      <c r="AC29" s="210">
        <f>('Historical Financials'!BB63/1000)*1000</f>
        <v>25.9293770507782</v>
      </c>
      <c r="AD29" s="210">
        <f>('Historical Financials'!BC63/1000)*1000</f>
        <v>25.929277884330933</v>
      </c>
      <c r="AE29" s="210">
        <f>('Historical Financials'!BD63/1000)*1000</f>
        <v>25.933829443291799</v>
      </c>
      <c r="AF29" s="210">
        <f>('Historical Financials'!BE63/1000)*1000</f>
        <v>25.937639553429026</v>
      </c>
      <c r="AG29" s="166">
        <f>+AF29</f>
        <v>25.937639553429026</v>
      </c>
      <c r="AH29" s="210"/>
      <c r="AI29" s="210"/>
      <c r="AJ29" s="659"/>
      <c r="AK29" s="529">
        <f>IFERROR(($AE29/Z29)^(1/5)-1,"n/a")</f>
        <v>2.6408189101490009E-5</v>
      </c>
      <c r="AL29" s="529">
        <f>IFERROR(($AE29/U29)^(1/10)-1,"n/a")</f>
        <v>2.0730966842741338E-5</v>
      </c>
      <c r="AM29" s="529">
        <f>IFERROR(($AE29/P29)^(1/15)-1,"n/a")</f>
        <v>-4.2045930076506366E-6</v>
      </c>
      <c r="AN29" s="529">
        <f>IFERROR(($AE29/K29)^(1/20)-1,"n/a")</f>
        <v>5.4697494023656645E-3</v>
      </c>
    </row>
    <row r="30" spans="1:40" s="663" customFormat="1" ht="11.25" customHeight="1">
      <c r="B30" s="204" t="s">
        <v>20</v>
      </c>
      <c r="C30" s="665"/>
      <c r="D30" s="534">
        <f t="shared" ref="D30:AE30" si="71">IFERROR((D28)/D29,"n/a")</f>
        <v>3.209795100222717</v>
      </c>
      <c r="E30" s="534">
        <f t="shared" si="71"/>
        <v>1.9499267466110528</v>
      </c>
      <c r="F30" s="534">
        <f t="shared" si="71"/>
        <v>2.7208150651465788</v>
      </c>
      <c r="G30" s="534">
        <f t="shared" si="71"/>
        <v>4.7669896322919554</v>
      </c>
      <c r="H30" s="534">
        <f t="shared" si="71"/>
        <v>0.5229378236553206</v>
      </c>
      <c r="I30" s="534">
        <f t="shared" si="71"/>
        <v>1.2219628875520583</v>
      </c>
      <c r="J30" s="534">
        <f t="shared" si="71"/>
        <v>2.1449247656531041</v>
      </c>
      <c r="K30" s="534">
        <f t="shared" si="71"/>
        <v>3.3611471142597167</v>
      </c>
      <c r="L30" s="534">
        <f t="shared" si="71"/>
        <v>3.2428710232433873</v>
      </c>
      <c r="M30" s="534">
        <f t="shared" si="71"/>
        <v>4.3842892040439612</v>
      </c>
      <c r="N30" s="534">
        <f t="shared" si="71"/>
        <v>3.8921430154702912</v>
      </c>
      <c r="O30" s="534">
        <f t="shared" si="71"/>
        <v>3.6087918505398631</v>
      </c>
      <c r="P30" s="534">
        <f t="shared" si="71"/>
        <v>3.1191092828801366</v>
      </c>
      <c r="Q30" s="534">
        <f t="shared" si="71"/>
        <v>5.5533373039200526</v>
      </c>
      <c r="R30" s="534">
        <f t="shared" si="71"/>
        <v>4.7524331711388159</v>
      </c>
      <c r="S30" s="534">
        <f t="shared" si="71"/>
        <v>5.9590851433939793</v>
      </c>
      <c r="T30" s="534">
        <f t="shared" si="71"/>
        <v>7.0726589156351132</v>
      </c>
      <c r="U30" s="534">
        <f t="shared" si="71"/>
        <v>9.9074612295682307</v>
      </c>
      <c r="V30" s="534">
        <f t="shared" si="71"/>
        <v>11.487779444791583</v>
      </c>
      <c r="W30" s="534">
        <f t="shared" si="71"/>
        <v>12.648265117172015</v>
      </c>
      <c r="X30" s="534">
        <f t="shared" si="71"/>
        <v>12.983901928210123</v>
      </c>
      <c r="Y30" s="534">
        <f t="shared" si="71"/>
        <v>13.028347676261472</v>
      </c>
      <c r="Z30" s="534">
        <f t="shared" si="71"/>
        <v>12.776068320299453</v>
      </c>
      <c r="AA30" s="534">
        <f t="shared" si="71"/>
        <v>19.158517993961574</v>
      </c>
      <c r="AB30" s="534">
        <f t="shared" si="71"/>
        <v>21.716771345468118</v>
      </c>
      <c r="AC30" s="534">
        <f t="shared" si="71"/>
        <v>37.493827803735165</v>
      </c>
      <c r="AD30" s="534">
        <f t="shared" si="71"/>
        <v>32.126824114272665</v>
      </c>
      <c r="AE30" s="534">
        <f t="shared" ca="1" si="71"/>
        <v>45.596620056006039</v>
      </c>
      <c r="AF30" s="534">
        <f t="shared" ref="AF30:AG30" ca="1" si="72">IFERROR((AF28)/AF29,"n/a")</f>
        <v>57.367000569594353</v>
      </c>
      <c r="AG30" s="534">
        <f t="shared" ca="1" si="72"/>
        <v>63.416317186659917</v>
      </c>
      <c r="AH30" s="200"/>
      <c r="AI30" s="200"/>
      <c r="AJ30" s="659"/>
      <c r="AK30" s="499">
        <f ca="1">($AE30/Z30)^(1/5)-1</f>
        <v>0.28975459874926202</v>
      </c>
      <c r="AL30" s="499">
        <f ca="1">($AE30/U30)^(1/10)-1</f>
        <v>0.16492248221897698</v>
      </c>
      <c r="AM30" s="499">
        <f ca="1">($AE30/P30)^(1/15)-1</f>
        <v>0.19580437308194432</v>
      </c>
      <c r="AN30" s="499">
        <f ca="1">($AE30/K30)^(1/20)-1</f>
        <v>0.13925844473294258</v>
      </c>
    </row>
    <row r="31" spans="1:40" s="663" customFormat="1" ht="11.25" customHeight="1">
      <c r="B31" s="36" t="s">
        <v>249</v>
      </c>
      <c r="D31" s="40" t="str">
        <f t="shared" ref="D31" si="73">IFERROR(IF(AND(D30&gt;0,C30&gt;0),D30/C30-1,"n/m"),"n/a")</f>
        <v>n/m</v>
      </c>
      <c r="E31" s="40">
        <f t="shared" ref="E31" si="74">IFERROR(IF(AND(E30&gt;0,D30&gt;0),E30/D30-1,"n/m"),"n/a")</f>
        <v>-0.39250740756761893</v>
      </c>
      <c r="F31" s="40">
        <f t="shared" ref="F31" si="75">IFERROR(IF(AND(F30&gt;0,E30&gt;0),F30/E30-1,"n/m"),"n/a")</f>
        <v>0.39534219420053596</v>
      </c>
      <c r="G31" s="40">
        <f t="shared" ref="G31" si="76">IFERROR(IF(AND(G30&gt;0,F30&gt;0),G30/F30-1,"n/m"),"n/a")</f>
        <v>0.75204470651339284</v>
      </c>
      <c r="H31" s="40">
        <f t="shared" ref="H31" si="77">IFERROR(IF(AND(H30&gt;0,G30&gt;0),H30/G30-1,"n/m"),"n/a")</f>
        <v>-0.89030019698115148</v>
      </c>
      <c r="I31" s="40">
        <f t="shared" ref="I31" si="78">IFERROR(IF(AND(I30&gt;0,H30&gt;0),I30/H30-1,"n/m"),"n/a")</f>
        <v>1.3367269152775605</v>
      </c>
      <c r="J31" s="40">
        <f t="shared" ref="J31" si="79">IFERROR(IF(AND(J30&gt;0,I30&gt;0),J30/I30-1,"n/m"),"n/a")</f>
        <v>0.75531089160162868</v>
      </c>
      <c r="K31" s="40">
        <f t="shared" ref="K31" si="80">IFERROR(IF(AND(K30&gt;0,J30&gt;0),K30/J30-1,"n/m"),"n/a")</f>
        <v>0.56702331386261351</v>
      </c>
      <c r="L31" s="40">
        <f t="shared" ref="L31" si="81">IFERROR(IF(AND(L30&gt;0,K30&gt;0),L30/K30-1,"n/m"),"n/a")</f>
        <v>-3.5189203862735274E-2</v>
      </c>
      <c r="M31" s="40">
        <f t="shared" ref="M31" si="82">IFERROR(IF(AND(M30&gt;0,L30&gt;0),M30/L30-1,"n/m"),"n/a")</f>
        <v>0.35197766812784748</v>
      </c>
      <c r="N31" s="40">
        <f t="shared" ref="N31" si="83">IFERROR(IF(AND(N30&gt;0,M30&gt;0),N30/M30-1,"n/m"),"n/a")</f>
        <v>-0.11225221824320497</v>
      </c>
      <c r="O31" s="40">
        <f t="shared" ref="O31" si="84">IFERROR(IF(AND(O30&gt;0,N30&gt;0),O30/N30-1,"n/m"),"n/a")</f>
        <v>-7.2800810197410137E-2</v>
      </c>
      <c r="P31" s="40">
        <f t="shared" ref="P31" si="85">IFERROR(IF(AND(P30&gt;0,O30&gt;0),P30/O30-1,"n/m"),"n/a")</f>
        <v>-0.13569155217042284</v>
      </c>
      <c r="Q31" s="40">
        <f t="shared" ref="Q31" si="86">IFERROR(IF(AND(Q30&gt;0,P30&gt;0),Q30/P30-1,"n/m"),"n/a")</f>
        <v>0.78042408914643357</v>
      </c>
      <c r="R31" s="40">
        <f t="shared" ref="R31" si="87">IFERROR(IF(AND(R30&gt;0,Q30&gt;0),R30/Q30-1,"n/m"),"n/a")</f>
        <v>-0.14422032895712733</v>
      </c>
      <c r="S31" s="40">
        <f t="shared" ref="S31" si="88">IFERROR(IF(AND(S30&gt;0,R30&gt;0),S30/R30-1,"n/m"),"n/a")</f>
        <v>0.25390193376796422</v>
      </c>
      <c r="T31" s="40">
        <f t="shared" ref="T31" si="89">IFERROR(IF(AND(T30&gt;0,S30&gt;0),T30/S30-1,"n/m"),"n/a")</f>
        <v>0.18686992137972736</v>
      </c>
      <c r="U31" s="40">
        <f t="shared" ref="U31" si="90">IFERROR(IF(AND(U30&gt;0,T30&gt;0),U30/T30-1,"n/m"),"n/a")</f>
        <v>0.40081139890209982</v>
      </c>
      <c r="V31" s="40">
        <f t="shared" ref="V31" si="91">IFERROR(IF(AND(V30&gt;0,U30&gt;0),V30/U30-1,"n/m"),"n/a")</f>
        <v>0.15950788790441961</v>
      </c>
      <c r="W31" s="40">
        <f t="shared" ref="W31" si="92">IFERROR(IF(AND(W30&gt;0,V30&gt;0),W30/V30-1,"n/m"),"n/a")</f>
        <v>0.10101914629868536</v>
      </c>
      <c r="X31" s="40">
        <f t="shared" ref="X31" si="93">IFERROR(IF(AND(X30&gt;0,W30&gt;0),X30/W30-1,"n/m"),"n/a")</f>
        <v>2.6536193535541042E-2</v>
      </c>
      <c r="Y31" s="40">
        <f t="shared" ref="Y31" si="94">IFERROR(IF(AND(Y30&gt;0,X30&gt;0),Y30/X30-1,"n/m"),"n/a")</f>
        <v>3.4231426189981207E-3</v>
      </c>
      <c r="Z31" s="40">
        <f t="shared" ref="Z31" si="95">IFERROR(IF(AND(Z30&gt;0,Y30&gt;0),Z30/Y30-1,"n/m"),"n/a")</f>
        <v>-1.9363879613198298E-2</v>
      </c>
      <c r="AA31" s="40">
        <f t="shared" ref="AA31" si="96">IFERROR(IF(AND(AA30&gt;0,Z30&gt;0),AA30/Z30-1,"n/m"),"n/a")</f>
        <v>0.49956289475387883</v>
      </c>
      <c r="AB31" s="40">
        <f t="shared" ref="AB31" si="97">IFERROR(IF(AND(AB30&gt;0,AA30&gt;0),AB30/AA30-1,"n/m"),"n/a")</f>
        <v>0.13353085830088007</v>
      </c>
      <c r="AC31" s="40">
        <f t="shared" ref="AC31" si="98">IFERROR(IF(AND(AC30&gt;0,AB30&gt;0),AC30/AB30-1,"n/m"),"n/a")</f>
        <v>0.72649180705949745</v>
      </c>
      <c r="AD31" s="40">
        <f t="shared" ref="AD31" si="99">IFERROR(IF(AND(AD30&gt;0,AC30&gt;0),AD30/AC30-1,"n/m"),"n/a")</f>
        <v>-0.14314365867247714</v>
      </c>
      <c r="AE31" s="40">
        <f t="shared" ref="AE31:AG31" ca="1" si="100">IFERROR(IF(AND(AE30&gt;0,AD30&gt;0),AE30/AD30-1,"n/m"),"n/a")</f>
        <v>0.41926945202620503</v>
      </c>
      <c r="AF31" s="40">
        <f t="shared" ca="1" si="100"/>
        <v>0.25814151354049564</v>
      </c>
      <c r="AG31" s="40">
        <f t="shared" ca="1" si="100"/>
        <v>0.10544941441947753</v>
      </c>
      <c r="AH31" s="40"/>
      <c r="AI31" s="40"/>
      <c r="AJ31" s="659"/>
    </row>
    <row r="32" spans="1:40" s="663" customFormat="1" ht="11.25" customHeight="1">
      <c r="B32" s="41"/>
      <c r="D32" s="666"/>
      <c r="E32" s="666"/>
      <c r="F32" s="666"/>
      <c r="G32" s="666"/>
      <c r="H32" s="666"/>
      <c r="I32" s="666"/>
      <c r="J32" s="666"/>
      <c r="K32" s="666"/>
      <c r="L32" s="666"/>
      <c r="M32" s="666"/>
      <c r="N32" s="666"/>
      <c r="O32" s="666"/>
      <c r="P32" s="666"/>
      <c r="Q32" s="666"/>
      <c r="R32" s="666"/>
      <c r="S32" s="666"/>
      <c r="T32" s="666"/>
      <c r="U32" s="666"/>
      <c r="V32" s="666"/>
      <c r="W32" s="666"/>
      <c r="X32" s="666"/>
      <c r="Y32" s="666"/>
      <c r="Z32" s="666"/>
      <c r="AA32" s="666"/>
      <c r="AB32" s="666"/>
      <c r="AC32" s="666"/>
      <c r="AD32" s="666"/>
      <c r="AE32" s="666"/>
      <c r="AF32" s="666"/>
      <c r="AG32" s="666"/>
      <c r="AH32" s="666"/>
      <c r="AI32" s="666"/>
      <c r="AJ32" s="659"/>
    </row>
    <row r="33" spans="2:40" s="663" customFormat="1" ht="11.25" customHeight="1">
      <c r="B33" s="161" t="s">
        <v>21</v>
      </c>
      <c r="D33" s="659"/>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20"/>
      <c r="AG33" s="120"/>
      <c r="AH33" s="120"/>
      <c r="AI33" s="120"/>
      <c r="AJ33" s="659"/>
    </row>
    <row r="34" spans="2:40" s="663" customFormat="1" ht="11.25" customHeight="1">
      <c r="B34" s="128" t="s">
        <v>253</v>
      </c>
      <c r="C34" s="55"/>
      <c r="D34" s="44">
        <f>D17</f>
        <v>14.928000000000001</v>
      </c>
      <c r="E34" s="44">
        <f t="shared" ref="E34:AE34" si="101">E17</f>
        <v>13.807999999999996</v>
      </c>
      <c r="F34" s="44">
        <f t="shared" si="101"/>
        <v>24.829999999999991</v>
      </c>
      <c r="G34" s="44">
        <f t="shared" si="101"/>
        <v>61.295000000000002</v>
      </c>
      <c r="H34" s="44">
        <f t="shared" si="101"/>
        <v>12.778000000000013</v>
      </c>
      <c r="I34" s="44">
        <f t="shared" si="101"/>
        <v>31.588999999999984</v>
      </c>
      <c r="J34" s="44">
        <f t="shared" si="101"/>
        <v>51.301000000000016</v>
      </c>
      <c r="K34" s="44">
        <f t="shared" si="101"/>
        <v>88.482000000000014</v>
      </c>
      <c r="L34" s="44">
        <f t="shared" si="101"/>
        <v>90.968000000000004</v>
      </c>
      <c r="M34" s="44">
        <f t="shared" si="101"/>
        <v>127.26499999999996</v>
      </c>
      <c r="N34" s="44">
        <f t="shared" si="101"/>
        <v>111.72199999999999</v>
      </c>
      <c r="O34" s="44">
        <f t="shared" si="101"/>
        <v>104.43500000000003</v>
      </c>
      <c r="P34" s="44">
        <f t="shared" si="101"/>
        <v>91.962000000000018</v>
      </c>
      <c r="Q34" s="44">
        <f t="shared" si="101"/>
        <v>159.17500000000001</v>
      </c>
      <c r="R34" s="44">
        <f t="shared" si="101"/>
        <v>141.55700000000002</v>
      </c>
      <c r="S34" s="44">
        <f t="shared" si="101"/>
        <v>181.17699999999999</v>
      </c>
      <c r="T34" s="44">
        <f t="shared" si="101"/>
        <v>209.42899999999997</v>
      </c>
      <c r="U34" s="44">
        <f t="shared" si="101"/>
        <v>295.87000000000006</v>
      </c>
      <c r="V34" s="44">
        <f t="shared" si="101"/>
        <v>320.048</v>
      </c>
      <c r="W34" s="44">
        <f t="shared" si="101"/>
        <v>377.95799999999997</v>
      </c>
      <c r="X34" s="44">
        <f t="shared" si="101"/>
        <v>385.55899999999991</v>
      </c>
      <c r="Y34" s="44">
        <f t="shared" si="101"/>
        <v>383.62355700000001</v>
      </c>
      <c r="Z34" s="44">
        <f t="shared" si="101"/>
        <v>372.70144800000014</v>
      </c>
      <c r="AA34" s="44">
        <f t="shared" si="101"/>
        <v>566.78381100000001</v>
      </c>
      <c r="AB34" s="44">
        <f t="shared" si="101"/>
        <v>649.98103699999967</v>
      </c>
      <c r="AC34" s="44">
        <f t="shared" si="101"/>
        <v>1121.2792920000002</v>
      </c>
      <c r="AD34" s="44">
        <f t="shared" si="101"/>
        <v>921.46599999999989</v>
      </c>
      <c r="AE34" s="44">
        <f t="shared" ca="1" si="101"/>
        <v>1305.3836868813955</v>
      </c>
      <c r="AF34" s="44">
        <f t="shared" ref="AF34:AG34" ca="1" si="102">AF17</f>
        <v>1613.9419060153559</v>
      </c>
      <c r="AG34" s="44">
        <f t="shared" ca="1" si="102"/>
        <v>1935.1406788158954</v>
      </c>
      <c r="AH34" s="44"/>
      <c r="AI34" s="44"/>
      <c r="AJ34" s="5"/>
      <c r="AK34" s="500">
        <f ca="1">IFERROR(($AE34/Z34)^(1/5)-1,"n/a")</f>
        <v>0.28491802118369769</v>
      </c>
      <c r="AL34" s="500">
        <f ca="1">IFERROR(($AE34/U34)^(1/10)-1,"n/a")</f>
        <v>0.16001532017866515</v>
      </c>
      <c r="AM34" s="500">
        <f ca="1">IFERROR(($AE34/P34)^(1/15)-1,"n/a")</f>
        <v>0.1934621538623793</v>
      </c>
      <c r="AN34" s="500">
        <f ca="1">IFERROR(($AE34/K34)^(1/20)-1,"n/a")</f>
        <v>0.14404777951883529</v>
      </c>
    </row>
    <row r="35" spans="2:40" s="663" customFormat="1" ht="13.5" customHeight="1">
      <c r="B35" s="664" t="s">
        <v>72</v>
      </c>
      <c r="D35" s="210">
        <f>('Historical Financials'!AC70/1000)*1000</f>
        <v>9.782</v>
      </c>
      <c r="E35" s="210">
        <f>('Historical Financials'!AD70/1000)*1000</f>
        <v>15.295</v>
      </c>
      <c r="F35" s="210">
        <f>('Historical Financials'!AE70/1000)*1000</f>
        <v>21.417000000000002</v>
      </c>
      <c r="G35" s="210">
        <f>('Historical Financials'!AF70/1000)*1000</f>
        <v>41.445999999999998</v>
      </c>
      <c r="H35" s="210">
        <f>('Historical Financials'!AG70/1000)*1000</f>
        <v>55.323</v>
      </c>
      <c r="I35" s="210">
        <f>('Historical Financials'!AH70/1000)*1000</f>
        <v>65.001000000000005</v>
      </c>
      <c r="J35" s="210">
        <f>('Historical Financials'!AI70/1000)*1000</f>
        <v>69.161000000000001</v>
      </c>
      <c r="K35" s="210">
        <f>('Historical Financials'!AJ70/1000)*1000</f>
        <v>69.817999999999998</v>
      </c>
      <c r="L35" s="210">
        <f>('Historical Financials'!AK70/1000)*1000</f>
        <v>75.649000000000001</v>
      </c>
      <c r="M35" s="210">
        <f>('Historical Financials'!AL70/1000)*1000</f>
        <v>73.715000000000003</v>
      </c>
      <c r="N35" s="210">
        <f>('Historical Financials'!AM70/1000)*1000</f>
        <v>80.004999999999995</v>
      </c>
      <c r="O35" s="210">
        <f>('Historical Financials'!AN70/1000)*1000</f>
        <v>81.512</v>
      </c>
      <c r="P35" s="210">
        <f>('Historical Financials'!AO70/1000)*1000</f>
        <v>80.814999999999998</v>
      </c>
      <c r="Q35" s="210">
        <f>('Historical Financials'!AP70/1000)*1000</f>
        <v>87.81</v>
      </c>
      <c r="R35" s="210">
        <f>('Historical Financials'!AQ70/1000)*1000</f>
        <v>107.682</v>
      </c>
      <c r="S35" s="210">
        <f>('Historical Financials'!AR70/1000)*1000</f>
        <v>131.34899999999999</v>
      </c>
      <c r="T35" s="210">
        <f>('Historical Financials'!AS70/1000)*1000</f>
        <v>156.18199999999999</v>
      </c>
      <c r="U35" s="210">
        <f>('Historical Financials'!AT70/1000)*1000</f>
        <v>200.25200000000001</v>
      </c>
      <c r="V35" s="210">
        <f>('Historical Financials'!AU70/1000)*1000</f>
        <v>222.506</v>
      </c>
      <c r="W35" s="210">
        <f>('Historical Financials'!AV70/1000)*1000</f>
        <v>223.828</v>
      </c>
      <c r="X35" s="210">
        <f>('Historical Financials'!AW70/1000)*1000</f>
        <v>260.14299999999997</v>
      </c>
      <c r="Y35" s="210">
        <f>('Historical Financials'!AX70/1000)*1000</f>
        <v>292.54599999999999</v>
      </c>
      <c r="Z35" s="210">
        <f>('Historical Financials'!AY70/1000)*1000</f>
        <v>286.88400000000001</v>
      </c>
      <c r="AA35" s="210">
        <f>('Historical Financials'!AZ70/1000)*1000</f>
        <v>331.72500000000002</v>
      </c>
      <c r="AB35" s="210">
        <f>('Historical Financials'!BA70/1000)*1000</f>
        <v>422.39499999999998</v>
      </c>
      <c r="AC35" s="210">
        <f>('Historical Financials'!BB70/1000)*1000</f>
        <v>437.25400000000002</v>
      </c>
      <c r="AD35" s="210">
        <f>('Historical Financials'!BC70/1000)*1000</f>
        <v>532.19100000000003</v>
      </c>
      <c r="AE35" s="210">
        <f ca="1">('Historical Financials'!BD70/1000)*1000</f>
        <v>690.48107587941229</v>
      </c>
      <c r="AF35" s="210">
        <f ca="1">('Historical Financials'!BE70/1000)*1000</f>
        <v>809.73824913179919</v>
      </c>
      <c r="AG35" s="210">
        <f ca="1">+'Simple Model (A)'!L51</f>
        <v>890.32920797869042</v>
      </c>
      <c r="AH35" s="210"/>
      <c r="AI35" s="210"/>
      <c r="AJ35" s="659"/>
      <c r="AK35" s="529">
        <f ca="1">IFERROR(($AE35/Z35)^(1/5)-1,"n/a")</f>
        <v>0.19203522888482305</v>
      </c>
      <c r="AL35" s="529">
        <f ca="1">IFERROR(($AE35/U35)^(1/10)-1,"n/a")</f>
        <v>0.13176821219037915</v>
      </c>
      <c r="AM35" s="529">
        <f ca="1">IFERROR(($AE35/P35)^(1/15)-1,"n/a")</f>
        <v>0.15374718267563137</v>
      </c>
      <c r="AN35" s="529">
        <f ca="1">IFERROR(($AE35/K35)^(1/20)-1,"n/a")</f>
        <v>0.12139655819003825</v>
      </c>
    </row>
    <row r="36" spans="2:40" s="663" customFormat="1" ht="11.25" customHeight="1">
      <c r="B36" s="204" t="s">
        <v>18</v>
      </c>
      <c r="C36" s="665"/>
      <c r="D36" s="206">
        <f t="shared" ref="D36:AE36" si="103">D34+D35</f>
        <v>24.71</v>
      </c>
      <c r="E36" s="206">
        <f t="shared" si="103"/>
        <v>29.102999999999994</v>
      </c>
      <c r="F36" s="206">
        <f t="shared" si="103"/>
        <v>46.246999999999993</v>
      </c>
      <c r="G36" s="206">
        <f t="shared" si="103"/>
        <v>102.741</v>
      </c>
      <c r="H36" s="206">
        <f t="shared" si="103"/>
        <v>68.101000000000013</v>
      </c>
      <c r="I36" s="206">
        <f t="shared" si="103"/>
        <v>96.589999999999989</v>
      </c>
      <c r="J36" s="206">
        <f t="shared" si="103"/>
        <v>120.46200000000002</v>
      </c>
      <c r="K36" s="206">
        <f t="shared" si="103"/>
        <v>158.30000000000001</v>
      </c>
      <c r="L36" s="206">
        <f t="shared" si="103"/>
        <v>166.61700000000002</v>
      </c>
      <c r="M36" s="206">
        <f t="shared" si="103"/>
        <v>200.97999999999996</v>
      </c>
      <c r="N36" s="206">
        <f t="shared" si="103"/>
        <v>191.72699999999998</v>
      </c>
      <c r="O36" s="206">
        <f t="shared" si="103"/>
        <v>185.94700000000003</v>
      </c>
      <c r="P36" s="206">
        <f t="shared" si="103"/>
        <v>172.77700000000002</v>
      </c>
      <c r="Q36" s="206">
        <f t="shared" si="103"/>
        <v>246.98500000000001</v>
      </c>
      <c r="R36" s="206">
        <f t="shared" si="103"/>
        <v>249.23900000000003</v>
      </c>
      <c r="S36" s="206">
        <f t="shared" si="103"/>
        <v>312.52599999999995</v>
      </c>
      <c r="T36" s="206">
        <f t="shared" si="103"/>
        <v>365.61099999999999</v>
      </c>
      <c r="U36" s="206">
        <f t="shared" si="103"/>
        <v>496.12200000000007</v>
      </c>
      <c r="V36" s="206">
        <f t="shared" si="103"/>
        <v>542.55399999999997</v>
      </c>
      <c r="W36" s="206">
        <f t="shared" si="103"/>
        <v>601.78599999999994</v>
      </c>
      <c r="X36" s="206">
        <f t="shared" si="103"/>
        <v>645.70199999999988</v>
      </c>
      <c r="Y36" s="206">
        <f t="shared" si="103"/>
        <v>676.16955699999994</v>
      </c>
      <c r="Z36" s="206">
        <f t="shared" si="103"/>
        <v>659.58544800000016</v>
      </c>
      <c r="AA36" s="206">
        <f t="shared" si="103"/>
        <v>898.50881100000004</v>
      </c>
      <c r="AB36" s="206">
        <f t="shared" si="103"/>
        <v>1072.3760369999995</v>
      </c>
      <c r="AC36" s="206">
        <f t="shared" si="103"/>
        <v>1558.5332920000001</v>
      </c>
      <c r="AD36" s="206">
        <f t="shared" si="103"/>
        <v>1453.6569999999999</v>
      </c>
      <c r="AE36" s="206">
        <f t="shared" ca="1" si="103"/>
        <v>1995.8647627608079</v>
      </c>
      <c r="AF36" s="206">
        <f t="shared" ref="AF36:AG36" ca="1" si="104">AF34+AF35</f>
        <v>2423.6801551471553</v>
      </c>
      <c r="AG36" s="206">
        <f t="shared" ca="1" si="104"/>
        <v>2825.4698867945858</v>
      </c>
      <c r="AH36" s="117"/>
      <c r="AI36" s="117"/>
      <c r="AJ36" s="659"/>
      <c r="AK36" s="499">
        <f ca="1">($AE36/Z36)^(1/5)-1</f>
        <v>0.24787765759959046</v>
      </c>
      <c r="AL36" s="499">
        <f ca="1">($AE36/U36)^(1/10)-1</f>
        <v>0.14935519327425251</v>
      </c>
      <c r="AM36" s="499">
        <f ca="1">($AE36/P36)^(1/15)-1</f>
        <v>0.17718037185505153</v>
      </c>
      <c r="AN36" s="499">
        <f ca="1">($AE36/K36)^(1/20)-1</f>
        <v>0.1350957818614813</v>
      </c>
    </row>
    <row r="37" spans="2:40" s="663" customFormat="1" ht="13.5" customHeight="1">
      <c r="B37" s="664" t="s">
        <v>363</v>
      </c>
      <c r="D37" s="210">
        <f>('Historical Financials'!AC72/1000)*1000</f>
        <v>38.648000000000003</v>
      </c>
      <c r="E37" s="210">
        <f>('Historical Financials'!AD72/1000)*1000</f>
        <v>41.113999999999997</v>
      </c>
      <c r="F37" s="210">
        <f>('Historical Financials'!AE72/1000)*1000</f>
        <v>38.484999999999999</v>
      </c>
      <c r="G37" s="210">
        <f>('Historical Financials'!AF72/1000)*1000</f>
        <v>103.762</v>
      </c>
      <c r="H37" s="210">
        <f>('Historical Financials'!AG72/1000)*1000</f>
        <v>70.200999999999993</v>
      </c>
      <c r="I37" s="210">
        <f>('Historical Financials'!AH72/1000)*1000</f>
        <v>55.234999999999999</v>
      </c>
      <c r="J37" s="210">
        <f>('Historical Financials'!AI72/1000)*1000</f>
        <v>37.871000000000002</v>
      </c>
      <c r="K37" s="210">
        <f>('Historical Financials'!AJ72/1000)*1000</f>
        <v>81.094999999999999</v>
      </c>
      <c r="L37" s="210">
        <f>('Historical Financials'!AK72/1000)*1000</f>
        <v>79.879000000000005</v>
      </c>
      <c r="M37" s="210">
        <f>('Historical Financials'!AL72/1000)*1000</f>
        <v>78.736999999999995</v>
      </c>
      <c r="N37" s="210">
        <f>('Historical Financials'!AM72/1000)*1000</f>
        <v>84.001000000000005</v>
      </c>
      <c r="O37" s="210">
        <f>('Historical Financials'!AN72/1000)*1000</f>
        <v>59.222999999999999</v>
      </c>
      <c r="P37" s="210">
        <f>('Historical Financials'!AO72/1000)*1000</f>
        <v>87.784999999999997</v>
      </c>
      <c r="Q37" s="210">
        <f>('Historical Financials'!AP72/1000)*1000</f>
        <v>186.94399999999999</v>
      </c>
      <c r="R37" s="210">
        <f>('Historical Financials'!AQ72/1000)*1000</f>
        <v>213.96299999999999</v>
      </c>
      <c r="S37" s="210">
        <f>('Historical Financials'!AR72/1000)*1000</f>
        <v>246.137</v>
      </c>
      <c r="T37" s="210">
        <f>('Historical Financials'!AS72/1000)*1000</f>
        <v>287.59500000000003</v>
      </c>
      <c r="U37" s="210">
        <f>('Historical Financials'!AT72/1000)*1000</f>
        <v>288.54000000000002</v>
      </c>
      <c r="V37" s="210">
        <f>('Historical Financials'!AU72/1000)*1000</f>
        <v>257.517</v>
      </c>
      <c r="W37" s="210">
        <f>('Historical Financials'!AV72/1000)*1000</f>
        <v>328.04500000000002</v>
      </c>
      <c r="X37" s="210">
        <f>('Historical Financials'!AW72/1000)*1000</f>
        <v>330.58800000000002</v>
      </c>
      <c r="Y37" s="210">
        <f>('Historical Financials'!AX72/1000)*1000</f>
        <v>315.58199999999999</v>
      </c>
      <c r="Z37" s="210">
        <f>('Historical Financials'!AY72/1000)*1000</f>
        <v>460.42200000000003</v>
      </c>
      <c r="AA37" s="210">
        <f>('Historical Financials'!AZ72/1000)*1000</f>
        <v>507.23899999999998</v>
      </c>
      <c r="AB37" s="210">
        <f>('Historical Financials'!BA72/1000)*1000</f>
        <v>839.19600000000003</v>
      </c>
      <c r="AC37" s="210">
        <f>('Historical Financials'!BB72/1000)*1000</f>
        <v>1082.672</v>
      </c>
      <c r="AD37" s="210">
        <f>('Historical Financials'!BC72/1000)*1000</f>
        <v>949.81700000000001</v>
      </c>
      <c r="AE37" s="210">
        <f ca="1">('Historical Financials'!BD72/1000)*1000</f>
        <v>990.18415175882456</v>
      </c>
      <c r="AF37" s="210">
        <f ca="1">('Historical Financials'!BE72/1000)*1000</f>
        <v>1243.6496987444702</v>
      </c>
      <c r="AG37" s="210">
        <f ca="1">+'Simple Model (A)'!L59</f>
        <v>1492.5385520032753</v>
      </c>
      <c r="AH37" s="210"/>
      <c r="AI37" s="210"/>
      <c r="AJ37" s="659"/>
      <c r="AK37" s="529">
        <f ca="1">IFERROR(($AE37/Z37)^(1/5)-1,"n/a")</f>
        <v>0.16549920279792962</v>
      </c>
      <c r="AL37" s="529">
        <f ca="1">IFERROR(($AE37/U37)^(1/10)-1,"n/a")</f>
        <v>0.1312302092790989</v>
      </c>
      <c r="AM37" s="529">
        <f ca="1">IFERROR(($AE37/P37)^(1/15)-1,"n/a")</f>
        <v>0.17531165763418377</v>
      </c>
      <c r="AN37" s="529">
        <f ca="1">IFERROR(($AE37/K37)^(1/20)-1,"n/a")</f>
        <v>0.13327705179319804</v>
      </c>
    </row>
    <row r="38" spans="2:40" s="663" customFormat="1" ht="11.25" customHeight="1">
      <c r="B38" s="204" t="s">
        <v>724</v>
      </c>
      <c r="C38" s="665"/>
      <c r="D38" s="206">
        <f t="shared" ref="D38:AE38" si="105">D36-D37</f>
        <v>-13.938000000000002</v>
      </c>
      <c r="E38" s="206">
        <f t="shared" si="105"/>
        <v>-12.011000000000003</v>
      </c>
      <c r="F38" s="206">
        <f t="shared" si="105"/>
        <v>7.7619999999999933</v>
      </c>
      <c r="G38" s="206">
        <f t="shared" si="105"/>
        <v>-1.0210000000000008</v>
      </c>
      <c r="H38" s="206">
        <f t="shared" si="105"/>
        <v>-2.0999999999999801</v>
      </c>
      <c r="I38" s="206">
        <f t="shared" si="105"/>
        <v>41.35499999999999</v>
      </c>
      <c r="J38" s="206">
        <f t="shared" si="105"/>
        <v>82.591000000000008</v>
      </c>
      <c r="K38" s="206">
        <f t="shared" si="105"/>
        <v>77.205000000000013</v>
      </c>
      <c r="L38" s="206">
        <f t="shared" si="105"/>
        <v>86.738000000000014</v>
      </c>
      <c r="M38" s="206">
        <f t="shared" si="105"/>
        <v>122.24299999999997</v>
      </c>
      <c r="N38" s="206">
        <f t="shared" si="105"/>
        <v>107.72599999999997</v>
      </c>
      <c r="O38" s="206">
        <f t="shared" si="105"/>
        <v>126.72400000000003</v>
      </c>
      <c r="P38" s="206">
        <f t="shared" si="105"/>
        <v>84.992000000000019</v>
      </c>
      <c r="Q38" s="206">
        <f t="shared" si="105"/>
        <v>60.041000000000025</v>
      </c>
      <c r="R38" s="206">
        <f t="shared" si="105"/>
        <v>35.276000000000039</v>
      </c>
      <c r="S38" s="206">
        <f t="shared" si="105"/>
        <v>66.388999999999953</v>
      </c>
      <c r="T38" s="206">
        <f t="shared" si="105"/>
        <v>78.015999999999963</v>
      </c>
      <c r="U38" s="206">
        <f t="shared" si="105"/>
        <v>207.58200000000005</v>
      </c>
      <c r="V38" s="206">
        <f t="shared" si="105"/>
        <v>285.03699999999998</v>
      </c>
      <c r="W38" s="206">
        <f t="shared" si="105"/>
        <v>273.74099999999993</v>
      </c>
      <c r="X38" s="206">
        <f t="shared" si="105"/>
        <v>315.11399999999986</v>
      </c>
      <c r="Y38" s="206">
        <f t="shared" si="105"/>
        <v>360.58755699999995</v>
      </c>
      <c r="Z38" s="206">
        <f t="shared" si="105"/>
        <v>199.16344800000013</v>
      </c>
      <c r="AA38" s="206">
        <f t="shared" si="105"/>
        <v>391.26981100000006</v>
      </c>
      <c r="AB38" s="206">
        <f t="shared" si="105"/>
        <v>233.18003699999952</v>
      </c>
      <c r="AC38" s="206">
        <f t="shared" si="105"/>
        <v>475.86129200000005</v>
      </c>
      <c r="AD38" s="206">
        <f t="shared" si="105"/>
        <v>503.83999999999992</v>
      </c>
      <c r="AE38" s="206">
        <f t="shared" ca="1" si="105"/>
        <v>1005.6806110019834</v>
      </c>
      <c r="AF38" s="206">
        <f t="shared" ref="AF38:AG38" ca="1" si="106">AF36-AF37</f>
        <v>1180.0304564026851</v>
      </c>
      <c r="AG38" s="206">
        <f t="shared" ca="1" si="106"/>
        <v>1332.9313347913105</v>
      </c>
      <c r="AH38" s="117"/>
      <c r="AI38" s="117"/>
      <c r="AJ38" s="659"/>
      <c r="AK38" s="499">
        <f ca="1">($AE38/Z38)^(1/5)-1</f>
        <v>0.38245208607568504</v>
      </c>
      <c r="AL38" s="499">
        <f ca="1">($AE38/U38)^(1/10)-1</f>
        <v>0.17091949975743392</v>
      </c>
      <c r="AM38" s="499">
        <f ca="1">($AE38/P38)^(1/15)-1</f>
        <v>0.17906786192437729</v>
      </c>
      <c r="AN38" s="499">
        <f ca="1">($AE38/K38)^(1/20)-1</f>
        <v>0.13694834152265978</v>
      </c>
    </row>
    <row r="39" spans="2:40" s="663" customFormat="1" ht="11.25" customHeight="1">
      <c r="B39" s="36" t="s">
        <v>249</v>
      </c>
      <c r="D39" s="67" t="str">
        <f>IF(AND(D38&gt;0,C38&gt;0),D38/C38-1,"n/m")</f>
        <v>n/m</v>
      </c>
      <c r="E39" s="67" t="str">
        <f t="shared" ref="E39:AG39" si="107">IF(AND(E38&gt;0,D38&gt;0),E38/D38-1,"n/m")</f>
        <v>n/m</v>
      </c>
      <c r="F39" s="67" t="str">
        <f t="shared" si="107"/>
        <v>n/m</v>
      </c>
      <c r="G39" s="67" t="str">
        <f t="shared" si="107"/>
        <v>n/m</v>
      </c>
      <c r="H39" s="67" t="str">
        <f t="shared" si="107"/>
        <v>n/m</v>
      </c>
      <c r="I39" s="67" t="str">
        <f t="shared" si="107"/>
        <v>n/m</v>
      </c>
      <c r="J39" s="67">
        <f t="shared" si="107"/>
        <v>0.9971224761213886</v>
      </c>
      <c r="K39" s="67">
        <f t="shared" si="107"/>
        <v>-6.5212916661621656E-2</v>
      </c>
      <c r="L39" s="67">
        <f t="shared" si="107"/>
        <v>0.1234764587785766</v>
      </c>
      <c r="M39" s="67">
        <f t="shared" si="107"/>
        <v>0.4093361617745388</v>
      </c>
      <c r="N39" s="67">
        <f t="shared" si="107"/>
        <v>-0.11875526615020904</v>
      </c>
      <c r="O39" s="67">
        <f t="shared" si="107"/>
        <v>0.17635482613296749</v>
      </c>
      <c r="P39" s="67">
        <f t="shared" si="107"/>
        <v>-0.32931409993371419</v>
      </c>
      <c r="Q39" s="67">
        <f t="shared" si="107"/>
        <v>-0.29356880647590344</v>
      </c>
      <c r="R39" s="67">
        <f t="shared" si="107"/>
        <v>-0.41246814676637589</v>
      </c>
      <c r="S39" s="67">
        <f t="shared" si="107"/>
        <v>0.88198775371356963</v>
      </c>
      <c r="T39" s="67">
        <f t="shared" si="107"/>
        <v>0.17513443492144809</v>
      </c>
      <c r="U39" s="67">
        <f t="shared" si="107"/>
        <v>1.6607618949959</v>
      </c>
      <c r="V39" s="67">
        <f t="shared" si="107"/>
        <v>0.37312965478702353</v>
      </c>
      <c r="W39" s="67">
        <f t="shared" si="107"/>
        <v>-3.9629942779358607E-2</v>
      </c>
      <c r="X39" s="67">
        <f t="shared" si="107"/>
        <v>0.15113921553585308</v>
      </c>
      <c r="Y39" s="67">
        <f t="shared" si="107"/>
        <v>0.14430827256167644</v>
      </c>
      <c r="Z39" s="67">
        <f t="shared" si="107"/>
        <v>-0.44766965988235652</v>
      </c>
      <c r="AA39" s="67">
        <f t="shared" si="107"/>
        <v>0.96456636460722356</v>
      </c>
      <c r="AB39" s="67">
        <f t="shared" si="107"/>
        <v>-0.40404286135942269</v>
      </c>
      <c r="AC39" s="67">
        <f t="shared" si="107"/>
        <v>1.0407462753769141</v>
      </c>
      <c r="AD39" s="67">
        <f t="shared" si="107"/>
        <v>5.8795931651444144E-2</v>
      </c>
      <c r="AE39" s="67">
        <f t="shared" ca="1" si="107"/>
        <v>0.99603169855903362</v>
      </c>
      <c r="AF39" s="67">
        <f t="shared" ca="1" si="107"/>
        <v>0.17336502612593163</v>
      </c>
      <c r="AG39" s="67">
        <f t="shared" ca="1" si="107"/>
        <v>0.12957367122094698</v>
      </c>
      <c r="AH39" s="67"/>
      <c r="AI39" s="67"/>
      <c r="AJ39" s="659"/>
    </row>
    <row r="40" spans="2:40" s="663" customFormat="1" ht="11.25" customHeight="1">
      <c r="B40" s="36" t="s">
        <v>17</v>
      </c>
      <c r="D40" s="136">
        <f>IFERROR(D38/D$10,"n/a")</f>
        <v>-0.31729915541694181</v>
      </c>
      <c r="E40" s="136">
        <f t="shared" ref="E40:AE40" si="108">IFERROR(E38/E$10,"n/a")</f>
        <v>-0.23820951172107421</v>
      </c>
      <c r="F40" s="136">
        <f t="shared" si="108"/>
        <v>0.10623126719312403</v>
      </c>
      <c r="G40" s="136">
        <f t="shared" si="108"/>
        <v>-6.143274888987838E-3</v>
      </c>
      <c r="H40" s="136">
        <f t="shared" si="108"/>
        <v>-1.6681892203201178E-2</v>
      </c>
      <c r="I40" s="136">
        <f t="shared" si="108"/>
        <v>0.25480434501327776</v>
      </c>
      <c r="J40" s="136">
        <f t="shared" si="108"/>
        <v>0.40685822943196204</v>
      </c>
      <c r="K40" s="136">
        <f t="shared" si="108"/>
        <v>0.30015978974624147</v>
      </c>
      <c r="L40" s="136">
        <f t="shared" si="108"/>
        <v>0.32539155553054605</v>
      </c>
      <c r="M40" s="136">
        <f t="shared" si="108"/>
        <v>0.38513013260577106</v>
      </c>
      <c r="N40" s="136">
        <f t="shared" si="108"/>
        <v>0.33389951337445362</v>
      </c>
      <c r="O40" s="136">
        <f t="shared" si="108"/>
        <v>0.38037207571182452</v>
      </c>
      <c r="P40" s="136">
        <f t="shared" si="108"/>
        <v>0.28738562666107625</v>
      </c>
      <c r="Q40" s="136">
        <f t="shared" si="108"/>
        <v>0.14311218530860143</v>
      </c>
      <c r="R40" s="136">
        <f t="shared" si="108"/>
        <v>8.2597914681290061E-2</v>
      </c>
      <c r="S40" s="136">
        <f t="shared" si="108"/>
        <v>0.13101066611412043</v>
      </c>
      <c r="T40" s="136">
        <f t="shared" si="108"/>
        <v>0.13067481374283105</v>
      </c>
      <c r="U40" s="136">
        <f t="shared" si="108"/>
        <v>0.27212947984153252</v>
      </c>
      <c r="V40" s="136">
        <f t="shared" si="108"/>
        <v>0.33792295645390558</v>
      </c>
      <c r="W40" s="136">
        <f t="shared" si="108"/>
        <v>0.28877521525669392</v>
      </c>
      <c r="X40" s="136">
        <f t="shared" si="108"/>
        <v>0.32238474311139109</v>
      </c>
      <c r="Y40" s="136">
        <f t="shared" si="108"/>
        <v>0.34958487743375077</v>
      </c>
      <c r="Z40" s="136">
        <f t="shared" si="108"/>
        <v>0.1861365950090941</v>
      </c>
      <c r="AA40" s="136">
        <f t="shared" si="108"/>
        <v>0.29215486686050818</v>
      </c>
      <c r="AB40" s="136">
        <f t="shared" si="108"/>
        <v>0.14689292438647825</v>
      </c>
      <c r="AC40" s="136">
        <f t="shared" si="108"/>
        <v>0.21019617579764957</v>
      </c>
      <c r="AD40" s="136">
        <f t="shared" si="108"/>
        <v>0.2330719384790742</v>
      </c>
      <c r="AE40" s="136">
        <f t="shared" ca="1" si="108"/>
        <v>0.34834916163524876</v>
      </c>
      <c r="AF40" s="136">
        <f t="shared" ref="AF40:AG40" ca="1" si="109">IFERROR(AF38/AF$10,"n/a")</f>
        <v>0.33209565375032513</v>
      </c>
      <c r="AG40" s="136">
        <f t="shared" ca="1" si="109"/>
        <v>0.31257213862301286</v>
      </c>
      <c r="AH40" s="136"/>
      <c r="AI40" s="136"/>
      <c r="AJ40" s="659"/>
    </row>
    <row r="41" spans="2:40" s="663" customFormat="1" ht="11.25" customHeight="1">
      <c r="B41" s="135" t="s">
        <v>261</v>
      </c>
      <c r="D41" s="136">
        <f>IFERROR(D35/D$10,"n/a")</f>
        <v>0.22268764085869738</v>
      </c>
      <c r="E41" s="136">
        <f t="shared" ref="E41:AE41" si="110">IFERROR(E35/E$10,"n/a")</f>
        <v>0.30333981198683119</v>
      </c>
      <c r="F41" s="136">
        <f t="shared" si="110"/>
        <v>0.29311453871104609</v>
      </c>
      <c r="G41" s="136">
        <f t="shared" si="110"/>
        <v>0.24937724882369219</v>
      </c>
      <c r="H41" s="136">
        <f t="shared" si="110"/>
        <v>0.43947253445605117</v>
      </c>
      <c r="I41" s="136">
        <f t="shared" si="110"/>
        <v>0.40049660815398558</v>
      </c>
      <c r="J41" s="136">
        <f t="shared" si="110"/>
        <v>0.34069961625048645</v>
      </c>
      <c r="K41" s="136">
        <f t="shared" si="110"/>
        <v>0.27144040153491461</v>
      </c>
      <c r="L41" s="136">
        <f t="shared" si="110"/>
        <v>0.28379194567929023</v>
      </c>
      <c r="M41" s="136">
        <f t="shared" si="110"/>
        <v>0.23224125491876363</v>
      </c>
      <c r="N41" s="136">
        <f t="shared" si="110"/>
        <v>0.24797755943340669</v>
      </c>
      <c r="O41" s="136">
        <f t="shared" si="110"/>
        <v>0.24466469362884877</v>
      </c>
      <c r="P41" s="136">
        <f t="shared" si="110"/>
        <v>0.27326182956766371</v>
      </c>
      <c r="Q41" s="136">
        <f t="shared" si="110"/>
        <v>0.20930166039786621</v>
      </c>
      <c r="R41" s="136">
        <f t="shared" si="110"/>
        <v>0.25213484093181388</v>
      </c>
      <c r="S41" s="136">
        <f t="shared" si="110"/>
        <v>0.2592013734718645</v>
      </c>
      <c r="T41" s="136">
        <f t="shared" si="110"/>
        <v>0.26160087366672025</v>
      </c>
      <c r="U41" s="136">
        <f t="shared" si="110"/>
        <v>0.26252022139311959</v>
      </c>
      <c r="V41" s="136">
        <f t="shared" si="110"/>
        <v>0.26378991270864033</v>
      </c>
      <c r="W41" s="136">
        <f t="shared" si="110"/>
        <v>0.23612092773999988</v>
      </c>
      <c r="X41" s="136">
        <f t="shared" si="110"/>
        <v>0.26614537668027011</v>
      </c>
      <c r="Y41" s="136">
        <f t="shared" si="110"/>
        <v>0.28361948594286646</v>
      </c>
      <c r="Z41" s="136">
        <f t="shared" si="110"/>
        <v>0.26811953427613344</v>
      </c>
      <c r="AA41" s="136">
        <f t="shared" si="110"/>
        <v>0.24769371539707691</v>
      </c>
      <c r="AB41" s="136">
        <f t="shared" si="110"/>
        <v>0.2660898316789726</v>
      </c>
      <c r="AC41" s="136">
        <f t="shared" si="110"/>
        <v>0.19314266614529652</v>
      </c>
      <c r="AD41" s="136">
        <f t="shared" si="110"/>
        <v>0.24618686093028938</v>
      </c>
      <c r="AE41" s="136">
        <f t="shared" ca="1" si="110"/>
        <v>0.23916987289628028</v>
      </c>
      <c r="AF41" s="136">
        <f t="shared" ref="AF41:AG41" ca="1" si="111">IFERROR(AF35/AF$10,"n/a")</f>
        <v>0.22788441751905328</v>
      </c>
      <c r="AG41" s="136">
        <f t="shared" ca="1" si="111"/>
        <v>0.20878202601486825</v>
      </c>
      <c r="AH41" s="136"/>
      <c r="AI41" s="136"/>
      <c r="AJ41" s="659"/>
    </row>
    <row r="42" spans="2:40" s="663" customFormat="1" ht="11.25" customHeight="1">
      <c r="B42" s="135" t="s">
        <v>725</v>
      </c>
      <c r="D42" s="136">
        <f>IFERROR(D37/D$10,"n/a")</f>
        <v>0.87982334327406841</v>
      </c>
      <c r="E42" s="136">
        <f t="shared" ref="E42:AE42" si="112">IFERROR(E37/E$10,"n/a")</f>
        <v>0.81539804053786047</v>
      </c>
      <c r="F42" s="136">
        <f t="shared" si="112"/>
        <v>0.52670836355673567</v>
      </c>
      <c r="G42" s="136">
        <f t="shared" si="112"/>
        <v>0.6243276092371749</v>
      </c>
      <c r="H42" s="136">
        <f t="shared" si="112"/>
        <v>0.55765976883663659</v>
      </c>
      <c r="I42" s="136">
        <f t="shared" si="112"/>
        <v>0.34032445887579255</v>
      </c>
      <c r="J42" s="136">
        <f t="shared" si="112"/>
        <v>0.186559407281881</v>
      </c>
      <c r="K42" s="136">
        <f t="shared" si="112"/>
        <v>0.31528344212773068</v>
      </c>
      <c r="L42" s="136">
        <f t="shared" si="112"/>
        <v>0.29966049556393376</v>
      </c>
      <c r="M42" s="136">
        <f t="shared" si="112"/>
        <v>0.24806321221649175</v>
      </c>
      <c r="N42" s="136">
        <f t="shared" si="112"/>
        <v>0.26036326442054369</v>
      </c>
      <c r="O42" s="136">
        <f t="shared" si="112"/>
        <v>0.17776250307661828</v>
      </c>
      <c r="P42" s="136">
        <f t="shared" si="112"/>
        <v>0.2968296691034753</v>
      </c>
      <c r="Q42" s="136">
        <f t="shared" si="112"/>
        <v>0.44559491631270587</v>
      </c>
      <c r="R42" s="136">
        <f t="shared" si="112"/>
        <v>0.50098927369749524</v>
      </c>
      <c r="S42" s="136">
        <f t="shared" si="112"/>
        <v>0.48572161540814413</v>
      </c>
      <c r="T42" s="136">
        <f t="shared" si="112"/>
        <v>0.48171430294259532</v>
      </c>
      <c r="U42" s="136">
        <f t="shared" si="112"/>
        <v>0.37826131414802716</v>
      </c>
      <c r="V42" s="136">
        <f t="shared" si="112"/>
        <v>0.30529687716731657</v>
      </c>
      <c r="W42" s="136">
        <f t="shared" si="112"/>
        <v>0.34606166226061202</v>
      </c>
      <c r="X42" s="136">
        <f t="shared" si="112"/>
        <v>0.33821578049756157</v>
      </c>
      <c r="Y42" s="136">
        <f t="shared" si="112"/>
        <v>0.30595258391098046</v>
      </c>
      <c r="Z42" s="136">
        <f t="shared" si="112"/>
        <v>0.43030678675173906</v>
      </c>
      <c r="AA42" s="136">
        <f t="shared" si="112"/>
        <v>0.37874719271775681</v>
      </c>
      <c r="AB42" s="136">
        <f t="shared" si="112"/>
        <v>0.5286556952276118</v>
      </c>
      <c r="AC42" s="136">
        <f t="shared" si="112"/>
        <v>0.47823497701761553</v>
      </c>
      <c r="AD42" s="136">
        <f t="shared" si="112"/>
        <v>0.43937696369954521</v>
      </c>
      <c r="AE42" s="136">
        <f t="shared" ca="1" si="112"/>
        <v>0.34298147479052493</v>
      </c>
      <c r="AF42" s="136">
        <f t="shared" ref="AF42:AG42" ca="1" si="113">IFERROR(AF37/AF$10,"n/a")</f>
        <v>0.35</v>
      </c>
      <c r="AG42" s="136">
        <f t="shared" ca="1" si="113"/>
        <v>0.35</v>
      </c>
      <c r="AH42" s="136"/>
      <c r="AI42" s="136"/>
      <c r="AJ42" s="659"/>
    </row>
    <row r="43" spans="2:40" s="663" customFormat="1" ht="11.25" customHeight="1">
      <c r="B43" s="35"/>
      <c r="D43" s="659"/>
      <c r="E43" s="120"/>
      <c r="F43" s="120"/>
      <c r="G43" s="120"/>
      <c r="H43" s="120"/>
      <c r="I43" s="120"/>
      <c r="J43" s="120"/>
      <c r="K43" s="120"/>
      <c r="L43" s="120"/>
      <c r="M43" s="120"/>
      <c r="N43" s="120"/>
      <c r="O43" s="120"/>
      <c r="P43" s="120"/>
      <c r="Q43" s="120"/>
      <c r="R43" s="120"/>
      <c r="S43" s="120"/>
      <c r="T43" s="120"/>
      <c r="U43" s="120"/>
      <c r="V43" s="120"/>
      <c r="W43" s="120"/>
      <c r="X43" s="120"/>
      <c r="Y43" s="120"/>
      <c r="Z43" s="120"/>
      <c r="AA43" s="120"/>
      <c r="AB43" s="120"/>
      <c r="AC43" s="120"/>
      <c r="AD43" s="120"/>
      <c r="AE43" s="120"/>
      <c r="AF43" s="120"/>
      <c r="AG43" s="120"/>
      <c r="AH43" s="120"/>
      <c r="AI43" s="120"/>
      <c r="AJ43" s="659"/>
    </row>
    <row r="44" spans="2:40" s="663" customFormat="1" ht="11.25" customHeight="1">
      <c r="B44" s="664" t="s">
        <v>280</v>
      </c>
      <c r="D44" s="667">
        <f>D22</f>
        <v>-4.505600000000004E-2</v>
      </c>
      <c r="E44" s="667">
        <f t="shared" ref="E44:AE44" si="114">E22</f>
        <v>-0.41536799999999996</v>
      </c>
      <c r="F44" s="667">
        <f t="shared" si="114"/>
        <v>-0.60691100000000009</v>
      </c>
      <c r="G44" s="667">
        <f t="shared" si="114"/>
        <v>-0.28273700000000007</v>
      </c>
      <c r="H44" s="667">
        <f t="shared" si="114"/>
        <v>-0.58591099999999985</v>
      </c>
      <c r="I44" s="667">
        <f t="shared" si="114"/>
        <v>-1.111788</v>
      </c>
      <c r="J44" s="667">
        <f t="shared" si="114"/>
        <v>-0.75696600000000014</v>
      </c>
      <c r="K44" s="667">
        <f t="shared" si="114"/>
        <v>0.40960900000000017</v>
      </c>
      <c r="L44" s="667">
        <f t="shared" si="114"/>
        <v>0.34040999999999938</v>
      </c>
      <c r="M44" s="667">
        <f t="shared" si="114"/>
        <v>3.6509999999999998</v>
      </c>
      <c r="N44" s="667">
        <f t="shared" si="114"/>
        <v>4.8094580000000002</v>
      </c>
      <c r="O44" s="667">
        <f t="shared" si="114"/>
        <v>4.7588350000000004</v>
      </c>
      <c r="P44" s="667">
        <f t="shared" si="114"/>
        <v>2.2094459999999998</v>
      </c>
      <c r="Q44" s="667">
        <f t="shared" si="114"/>
        <v>1.2398370000000001</v>
      </c>
      <c r="R44" s="667">
        <f t="shared" si="114"/>
        <v>0.85278899999999991</v>
      </c>
      <c r="S44" s="667">
        <f t="shared" si="114"/>
        <v>0.624614</v>
      </c>
      <c r="T44" s="667">
        <f t="shared" si="114"/>
        <v>-0.81100000000000005</v>
      </c>
      <c r="U44" s="667">
        <f t="shared" si="114"/>
        <v>-0.50600000000000001</v>
      </c>
      <c r="V44" s="667">
        <f t="shared" si="114"/>
        <v>0.93899999999999995</v>
      </c>
      <c r="W44" s="667">
        <f t="shared" si="114"/>
        <v>3.0110000000000001</v>
      </c>
      <c r="X44" s="667">
        <f t="shared" si="114"/>
        <v>6.1340000000000003</v>
      </c>
      <c r="Y44" s="667">
        <f t="shared" si="114"/>
        <v>11.643000000000001</v>
      </c>
      <c r="Z44" s="667">
        <f t="shared" si="114"/>
        <v>12.939</v>
      </c>
      <c r="AA44" s="667">
        <f t="shared" si="114"/>
        <v>6.9370000000000003</v>
      </c>
      <c r="AB44" s="667">
        <f t="shared" si="114"/>
        <v>0.29399999999999998</v>
      </c>
      <c r="AC44" s="667">
        <f t="shared" si="114"/>
        <v>10.672000000000001</v>
      </c>
      <c r="AD44" s="667">
        <f t="shared" si="114"/>
        <v>48.293999999999997</v>
      </c>
      <c r="AE44" s="667">
        <f t="shared" si="114"/>
        <v>77.548677962169123</v>
      </c>
      <c r="AF44" s="667">
        <f t="shared" ref="AF44:AG44" ca="1" si="115">AF22</f>
        <v>129.62128989487331</v>
      </c>
      <c r="AG44" s="667">
        <f t="shared" ca="1" si="115"/>
        <v>0</v>
      </c>
      <c r="AH44" s="667"/>
      <c r="AI44" s="667"/>
      <c r="AJ44" s="659"/>
      <c r="AK44" s="138">
        <f>IFERROR(($AE44/Z44)^(1/5)-1,"n/a")</f>
        <v>0.43065440736155458</v>
      </c>
      <c r="AL44" s="138" t="str">
        <f>IFERROR(($AE44/U44)^(1/10)-1,"n/a")</f>
        <v>n/a</v>
      </c>
      <c r="AM44" s="138">
        <f>IFERROR(($AE44/P44)^(1/15)-1,"n/a")</f>
        <v>0.26770849464220237</v>
      </c>
      <c r="AN44" s="138">
        <f>IFERROR(($AE44/K44)^(1/20)-1,"n/a")</f>
        <v>0.29975125485277121</v>
      </c>
    </row>
    <row r="45" spans="2:40" s="663" customFormat="1" ht="11.25" customHeight="1">
      <c r="B45" s="664" t="s">
        <v>254</v>
      </c>
      <c r="D45" s="667">
        <f>-D25</f>
        <v>-2.2991999999999999</v>
      </c>
      <c r="E45" s="667">
        <f t="shared" ref="E45:AE45" si="116">-E25</f>
        <v>-1.8995999999999993</v>
      </c>
      <c r="F45" s="667">
        <f t="shared" si="116"/>
        <v>-3.5485499999999983</v>
      </c>
      <c r="G45" s="667">
        <f t="shared" si="116"/>
        <v>-9.5853000000000002</v>
      </c>
      <c r="H45" s="667">
        <f t="shared" si="116"/>
        <v>-1.618050000000002</v>
      </c>
      <c r="I45" s="667">
        <f t="shared" si="116"/>
        <v>-4.0832999999999977</v>
      </c>
      <c r="J45" s="667">
        <f t="shared" si="116"/>
        <v>-7.6768500000000017</v>
      </c>
      <c r="K45" s="667">
        <f t="shared" si="116"/>
        <v>-13.7949</v>
      </c>
      <c r="L45" s="667">
        <f t="shared" si="116"/>
        <v>-14.139600000000002</v>
      </c>
      <c r="M45" s="667">
        <f t="shared" si="116"/>
        <v>-20.004299999999994</v>
      </c>
      <c r="N45" s="667">
        <f t="shared" si="116"/>
        <v>-18.246299999999998</v>
      </c>
      <c r="O45" s="667">
        <f t="shared" si="116"/>
        <v>-16.720800000000004</v>
      </c>
      <c r="P45" s="667">
        <f t="shared" si="116"/>
        <v>-14.319450000000003</v>
      </c>
      <c r="Q45" s="667">
        <f t="shared" si="116"/>
        <v>-25.540500000000002</v>
      </c>
      <c r="R45" s="667">
        <f t="shared" si="116"/>
        <v>-21.772200000000002</v>
      </c>
      <c r="S45" s="667">
        <f t="shared" si="116"/>
        <v>-27.251342099999999</v>
      </c>
      <c r="T45" s="667">
        <f t="shared" si="116"/>
        <v>-32.323049999999995</v>
      </c>
      <c r="U45" s="667">
        <f t="shared" si="116"/>
        <v>-45.311850000000007</v>
      </c>
      <c r="V45" s="667">
        <f t="shared" si="116"/>
        <v>-52.564349999999997</v>
      </c>
      <c r="W45" s="667">
        <f t="shared" si="116"/>
        <v>-57.893849999999986</v>
      </c>
      <c r="X45" s="667">
        <f t="shared" si="116"/>
        <v>-59.419949999999986</v>
      </c>
      <c r="Y45" s="667">
        <f t="shared" si="116"/>
        <v>-59.626433550000002</v>
      </c>
      <c r="Z45" s="667">
        <f t="shared" si="116"/>
        <v>-58.476817200000021</v>
      </c>
      <c r="AA45" s="667">
        <f t="shared" si="116"/>
        <v>-87.716521650000033</v>
      </c>
      <c r="AB45" s="667">
        <f t="shared" si="116"/>
        <v>-99.468905550000002</v>
      </c>
      <c r="AC45" s="667">
        <f t="shared" si="116"/>
        <v>-171.62869380000004</v>
      </c>
      <c r="AD45" s="667">
        <f t="shared" si="116"/>
        <v>-146.87564999999998</v>
      </c>
      <c r="AE45" s="667">
        <f t="shared" ca="1" si="116"/>
        <v>-208.56528842171258</v>
      </c>
      <c r="AF45" s="667">
        <f t="shared" ref="AF45:AG45" ca="1" si="117">-AF25</f>
        <v>-262.58198524155813</v>
      </c>
      <c r="AG45" s="667">
        <f t="shared" ca="1" si="117"/>
        <v>-290.27110182238431</v>
      </c>
      <c r="AH45" s="667"/>
      <c r="AI45" s="667"/>
      <c r="AJ45" s="659"/>
      <c r="AK45" s="138">
        <f ca="1">IFERROR(($AE45/Z45)^(1/5)-1,"n/a")</f>
        <v>0.28959001177016308</v>
      </c>
      <c r="AL45" s="138">
        <f ca="1">IFERROR(($AE45/U45)^(1/10)-1,"n/a")</f>
        <v>0.16493856747424784</v>
      </c>
      <c r="AM45" s="138">
        <f ca="1">IFERROR(($AE45/P45)^(1/15)-1,"n/a")</f>
        <v>0.19551321070045957</v>
      </c>
      <c r="AN45" s="138">
        <f ca="1">IFERROR(($AE45/K45)^(1/20)-1,"n/a")</f>
        <v>0.14545009791052954</v>
      </c>
    </row>
    <row r="46" spans="2:40" s="663" customFormat="1" ht="13.5" customHeight="1">
      <c r="B46" s="664" t="s">
        <v>279</v>
      </c>
      <c r="D46" s="24">
        <f>-D27</f>
        <v>7.2999999999999995E-2</v>
      </c>
      <c r="E46" s="24">
        <f t="shared" ref="E46:AE46" si="118">-E27</f>
        <v>1.0149999999999999</v>
      </c>
      <c r="F46" s="24">
        <f t="shared" si="118"/>
        <v>0.51600000000000001</v>
      </c>
      <c r="G46" s="24">
        <f t="shared" si="118"/>
        <v>3.6999999999999998E-2</v>
      </c>
      <c r="H46" s="24">
        <f t="shared" si="118"/>
        <v>-4.3999999999999997E-2</v>
      </c>
      <c r="I46" s="24">
        <f t="shared" si="118"/>
        <v>2.5000000000000001E-2</v>
      </c>
      <c r="J46" s="24">
        <f t="shared" si="118"/>
        <v>3.0000000000000001E-3</v>
      </c>
      <c r="K46" s="24">
        <f t="shared" si="118"/>
        <v>-1.2999999999999999E-2</v>
      </c>
      <c r="L46" s="24">
        <f t="shared" si="118"/>
        <v>-5.8000000000000003E-2</v>
      </c>
      <c r="M46" s="24">
        <f t="shared" si="118"/>
        <v>-0.185</v>
      </c>
      <c r="N46" s="24">
        <f t="shared" si="118"/>
        <v>-0.755</v>
      </c>
      <c r="O46" s="24">
        <f t="shared" si="118"/>
        <v>-0.59</v>
      </c>
      <c r="P46" s="24">
        <f t="shared" si="118"/>
        <v>-0.248</v>
      </c>
      <c r="Q46" s="24">
        <f t="shared" si="118"/>
        <v>-0.67700000000000005</v>
      </c>
      <c r="R46" s="24">
        <f t="shared" si="118"/>
        <v>-0.252</v>
      </c>
      <c r="S46" s="24">
        <f t="shared" si="118"/>
        <v>0.19400000000000001</v>
      </c>
      <c r="T46" s="24">
        <f t="shared" si="118"/>
        <v>0.128</v>
      </c>
      <c r="U46" s="24">
        <f t="shared" si="118"/>
        <v>0.11799999999999999</v>
      </c>
      <c r="V46" s="24">
        <f t="shared" si="118"/>
        <v>1.7999999999999999E-2</v>
      </c>
      <c r="W46" s="24">
        <f t="shared" si="118"/>
        <v>-9.0999999999999998E-2</v>
      </c>
      <c r="X46" s="24">
        <f t="shared" si="118"/>
        <v>-3.5999999999999997E-2</v>
      </c>
      <c r="Y46" s="24">
        <f t="shared" si="118"/>
        <v>-5.2999999999999999E-2</v>
      </c>
      <c r="Z46" s="24">
        <f t="shared" si="118"/>
        <v>-0.08</v>
      </c>
      <c r="AA46" s="24">
        <f t="shared" si="118"/>
        <v>-0.27300000000000002</v>
      </c>
      <c r="AB46" s="24">
        <f t="shared" si="118"/>
        <v>-0.53300000000000003</v>
      </c>
      <c r="AC46" s="24">
        <f t="shared" si="118"/>
        <v>-0.371</v>
      </c>
      <c r="AD46" s="24">
        <f t="shared" si="118"/>
        <v>0.73</v>
      </c>
      <c r="AE46" s="24">
        <f t="shared" si="118"/>
        <v>0.625</v>
      </c>
      <c r="AF46" s="24">
        <f t="shared" ref="AF46:AG46" si="119">-AF27</f>
        <v>0</v>
      </c>
      <c r="AG46" s="24">
        <f t="shared" si="119"/>
        <v>0</v>
      </c>
      <c r="AH46" s="24"/>
      <c r="AI46" s="24"/>
      <c r="AJ46" s="659"/>
      <c r="AK46" s="529">
        <f>IFERROR(($AE46/Z46)^(1/5)-1,"n/a")</f>
        <v>-2.5085440841362905</v>
      </c>
      <c r="AL46" s="529">
        <f>IFERROR(($AE46/U46)^(1/10)-1,"n/a")</f>
        <v>0.18140771059302208</v>
      </c>
      <c r="AM46" s="529">
        <f>IFERROR(($AE46/P46)^(1/15)-1,"n/a")</f>
        <v>-2.0635597397985794</v>
      </c>
      <c r="AN46" s="529" t="str">
        <f>IFERROR(($AE46/K46)^(1/20)-1,"n/a")</f>
        <v>n/a</v>
      </c>
    </row>
    <row r="47" spans="2:40" s="663" customFormat="1" ht="11.25" customHeight="1">
      <c r="B47" s="204" t="s">
        <v>31</v>
      </c>
      <c r="C47" s="665"/>
      <c r="D47" s="206">
        <f t="shared" ref="D47:AE47" si="120">D38+SUM(D44:D46)</f>
        <v>-16.209256000000003</v>
      </c>
      <c r="E47" s="206">
        <f t="shared" si="120"/>
        <v>-13.310968000000003</v>
      </c>
      <c r="F47" s="206">
        <f t="shared" si="120"/>
        <v>4.1225389999999953</v>
      </c>
      <c r="G47" s="206">
        <f t="shared" si="120"/>
        <v>-10.852037000000001</v>
      </c>
      <c r="H47" s="206">
        <f t="shared" si="120"/>
        <v>-4.347960999999982</v>
      </c>
      <c r="I47" s="206">
        <f t="shared" si="120"/>
        <v>36.18491199999999</v>
      </c>
      <c r="J47" s="206">
        <f t="shared" si="120"/>
        <v>74.160184000000001</v>
      </c>
      <c r="K47" s="206">
        <f t="shared" si="120"/>
        <v>63.806709000000012</v>
      </c>
      <c r="L47" s="206">
        <f t="shared" si="120"/>
        <v>72.880810000000011</v>
      </c>
      <c r="M47" s="206">
        <f t="shared" si="120"/>
        <v>105.70469999999997</v>
      </c>
      <c r="N47" s="206">
        <f t="shared" si="120"/>
        <v>93.534157999999977</v>
      </c>
      <c r="O47" s="206">
        <f t="shared" si="120"/>
        <v>114.17203500000002</v>
      </c>
      <c r="P47" s="206">
        <f t="shared" si="120"/>
        <v>72.63399600000001</v>
      </c>
      <c r="Q47" s="206">
        <f t="shared" si="120"/>
        <v>35.063337000000026</v>
      </c>
      <c r="R47" s="206">
        <f t="shared" si="120"/>
        <v>14.10458900000004</v>
      </c>
      <c r="S47" s="206">
        <f t="shared" si="120"/>
        <v>39.956271899999955</v>
      </c>
      <c r="T47" s="206">
        <f t="shared" si="120"/>
        <v>45.009949999999968</v>
      </c>
      <c r="U47" s="206">
        <f t="shared" si="120"/>
        <v>161.88215000000005</v>
      </c>
      <c r="V47" s="206">
        <f t="shared" si="120"/>
        <v>233.42964999999998</v>
      </c>
      <c r="W47" s="206">
        <f t="shared" si="120"/>
        <v>218.76714999999996</v>
      </c>
      <c r="X47" s="206">
        <f t="shared" si="120"/>
        <v>261.7920499999999</v>
      </c>
      <c r="Y47" s="206">
        <f t="shared" si="120"/>
        <v>312.55112344999998</v>
      </c>
      <c r="Z47" s="206">
        <f t="shared" si="120"/>
        <v>153.54563080000011</v>
      </c>
      <c r="AA47" s="206">
        <f t="shared" si="120"/>
        <v>310.21728935000004</v>
      </c>
      <c r="AB47" s="206">
        <f t="shared" si="120"/>
        <v>133.47213144999949</v>
      </c>
      <c r="AC47" s="206">
        <f t="shared" si="120"/>
        <v>314.53359820000003</v>
      </c>
      <c r="AD47" s="206">
        <f t="shared" si="120"/>
        <v>405.98834999999997</v>
      </c>
      <c r="AE47" s="206">
        <f t="shared" ca="1" si="120"/>
        <v>875.28900054243991</v>
      </c>
      <c r="AF47" s="206">
        <f t="shared" ref="AF47:AG47" ca="1" si="121">AF38+SUM(AF44:AF46)</f>
        <v>1047.0697610560003</v>
      </c>
      <c r="AG47" s="206">
        <f t="shared" ca="1" si="121"/>
        <v>1042.6602329689263</v>
      </c>
      <c r="AH47" s="117"/>
      <c r="AI47" s="117"/>
      <c r="AJ47" s="659"/>
      <c r="AK47" s="499">
        <f ca="1">($AE47/Z47)^(1/5)-1</f>
        <v>0.41638983594279222</v>
      </c>
      <c r="AL47" s="499">
        <f ca="1">($AE47/U47)^(1/10)-1</f>
        <v>0.18384610801997736</v>
      </c>
      <c r="AM47" s="499">
        <f ca="1">($AE47/P47)^(1/15)-1</f>
        <v>0.18050392542998606</v>
      </c>
      <c r="AN47" s="499">
        <f ca="1">($AE47/K47)^(1/20)-1</f>
        <v>0.13989344510285862</v>
      </c>
    </row>
    <row r="48" spans="2:40" s="663" customFormat="1" ht="11.25" customHeight="1">
      <c r="B48" s="36" t="s">
        <v>249</v>
      </c>
      <c r="D48" s="120" t="str">
        <f t="shared" ref="D48" si="122">IFERROR(D47/C47-1,"n/a")</f>
        <v>n/a</v>
      </c>
      <c r="E48" s="120">
        <f t="shared" ref="E48" si="123">IFERROR(E47/D47-1,"n/a")</f>
        <v>-0.17880450527772529</v>
      </c>
      <c r="F48" s="120">
        <f t="shared" ref="F48" si="124">IFERROR(F47/E47-1,"n/a")</f>
        <v>-1.3097099324406756</v>
      </c>
      <c r="G48" s="120">
        <f t="shared" ref="G48" si="125">IFERROR(G47/F47-1,"n/a")</f>
        <v>-3.632367334790529</v>
      </c>
      <c r="H48" s="120">
        <f t="shared" ref="H48" si="126">IFERROR(H47/G47-1,"n/a")</f>
        <v>-0.59934148768567774</v>
      </c>
      <c r="I48" s="120">
        <f t="shared" ref="I48" si="127">IFERROR(I47/H47-1,"n/a")</f>
        <v>-9.3222715199147697</v>
      </c>
      <c r="J48" s="120">
        <f t="shared" ref="J48" si="128">IFERROR(J47/I47-1,"n/a")</f>
        <v>1.0494780808089299</v>
      </c>
      <c r="K48" s="120">
        <f t="shared" ref="K48" si="129">IFERROR(K47/J47-1,"n/a")</f>
        <v>-0.13960961855218679</v>
      </c>
      <c r="L48" s="120">
        <f t="shared" ref="L48" si="130">IFERROR(L47/K47-1,"n/a")</f>
        <v>0.14221233381586873</v>
      </c>
      <c r="M48" s="120">
        <f t="shared" ref="M48" si="131">IFERROR(M47/L47-1,"n/a")</f>
        <v>0.45037767829418973</v>
      </c>
      <c r="N48" s="120">
        <f t="shared" ref="N48" si="132">IFERROR(N47/M47-1,"n/a")</f>
        <v>-0.11513718879103763</v>
      </c>
      <c r="O48" s="120">
        <f t="shared" ref="O48" si="133">IFERROR(O47/N47-1,"n/a")</f>
        <v>0.2206453496913936</v>
      </c>
      <c r="P48" s="120">
        <f t="shared" ref="P48" si="134">IFERROR(P47/O47-1,"n/a")</f>
        <v>-0.36381973046201732</v>
      </c>
      <c r="Q48" s="120">
        <f t="shared" ref="Q48" si="135">IFERROR(Q47/P47-1,"n/a")</f>
        <v>-0.5172599756180285</v>
      </c>
      <c r="R48" s="120">
        <f t="shared" ref="R48" si="136">IFERROR(R47/Q47-1,"n/a")</f>
        <v>-0.59773968461701088</v>
      </c>
      <c r="S48" s="120">
        <f t="shared" ref="S48" si="137">IFERROR(S47/R47-1,"n/a")</f>
        <v>1.8328561647560124</v>
      </c>
      <c r="T48" s="120">
        <f t="shared" ref="T48" si="138">IFERROR(T47/S47-1,"n/a")</f>
        <v>0.12648022099379141</v>
      </c>
      <c r="U48" s="120">
        <f t="shared" ref="U48" si="139">IFERROR(U47/T47-1,"n/a")</f>
        <v>2.5965858660140739</v>
      </c>
      <c r="V48" s="120">
        <f t="shared" ref="V48" si="140">IFERROR(V47/U47-1,"n/a")</f>
        <v>0.44197275610683384</v>
      </c>
      <c r="W48" s="120">
        <f t="shared" ref="W48" si="141">IFERROR(W47/V47-1,"n/a")</f>
        <v>-6.2813357257743507E-2</v>
      </c>
      <c r="X48" s="120">
        <f t="shared" ref="X48" si="142">IFERROR(X47/W47-1,"n/a")</f>
        <v>0.19666983822753981</v>
      </c>
      <c r="Y48" s="120">
        <f t="shared" ref="Y48" si="143">IFERROR(Y47/X47-1,"n/a")</f>
        <v>0.19389081314730561</v>
      </c>
      <c r="Z48" s="120">
        <f t="shared" ref="Z48" si="144">IFERROR(Z47/Y47-1,"n/a")</f>
        <v>-0.50873435006365164</v>
      </c>
      <c r="AA48" s="120">
        <f t="shared" ref="AA48" si="145">IFERROR(AA47/Z47-1,"n/a")</f>
        <v>1.0203589495429641</v>
      </c>
      <c r="AB48" s="120">
        <f t="shared" ref="AB48" si="146">IFERROR(AB47/AA47-1,"n/a")</f>
        <v>-0.569746316429802</v>
      </c>
      <c r="AC48" s="120">
        <f t="shared" ref="AC48" si="147">IFERROR(AC47/AB47-1,"n/a")</f>
        <v>1.3565488524308811</v>
      </c>
      <c r="AD48" s="120">
        <f t="shared" ref="AD48" si="148">IFERROR(AD47/AC47-1,"n/a")</f>
        <v>0.29076306100007576</v>
      </c>
      <c r="AE48" s="120">
        <f t="shared" ref="AE48:AG48" ca="1" si="149">IFERROR(AE47/AD47-1,"n/a")</f>
        <v>1.1559461017599149</v>
      </c>
      <c r="AF48" s="120">
        <f t="shared" ca="1" si="149"/>
        <v>0.19625604846753841</v>
      </c>
      <c r="AG48" s="120">
        <f t="shared" ca="1" si="149"/>
        <v>-4.2113030583815769E-3</v>
      </c>
      <c r="AH48" s="120"/>
      <c r="AI48" s="120"/>
      <c r="AJ48" s="659"/>
      <c r="AK48" s="138"/>
      <c r="AL48" s="138"/>
      <c r="AM48" s="138"/>
      <c r="AN48" s="138"/>
    </row>
    <row r="49" spans="2:40" s="663" customFormat="1" ht="11.25" customHeight="1">
      <c r="B49" s="204" t="s">
        <v>701</v>
      </c>
      <c r="C49" s="665"/>
      <c r="D49" s="511">
        <f>D47/D29</f>
        <v>-3.9710872160356354</v>
      </c>
      <c r="E49" s="511">
        <f t="shared" ref="E49:AE49" si="150">E47/E29</f>
        <v>-2.2034579457768513</v>
      </c>
      <c r="F49" s="511">
        <f t="shared" si="150"/>
        <v>0.54385286482084638</v>
      </c>
      <c r="G49" s="511">
        <f t="shared" si="150"/>
        <v>-0.95175761481276711</v>
      </c>
      <c r="H49" s="511">
        <f t="shared" si="150"/>
        <v>-0.24917542152868777</v>
      </c>
      <c r="I49" s="511">
        <f t="shared" si="150"/>
        <v>1.9088755057843583</v>
      </c>
      <c r="J49" s="511">
        <f t="shared" si="150"/>
        <v>3.6563031109418311</v>
      </c>
      <c r="K49" s="511">
        <f t="shared" si="150"/>
        <v>2.7439732519823221</v>
      </c>
      <c r="L49" s="511">
        <f t="shared" si="150"/>
        <v>2.9518383104461665</v>
      </c>
      <c r="M49" s="511">
        <f t="shared" si="150"/>
        <v>4.0949802825832178</v>
      </c>
      <c r="N49" s="511">
        <f t="shared" si="150"/>
        <v>3.5468222621980807</v>
      </c>
      <c r="O49" s="511">
        <f t="shared" si="150"/>
        <v>4.3757206733511458</v>
      </c>
      <c r="P49" s="511">
        <f t="shared" si="150"/>
        <v>2.800566547557668</v>
      </c>
      <c r="Q49" s="511">
        <f t="shared" si="150"/>
        <v>1.3517192507038778</v>
      </c>
      <c r="R49" s="511">
        <f t="shared" si="150"/>
        <v>0.54442046646448394</v>
      </c>
      <c r="S49" s="511">
        <f t="shared" si="150"/>
        <v>1.5399397712755065</v>
      </c>
      <c r="T49" s="511">
        <f t="shared" si="150"/>
        <v>1.7367921731412128</v>
      </c>
      <c r="U49" s="511">
        <f t="shared" si="150"/>
        <v>6.2434170479848632</v>
      </c>
      <c r="V49" s="511">
        <f t="shared" si="150"/>
        <v>9.0021635535835802</v>
      </c>
      <c r="W49" s="511">
        <f t="shared" si="150"/>
        <v>8.4367164672219968</v>
      </c>
      <c r="X49" s="511">
        <f t="shared" si="150"/>
        <v>10.095972691887019</v>
      </c>
      <c r="Y49" s="511">
        <f t="shared" si="150"/>
        <v>12.053468356605542</v>
      </c>
      <c r="Z49" s="511">
        <f t="shared" si="150"/>
        <v>5.9214512271281858</v>
      </c>
      <c r="AA49" s="511">
        <f t="shared" si="150"/>
        <v>11.963477422754153</v>
      </c>
      <c r="AB49" s="511">
        <f t="shared" si="150"/>
        <v>5.1473264912804959</v>
      </c>
      <c r="AC49" s="511">
        <f t="shared" si="150"/>
        <v>12.130395480926532</v>
      </c>
      <c r="AD49" s="511">
        <f t="shared" si="150"/>
        <v>15.65752628403658</v>
      </c>
      <c r="AE49" s="511">
        <f t="shared" ca="1" si="150"/>
        <v>33.750858216153169</v>
      </c>
      <c r="AF49" s="511">
        <f t="shared" ref="AF49:AG49" ca="1" si="151">AF47/AF29</f>
        <v>40.36873744425116</v>
      </c>
      <c r="AG49" s="511">
        <f t="shared" ca="1" si="151"/>
        <v>40.19873245678918</v>
      </c>
      <c r="AH49" s="654"/>
      <c r="AI49" s="654"/>
      <c r="AJ49" s="659"/>
      <c r="AK49" s="499">
        <f ca="1">($AE49/Z49)^(1/5)-1</f>
        <v>0.41635243263991684</v>
      </c>
      <c r="AL49" s="499">
        <f ca="1">($AE49/U49)^(1/10)-1</f>
        <v>0.18382156625433965</v>
      </c>
      <c r="AM49" s="499">
        <f ca="1">($AE49/P49)^(1/15)-1</f>
        <v>0.1805088889894062</v>
      </c>
      <c r="AN49" s="499">
        <f ca="1">($AE49/K49)^(1/20)-1</f>
        <v>0.13369243160263378</v>
      </c>
    </row>
    <row r="50" spans="2:40" s="663" customFormat="1" ht="11.25" customHeight="1">
      <c r="B50" s="36" t="s">
        <v>249</v>
      </c>
      <c r="D50" s="120" t="str">
        <f t="shared" ref="D50" si="152">IFERROR(D49/C49-1,"n/a")</f>
        <v>n/a</v>
      </c>
      <c r="E50" s="120">
        <f t="shared" ref="E50" si="153">IFERROR(E49/D49-1,"n/a")</f>
        <v>-0.4451247666183018</v>
      </c>
      <c r="F50" s="120">
        <f t="shared" ref="F50" si="154">IFERROR(F49/E49-1,"n/a")</f>
        <v>-1.2468179008649543</v>
      </c>
      <c r="G50" s="120">
        <f t="shared" ref="G50" si="155">IFERROR(G49/F49-1,"n/a")</f>
        <v>-2.7500277673930995</v>
      </c>
      <c r="H50" s="120">
        <f t="shared" ref="H50" si="156">IFERROR(H49/G49-1,"n/a")</f>
        <v>-0.7381944545012058</v>
      </c>
      <c r="I50" s="120">
        <f t="shared" ref="I50" si="157">IFERROR(I49/H49-1,"n/a")</f>
        <v>-8.6607696460326373</v>
      </c>
      <c r="J50" s="120">
        <f t="shared" ref="J50" si="158">IFERROR(J49/I49-1,"n/a")</f>
        <v>0.91542250914862766</v>
      </c>
      <c r="K50" s="120">
        <f t="shared" ref="K50" si="159">IFERROR(K49/J49-1,"n/a")</f>
        <v>-0.24952249068992016</v>
      </c>
      <c r="L50" s="120">
        <f t="shared" ref="L50" si="160">IFERROR(L49/K49-1,"n/a")</f>
        <v>7.5753310756100367E-2</v>
      </c>
      <c r="M50" s="120">
        <f t="shared" ref="M50" si="161">IFERROR(M49/L49-1,"n/a")</f>
        <v>0.38726442708315778</v>
      </c>
      <c r="N50" s="120">
        <f t="shared" ref="N50" si="162">IFERROR(N49/M49-1,"n/a")</f>
        <v>-0.13386096697866023</v>
      </c>
      <c r="O50" s="120">
        <f t="shared" ref="O50" si="163">IFERROR(O49/N49-1,"n/a")</f>
        <v>0.23370170532294154</v>
      </c>
      <c r="P50" s="120">
        <f t="shared" ref="P50" si="164">IFERROR(P49/O49-1,"n/a")</f>
        <v>-0.35997593159600516</v>
      </c>
      <c r="Q50" s="120">
        <f t="shared" ref="Q50" si="165">IFERROR(Q49/P49-1,"n/a")</f>
        <v>-0.51734078524836635</v>
      </c>
      <c r="R50" s="120">
        <f t="shared" ref="R50" si="166">IFERROR(R49/Q49-1,"n/a")</f>
        <v>-0.59723850482932084</v>
      </c>
      <c r="S50" s="120">
        <f t="shared" ref="S50" si="167">IFERROR(S49/R49-1,"n/a")</f>
        <v>1.8285853786431203</v>
      </c>
      <c r="T50" s="120">
        <f t="shared" ref="T50" si="168">IFERROR(T49/S49-1,"n/a")</f>
        <v>0.12783123440123689</v>
      </c>
      <c r="U50" s="120">
        <f t="shared" ref="U50" si="169">IFERROR(U49/T49-1,"n/a")</f>
        <v>2.5947980101112718</v>
      </c>
      <c r="V50" s="120">
        <f t="shared" ref="V50" si="170">IFERROR(V49/U49-1,"n/a")</f>
        <v>0.44186484490718669</v>
      </c>
      <c r="W50" s="120">
        <f t="shared" ref="W50" si="171">IFERROR(W49/V49-1,"n/a")</f>
        <v>-6.2812354274155657E-2</v>
      </c>
      <c r="X50" s="120">
        <f t="shared" ref="X50" si="172">IFERROR(X49/W49-1,"n/a")</f>
        <v>0.19667085306368892</v>
      </c>
      <c r="Y50" s="120">
        <f t="shared" ref="Y50" si="173">IFERROR(Y49/X49-1,"n/a")</f>
        <v>0.19388876381287545</v>
      </c>
      <c r="Z50" s="120">
        <f t="shared" ref="Z50" si="174">IFERROR(Z49/Y49-1,"n/a")</f>
        <v>-0.5087346602703684</v>
      </c>
      <c r="AA50" s="120">
        <f t="shared" ref="AA50" si="175">IFERROR(AA49/Z49-1,"n/a")</f>
        <v>1.020362401693927</v>
      </c>
      <c r="AB50" s="120">
        <f t="shared" ref="AB50" si="176">IFERROR(AB49/AA49-1,"n/a")</f>
        <v>-0.56974662889483585</v>
      </c>
      <c r="AC50" s="120">
        <f t="shared" ref="AC50" si="177">IFERROR(AC49/AB49-1,"n/a")</f>
        <v>1.3566399958260398</v>
      </c>
      <c r="AD50" s="120">
        <f t="shared" ref="AD50" si="178">IFERROR(AD49/AC49-1,"n/a")</f>
        <v>0.29076799751961935</v>
      </c>
      <c r="AE50" s="120">
        <f t="shared" ref="AE50:AG50" ca="1" si="179">IFERROR(AE49/AD49-1,"n/a")</f>
        <v>1.1555677189291007</v>
      </c>
      <c r="AF50" s="120">
        <f t="shared" ca="1" si="179"/>
        <v>0.19608032440877809</v>
      </c>
      <c r="AG50" s="120">
        <f t="shared" ca="1" si="179"/>
        <v>-4.2113030583815769E-3</v>
      </c>
      <c r="AH50" s="120"/>
      <c r="AI50" s="120"/>
      <c r="AJ50" s="659"/>
    </row>
    <row r="51" spans="2:40" s="663" customFormat="1" ht="11.25" customHeight="1">
      <c r="B51" s="35"/>
      <c r="D51" s="120"/>
      <c r="E51" s="120"/>
      <c r="F51" s="120"/>
      <c r="G51" s="120"/>
      <c r="H51" s="120"/>
      <c r="I51" s="120"/>
      <c r="J51" s="120"/>
      <c r="K51" s="120"/>
      <c r="L51" s="120"/>
      <c r="M51" s="120"/>
      <c r="N51" s="120"/>
      <c r="O51" s="120"/>
      <c r="P51" s="120"/>
      <c r="Q51" s="120"/>
      <c r="R51" s="120"/>
      <c r="S51" s="120"/>
      <c r="T51" s="120"/>
      <c r="U51" s="120"/>
      <c r="V51" s="120"/>
      <c r="W51" s="120"/>
      <c r="X51" s="120"/>
      <c r="Y51" s="120"/>
      <c r="Z51" s="120"/>
      <c r="AA51" s="120"/>
      <c r="AB51" s="120"/>
      <c r="AC51" s="120"/>
      <c r="AD51" s="120"/>
      <c r="AE51" s="120"/>
      <c r="AF51" s="120"/>
      <c r="AG51" s="120"/>
      <c r="AH51" s="120"/>
      <c r="AI51" s="120"/>
      <c r="AJ51" s="659"/>
    </row>
    <row r="52" spans="2:40" s="663" customFormat="1" ht="13.5" customHeight="1">
      <c r="B52" s="664" t="s">
        <v>19</v>
      </c>
      <c r="D52" s="210">
        <f>(SUM('Historical Financials'!AC84:AC86)/1000)*1000</f>
        <v>2.2281999999999988</v>
      </c>
      <c r="E52" s="210">
        <f>(SUM('Historical Financials'!AD84:AD86)/1000)*1000</f>
        <v>4.8236000000000061</v>
      </c>
      <c r="F52" s="210">
        <f>(SUM('Historical Financials'!AE84:AE86)/1000)*1000</f>
        <v>-2.0284499999999932</v>
      </c>
      <c r="G52" s="210">
        <f>(SUM('Historical Financials'!AF84:AF86)/1000)*1000</f>
        <v>0.2572999999999972</v>
      </c>
      <c r="H52" s="210">
        <f>(SUM('Historical Financials'!AG84:AG86)/1000)*1000</f>
        <v>9.3350499999999865</v>
      </c>
      <c r="I52" s="210">
        <f>(SUM('Historical Financials'!AH84:AH86)/1000)*1000</f>
        <v>6.0003000000000197</v>
      </c>
      <c r="J52" s="210">
        <f>(SUM('Historical Financials'!AI84:AI86)/1000)*1000</f>
        <v>3.2518499999999957</v>
      </c>
      <c r="K52" s="210">
        <f>(SUM('Historical Financials'!AJ84:AJ86)/1000)*1000</f>
        <v>8.6459000000000081</v>
      </c>
      <c r="L52" s="210">
        <f>(SUM('Historical Financials'!AK84:AK86)/1000)*1000</f>
        <v>4.5355999999999881</v>
      </c>
      <c r="M52" s="210">
        <f>(SUM('Historical Financials'!AL84:AL86)/1000)*1000</f>
        <v>24.02130000000005</v>
      </c>
      <c r="N52" s="210">
        <f>(SUM('Historical Financials'!AM84:AM86)/1000)*1000</f>
        <v>10.285300000000023</v>
      </c>
      <c r="O52" s="210">
        <f>(SUM('Historical Financials'!AN84:AN86)/1000)*1000</f>
        <v>52.267800000000001</v>
      </c>
      <c r="P52" s="210">
        <f>(SUM('Historical Financials'!AO84:AO86)/1000)*1000</f>
        <v>1.5084499999999998</v>
      </c>
      <c r="Q52" s="210">
        <f>(SUM('Historical Financials'!AP84:AP86)/1000)*1000</f>
        <v>8.031499999999987</v>
      </c>
      <c r="R52" s="210">
        <f>(SUM('Historical Financials'!AQ84:AQ86)/1000)*1000</f>
        <v>20.120199999999958</v>
      </c>
      <c r="S52" s="210">
        <f>(SUM('Historical Financials'!AR84:AR86)/1000)*1000</f>
        <v>-0.31165789999999305</v>
      </c>
      <c r="T52" s="210">
        <f>(SUM('Historical Financials'!AS84:AS86)/1000)*1000</f>
        <v>14.095049999999985</v>
      </c>
      <c r="U52" s="210">
        <f>(SUM('Historical Financials'!AT84:AT86)/1000)*1000</f>
        <v>-29.286150000000049</v>
      </c>
      <c r="V52" s="210">
        <f>(SUM('Historical Financials'!AU84:AU86)/1000)*1000</f>
        <v>39.889350000000064</v>
      </c>
      <c r="W52" s="210">
        <f>(SUM('Historical Financials'!AV84:AV86)/1000)*1000</f>
        <v>-4.0571499999999361</v>
      </c>
      <c r="X52" s="210">
        <f>(SUM('Historical Financials'!AW84:AW86)/1000)*1000</f>
        <v>-0.96404999999986885</v>
      </c>
      <c r="Y52" s="210">
        <f>(SUM('Historical Financials'!AX84:AX86)/1000)*1000</f>
        <v>-42.589123449999988</v>
      </c>
      <c r="Z52" s="210">
        <f>(SUM('Historical Financials'!AY84:AY86)/1000)*1000</f>
        <v>14.030369199999845</v>
      </c>
      <c r="AA52" s="210">
        <f>(SUM('Historical Financials'!AZ84:AZ86)/1000)*1000</f>
        <v>11.874710650000186</v>
      </c>
      <c r="AB52" s="210">
        <f>(SUM('Historical Financials'!BA84:BA86)/1000)*1000</f>
        <v>139.25386855000028</v>
      </c>
      <c r="AC52" s="210">
        <f>(SUM('Historical Financials'!BB84:BB86)/1000)*1000</f>
        <v>223.69440180000012</v>
      </c>
      <c r="AD52" s="210">
        <f>(SUM('Historical Financials'!BC84:BC86)/1000)*1000</f>
        <v>-64.814349999999848</v>
      </c>
      <c r="AE52" s="210">
        <f ca="1">(SUM('Historical Financials'!BD84:BD86)/1000)*1000</f>
        <v>-41.034595317546938</v>
      </c>
      <c r="AF52" s="210">
        <f ca="1">(SUM('Historical Financials'!BE84:BE86)/1000)*1000</f>
        <v>0.71980429399555135</v>
      </c>
      <c r="AG52" s="679">
        <f ca="1">+AG53-AG47</f>
        <v>-8.967263370809178</v>
      </c>
      <c r="AH52" s="210"/>
      <c r="AI52" s="210"/>
      <c r="AK52" s="529"/>
      <c r="AL52" s="529"/>
      <c r="AM52" s="529"/>
      <c r="AN52" s="529"/>
    </row>
    <row r="53" spans="2:40" s="663" customFormat="1" ht="11.25" customHeight="1">
      <c r="B53" s="129" t="s">
        <v>33</v>
      </c>
      <c r="D53" s="117">
        <f>D47+D52</f>
        <v>-13.981056000000004</v>
      </c>
      <c r="E53" s="117">
        <f t="shared" ref="E53:AE53" si="180">E47+E52</f>
        <v>-8.4873679999999965</v>
      </c>
      <c r="F53" s="117">
        <f t="shared" si="180"/>
        <v>2.0940890000000021</v>
      </c>
      <c r="G53" s="117">
        <f t="shared" si="180"/>
        <v>-10.594737000000004</v>
      </c>
      <c r="H53" s="117">
        <f t="shared" si="180"/>
        <v>4.9870890000000045</v>
      </c>
      <c r="I53" s="117">
        <f t="shared" si="180"/>
        <v>42.185212000000007</v>
      </c>
      <c r="J53" s="117">
        <f t="shared" si="180"/>
        <v>77.412033999999991</v>
      </c>
      <c r="K53" s="117">
        <f t="shared" si="180"/>
        <v>72.452609000000024</v>
      </c>
      <c r="L53" s="117">
        <f t="shared" si="180"/>
        <v>77.416409999999999</v>
      </c>
      <c r="M53" s="117">
        <f t="shared" si="180"/>
        <v>129.72600000000003</v>
      </c>
      <c r="N53" s="117">
        <f t="shared" si="180"/>
        <v>103.819458</v>
      </c>
      <c r="O53" s="117">
        <f t="shared" si="180"/>
        <v>166.43983500000002</v>
      </c>
      <c r="P53" s="117">
        <f t="shared" si="180"/>
        <v>74.142446000000007</v>
      </c>
      <c r="Q53" s="117">
        <f t="shared" si="180"/>
        <v>43.094837000000012</v>
      </c>
      <c r="R53" s="117">
        <f t="shared" si="180"/>
        <v>34.224789000000001</v>
      </c>
      <c r="S53" s="117">
        <f t="shared" si="180"/>
        <v>39.644613999999962</v>
      </c>
      <c r="T53" s="117">
        <f t="shared" si="180"/>
        <v>59.104999999999954</v>
      </c>
      <c r="U53" s="117">
        <f t="shared" si="180"/>
        <v>132.596</v>
      </c>
      <c r="V53" s="117">
        <f t="shared" si="180"/>
        <v>273.31900000000007</v>
      </c>
      <c r="W53" s="117">
        <f t="shared" si="180"/>
        <v>214.71000000000004</v>
      </c>
      <c r="X53" s="117">
        <f t="shared" si="180"/>
        <v>260.82800000000003</v>
      </c>
      <c r="Y53" s="117">
        <f t="shared" si="180"/>
        <v>269.96199999999999</v>
      </c>
      <c r="Z53" s="117">
        <f t="shared" si="180"/>
        <v>167.57599999999996</v>
      </c>
      <c r="AA53" s="117">
        <f t="shared" si="180"/>
        <v>322.09200000000021</v>
      </c>
      <c r="AB53" s="117">
        <f t="shared" si="180"/>
        <v>272.72599999999977</v>
      </c>
      <c r="AC53" s="117">
        <f t="shared" si="180"/>
        <v>538.22800000000018</v>
      </c>
      <c r="AD53" s="117">
        <f t="shared" si="180"/>
        <v>341.17400000000009</v>
      </c>
      <c r="AE53" s="117">
        <f t="shared" ca="1" si="180"/>
        <v>834.25440522489293</v>
      </c>
      <c r="AF53" s="117">
        <f t="shared" ref="AF53" ca="1" si="181">AF47+AF52</f>
        <v>1047.7895653499959</v>
      </c>
      <c r="AG53" s="653">
        <f ca="1">+'Simple Model (A)'!L80</f>
        <v>1033.6929695981171</v>
      </c>
      <c r="AH53" s="117"/>
      <c r="AI53" s="117"/>
      <c r="AK53" s="500">
        <f ca="1">($AE53/Z53)^(1/5)-1</f>
        <v>0.3785335423366436</v>
      </c>
      <c r="AL53" s="500">
        <f ca="1">($AE53/U53)^(1/10)-1</f>
        <v>0.20192345013051205</v>
      </c>
      <c r="AM53" s="500">
        <f ca="1">($AE53/P53)^(1/15)-1</f>
        <v>0.17511969906338165</v>
      </c>
      <c r="AN53" s="500">
        <f ca="1">($AE53/K53)^(1/20)-1</f>
        <v>0.12995779892853543</v>
      </c>
    </row>
    <row r="54" spans="2:40" s="663" customFormat="1" ht="11.25" customHeight="1">
      <c r="B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row>
    <row r="55" spans="2:40" s="663" customFormat="1" ht="11.25" customHeight="1">
      <c r="B55" s="32" t="s">
        <v>35</v>
      </c>
      <c r="D55" s="120"/>
      <c r="E55" s="120"/>
      <c r="F55" s="120"/>
      <c r="G55" s="120"/>
      <c r="H55" s="120"/>
      <c r="I55" s="120"/>
      <c r="J55" s="120"/>
      <c r="K55" s="120"/>
      <c r="L55" s="120"/>
      <c r="M55" s="120"/>
      <c r="N55" s="120"/>
      <c r="O55" s="120"/>
      <c r="P55" s="120"/>
      <c r="Q55" s="120"/>
      <c r="R55" s="120"/>
      <c r="S55" s="120"/>
      <c r="T55" s="120"/>
      <c r="U55" s="120"/>
      <c r="V55" s="120"/>
      <c r="W55" s="120"/>
      <c r="X55" s="120"/>
      <c r="Y55" s="120"/>
      <c r="Z55" s="120"/>
      <c r="AA55" s="120"/>
      <c r="AB55" s="120"/>
      <c r="AC55" s="120"/>
      <c r="AD55" s="120"/>
      <c r="AE55" s="120"/>
      <c r="AF55" s="120"/>
      <c r="AG55" s="120"/>
      <c r="AH55" s="120"/>
      <c r="AI55" s="120"/>
    </row>
    <row r="56" spans="2:40" s="663" customFormat="1" ht="11.25" customHeight="1">
      <c r="B56" s="9" t="s">
        <v>703</v>
      </c>
      <c r="D56" s="57">
        <f>('Historical Financials'!AC90/1000)*1000</f>
        <v>-0.67600000000000549</v>
      </c>
      <c r="E56" s="57">
        <f>('Historical Financials'!AD90/1000)*1000</f>
        <v>-1.5470000000000037</v>
      </c>
      <c r="F56" s="57">
        <f>('Historical Financials'!AE90/1000)*1000</f>
        <v>-9.6700000000000017</v>
      </c>
      <c r="G56" s="57">
        <f>('Historical Financials'!AF90/1000)*1000</f>
        <v>-1.7420000000000044</v>
      </c>
      <c r="H56" s="57">
        <f>('Historical Financials'!AG90/1000)*1000</f>
        <v>-4.8200000000000029</v>
      </c>
      <c r="I56" s="57">
        <f>('Historical Financials'!AH90/1000)*1000</f>
        <v>-2.6960000000000006</v>
      </c>
      <c r="J56" s="57">
        <f>('Historical Financials'!AI90/1000)*1000</f>
        <v>-1.2349999999999959</v>
      </c>
      <c r="K56" s="57">
        <f>('Historical Financials'!AJ90/1000)*1000</f>
        <v>-21.241000000000021</v>
      </c>
      <c r="L56" s="57">
        <f>('Historical Financials'!AK90/1000)*1000</f>
        <v>-3.6600000000000028</v>
      </c>
      <c r="M56" s="57">
        <f>('Historical Financials'!AL90/1000)*1000</f>
        <v>-2.4799999999999898</v>
      </c>
      <c r="N56" s="57">
        <f>('Historical Financials'!AM90/1000)*1000</f>
        <v>-6.244000000000014</v>
      </c>
      <c r="O56" s="57">
        <f>('Historical Financials'!AN90/1000)*1000</f>
        <v>-0.125</v>
      </c>
      <c r="P56" s="57">
        <f>('Historical Financials'!AO90/1000)*1000</f>
        <v>-0.20900000000001029</v>
      </c>
      <c r="Q56" s="57">
        <f>('Historical Financials'!AP90/1000)*1000</f>
        <v>-7.6969999999999672</v>
      </c>
      <c r="R56" s="57">
        <f>('Historical Financials'!AQ90/1000)*1000</f>
        <v>0.52000000000001023</v>
      </c>
      <c r="S56" s="57">
        <f>('Historical Financials'!AR90/1000)*1000</f>
        <v>0.45399999999999996</v>
      </c>
      <c r="T56" s="57">
        <f>('Historical Financials'!AS90/1000)*1000</f>
        <v>0.215</v>
      </c>
      <c r="U56" s="57">
        <f>('Historical Financials'!AT90/1000)*1000</f>
        <v>3.7370000000000001</v>
      </c>
      <c r="V56" s="57">
        <f>('Historical Financials'!AU90/1000)*1000</f>
        <v>3.7719999999999998</v>
      </c>
      <c r="W56" s="57">
        <f>('Historical Financials'!AV90/1000)*1000</f>
        <v>-0.27600000000000002</v>
      </c>
      <c r="X56" s="57">
        <f>('Historical Financials'!AW90/1000)*1000</f>
        <v>-0.92899999999999983</v>
      </c>
      <c r="Y56" s="57">
        <f>('Historical Financials'!AX90/1000)*1000</f>
        <v>0.18099999999999999</v>
      </c>
      <c r="Z56" s="57">
        <f>('Historical Financials'!AY90/1000)*1000</f>
        <v>0.28699999999999998</v>
      </c>
      <c r="AA56" s="57">
        <f>('Historical Financials'!AZ90/1000)*1000</f>
        <v>0.60699999999999998</v>
      </c>
      <c r="AB56" s="57">
        <f>('Historical Financials'!BA90/1000)*1000</f>
        <v>0.39</v>
      </c>
      <c r="AC56" s="57">
        <f>('Historical Financials'!BB90/1000)*1000</f>
        <v>0.98299999999999998</v>
      </c>
      <c r="AD56" s="57">
        <f>('Historical Financials'!BC90/1000)*1000</f>
        <v>0.70399999999999996</v>
      </c>
      <c r="AE56" s="57">
        <f>('Historical Financials'!BD90/1000)*1000</f>
        <v>0.63900000000000001</v>
      </c>
      <c r="AF56" s="57">
        <f>('Historical Financials'!BE90/1000)*1000</f>
        <v>0</v>
      </c>
      <c r="AG56" s="217">
        <v>0</v>
      </c>
      <c r="AH56" s="57"/>
      <c r="AI56" s="57"/>
      <c r="AK56" s="138">
        <f>IFERROR(($AE56/Z56)^(1/5)-1,"n/a")</f>
        <v>0.17360997549798118</v>
      </c>
      <c r="AL56" s="138">
        <f>IFERROR(($AE56/U56)^(1/10)-1,"n/a")</f>
        <v>-0.16189626511092969</v>
      </c>
      <c r="AM56" s="138">
        <f>IFERROR(($AE56/P56)^(1/15)-1,"n/a")</f>
        <v>-2.0773503856835474</v>
      </c>
      <c r="AN56" s="138" t="str">
        <f>IFERROR(($AE56/K56)^(1/20)-1,"n/a")</f>
        <v>n/a</v>
      </c>
    </row>
    <row r="57" spans="2:40" s="663" customFormat="1" ht="11.25" customHeight="1">
      <c r="B57" s="9" t="s">
        <v>704</v>
      </c>
      <c r="D57" s="57">
        <f>('Historical Financials'!AC91/1000)*1000</f>
        <v>0</v>
      </c>
      <c r="E57" s="57">
        <f>('Historical Financials'!AD91/1000)*1000</f>
        <v>0</v>
      </c>
      <c r="F57" s="57">
        <f>('Historical Financials'!AE91/1000)*1000</f>
        <v>0</v>
      </c>
      <c r="G57" s="57">
        <f>('Historical Financials'!AF91/1000)*1000</f>
        <v>0</v>
      </c>
      <c r="H57" s="57">
        <f>('Historical Financials'!AG91/1000)*1000</f>
        <v>0</v>
      </c>
      <c r="I57" s="57">
        <f>('Historical Financials'!AH91/1000)*1000</f>
        <v>0</v>
      </c>
      <c r="J57" s="57">
        <f>('Historical Financials'!AI91/1000)*1000</f>
        <v>0</v>
      </c>
      <c r="K57" s="57">
        <f>('Historical Financials'!AJ91/1000)*1000</f>
        <v>-7.056</v>
      </c>
      <c r="L57" s="57">
        <f>('Historical Financials'!AK91/1000)*1000</f>
        <v>0.27100000000000002</v>
      </c>
      <c r="M57" s="57">
        <f>('Historical Financials'!AL91/1000)*1000</f>
        <v>0.57499999999999996</v>
      </c>
      <c r="N57" s="57">
        <f>('Historical Financials'!AM91/1000)*1000</f>
        <v>-44.975999999999999</v>
      </c>
      <c r="O57" s="57">
        <f>('Historical Financials'!AN91/1000)*1000</f>
        <v>-33.254000000000005</v>
      </c>
      <c r="P57" s="57">
        <f>('Historical Financials'!AO91/1000)*1000</f>
        <v>0.26100000000000001</v>
      </c>
      <c r="Q57" s="57">
        <f>('Historical Financials'!AP91/1000)*1000</f>
        <v>0.245</v>
      </c>
      <c r="R57" s="57">
        <f>('Historical Financials'!AQ91/1000)*1000</f>
        <v>0.14600000000000002</v>
      </c>
      <c r="S57" s="57">
        <f>('Historical Financials'!AR91/1000)*1000</f>
        <v>0.24199999999999999</v>
      </c>
      <c r="T57" s="57">
        <f>('Historical Financials'!AS91/1000)*1000</f>
        <v>0.125</v>
      </c>
      <c r="U57" s="57">
        <f>('Historical Financials'!AT91/1000)*1000</f>
        <v>4.7E-2</v>
      </c>
      <c r="V57" s="57">
        <f>('Historical Financials'!AU91/1000)*1000</f>
        <v>3.4000000000000002E-2</v>
      </c>
      <c r="W57" s="57">
        <f>('Historical Financials'!AV91/1000)*1000</f>
        <v>0</v>
      </c>
      <c r="X57" s="57">
        <f>('Historical Financials'!AW91/1000)*1000</f>
        <v>0</v>
      </c>
      <c r="Y57" s="57">
        <f>('Historical Financials'!AX91/1000)*1000</f>
        <v>0</v>
      </c>
      <c r="Z57" s="57">
        <f>('Historical Financials'!AY91/1000)*1000</f>
        <v>0</v>
      </c>
      <c r="AA57" s="57">
        <f>('Historical Financials'!AZ91/1000)*1000</f>
        <v>0</v>
      </c>
      <c r="AB57" s="57">
        <f>('Historical Financials'!BA91/1000)*1000</f>
        <v>0</v>
      </c>
      <c r="AC57" s="57">
        <f>('Historical Financials'!BB91/1000)*1000</f>
        <v>-0.872</v>
      </c>
      <c r="AD57" s="57">
        <f>('Historical Financials'!BC91/1000)*1000</f>
        <v>0</v>
      </c>
      <c r="AE57" s="57">
        <f>('Historical Financials'!BD91/1000)*1000</f>
        <v>-3.089</v>
      </c>
      <c r="AF57" s="57">
        <f>('Historical Financials'!BE91/1000)*1000</f>
        <v>0</v>
      </c>
      <c r="AG57" s="217">
        <v>0</v>
      </c>
      <c r="AH57" s="57"/>
      <c r="AI57" s="57"/>
      <c r="AK57" s="138" t="str">
        <f>IFERROR(($AE57/Z57)^(1/5)-1,"n/a")</f>
        <v>n/a</v>
      </c>
      <c r="AL57" s="138" t="str">
        <f>IFERROR(($AE57/U57)^(1/10)-1,"n/a")</f>
        <v>n/a</v>
      </c>
      <c r="AM57" s="138">
        <f>IFERROR(($AE57/P57)^(1/15)-1,"n/a")</f>
        <v>-2.1790851239070452</v>
      </c>
      <c r="AN57" s="138">
        <f>IFERROR(($AE57/K57)^(1/20)-1,"n/a")</f>
        <v>-4.0460258321996401E-2</v>
      </c>
    </row>
    <row r="58" spans="2:40" s="663" customFormat="1" ht="11.25" customHeight="1">
      <c r="B58" s="9" t="s">
        <v>705</v>
      </c>
      <c r="D58" s="57">
        <f>('Historical Financials'!AC92/1000)*1000</f>
        <v>11.246</v>
      </c>
      <c r="E58" s="57">
        <f>('Historical Financials'!AD92/1000)*1000</f>
        <v>7.38</v>
      </c>
      <c r="F58" s="57">
        <f>('Historical Financials'!AE92/1000)*1000</f>
        <v>8.5129999999999999</v>
      </c>
      <c r="G58" s="57">
        <f>('Historical Financials'!AF92/1000)*1000</f>
        <v>11.978999999999999</v>
      </c>
      <c r="H58" s="57">
        <f>('Historical Financials'!AG92/1000)*1000</f>
        <v>0.126</v>
      </c>
      <c r="I58" s="57">
        <f>('Historical Financials'!AH92/1000)*1000</f>
        <v>4.1820000000000004</v>
      </c>
      <c r="J58" s="57">
        <f>('Historical Financials'!AI92/1000)*1000</f>
        <v>-4.6310000000000002</v>
      </c>
      <c r="K58" s="57">
        <f>('Historical Financials'!AJ92/1000)*1000</f>
        <v>-5.351</v>
      </c>
      <c r="L58" s="57">
        <f>('Historical Financials'!AK92/1000)*1000</f>
        <v>-8.016</v>
      </c>
      <c r="M58" s="57">
        <f>('Historical Financials'!AL92/1000)*1000</f>
        <v>0.92100000000000004</v>
      </c>
      <c r="N58" s="57">
        <f>('Historical Financials'!AM92/1000)*1000</f>
        <v>-8.5739999999999998</v>
      </c>
      <c r="O58" s="57">
        <f>('Historical Financials'!AN92/1000)*1000</f>
        <v>-0.75900000000000001</v>
      </c>
      <c r="P58" s="57">
        <f>('Historical Financials'!AO92/1000)*1000</f>
        <v>-8.4779999999999998</v>
      </c>
      <c r="Q58" s="57">
        <f>('Historical Financials'!AP92/1000)*1000</f>
        <v>30.980999999999998</v>
      </c>
      <c r="R58" s="57">
        <f>('Historical Financials'!AQ92/1000)*1000</f>
        <v>12.371</v>
      </c>
      <c r="S58" s="57">
        <f>('Historical Financials'!AR92/1000)*1000</f>
        <v>66.34899999999999</v>
      </c>
      <c r="T58" s="57">
        <f>('Historical Financials'!AS92/1000)*1000</f>
        <v>110.505</v>
      </c>
      <c r="U58" s="57">
        <f>('Historical Financials'!AT92/1000)*1000</f>
        <v>15.371</v>
      </c>
      <c r="V58" s="57">
        <f>('Historical Financials'!AU92/1000)*1000</f>
        <v>-1.7000000000000348E-2</v>
      </c>
      <c r="W58" s="57">
        <f>('Historical Financials'!AV92/1000)*1000</f>
        <v>-7.8140000000000001</v>
      </c>
      <c r="X58" s="57">
        <f>('Historical Financials'!AW92/1000)*1000</f>
        <v>-31.220000000000002</v>
      </c>
      <c r="Y58" s="57">
        <f>('Historical Financials'!AX92/1000)*1000</f>
        <v>-37.335000000000001</v>
      </c>
      <c r="Z58" s="57">
        <f>('Historical Financials'!AY92/1000)*1000</f>
        <v>-6.6929999999999996</v>
      </c>
      <c r="AA58" s="57">
        <f>('Historical Financials'!AZ92/1000)*1000</f>
        <v>171.57299999999998</v>
      </c>
      <c r="AB58" s="57">
        <f>('Historical Financials'!BA92/1000)*1000</f>
        <v>393.827</v>
      </c>
      <c r="AC58" s="57">
        <f>('Historical Financials'!BB92/1000)*1000</f>
        <v>69.547000000000011</v>
      </c>
      <c r="AD58" s="57">
        <f>('Historical Financials'!BC92/1000)*1000</f>
        <v>76.393000000000001</v>
      </c>
      <c r="AE58" s="57">
        <f>('Historical Financials'!BD92/1000)*1000</f>
        <v>11.531000000000004</v>
      </c>
      <c r="AF58" s="57">
        <f>('Historical Financials'!BE92/1000)*1000</f>
        <v>0</v>
      </c>
      <c r="AG58" s="217">
        <v>0</v>
      </c>
      <c r="AH58" s="57"/>
      <c r="AI58" s="57"/>
      <c r="AK58" s="138">
        <f>IFERROR(($AE58/Z58)^(1/5)-1,"n/a")</f>
        <v>-2.1149341795033729</v>
      </c>
      <c r="AL58" s="138">
        <f>IFERROR(($AE58/U58)^(1/10)-1,"n/a")</f>
        <v>-2.8335166652572408E-2</v>
      </c>
      <c r="AM58" s="138">
        <f>IFERROR(($AE58/P58)^(1/15)-1,"n/a")</f>
        <v>-2.0207159564861743</v>
      </c>
      <c r="AN58" s="138" t="str">
        <f>IFERROR(($AE58/K58)^(1/20)-1,"n/a")</f>
        <v>n/a</v>
      </c>
    </row>
    <row r="59" spans="2:40" s="663" customFormat="1" ht="11.25" customHeight="1">
      <c r="B59" s="9" t="s">
        <v>277</v>
      </c>
      <c r="D59" s="57">
        <f>('Historical Financials'!AC93/1000)*1000</f>
        <v>0</v>
      </c>
      <c r="E59" s="57">
        <f>('Historical Financials'!AD93/1000)*1000</f>
        <v>0</v>
      </c>
      <c r="F59" s="57">
        <f>('Historical Financials'!AE93/1000)*1000</f>
        <v>0</v>
      </c>
      <c r="G59" s="57">
        <f>('Historical Financials'!AF93/1000)*1000</f>
        <v>0</v>
      </c>
      <c r="H59" s="57">
        <f>('Historical Financials'!AG93/1000)*1000</f>
        <v>-0.45500000000000002</v>
      </c>
      <c r="I59" s="57">
        <f>('Historical Financials'!AH93/1000)*1000</f>
        <v>-0.45500000000000002</v>
      </c>
      <c r="J59" s="57">
        <f>('Historical Financials'!AI93/1000)*1000</f>
        <v>-0.45500000000000002</v>
      </c>
      <c r="K59" s="57">
        <f>('Historical Financials'!AJ93/1000)*1000</f>
        <v>-12.321</v>
      </c>
      <c r="L59" s="57">
        <f>('Historical Financials'!AK93/1000)*1000</f>
        <v>-46.42</v>
      </c>
      <c r="M59" s="57">
        <f>('Historical Financials'!AL93/1000)*1000</f>
        <v>-61.743000000000002</v>
      </c>
      <c r="N59" s="57">
        <f>('Historical Financials'!AM93/1000)*1000</f>
        <v>-77.387</v>
      </c>
      <c r="O59" s="57">
        <f>('Historical Financials'!AN93/1000)*1000</f>
        <v>-76.778999999999996</v>
      </c>
      <c r="P59" s="57">
        <f>('Historical Financials'!AO93/1000)*1000</f>
        <v>-76.876000000000005</v>
      </c>
      <c r="Q59" s="57">
        <f>('Historical Financials'!AP93/1000)*1000</f>
        <v>-77.707999999999998</v>
      </c>
      <c r="R59" s="57">
        <f>('Historical Financials'!AQ93/1000)*1000</f>
        <v>-77.73</v>
      </c>
      <c r="S59" s="57">
        <f>('Historical Financials'!AR93/1000)*1000</f>
        <v>-77.748999999999995</v>
      </c>
      <c r="T59" s="57">
        <f>('Historical Financials'!AS93/1000)*1000</f>
        <v>-77.772999999999996</v>
      </c>
      <c r="U59" s="57">
        <f>('Historical Financials'!AT93/1000)*1000</f>
        <v>-77.786000000000001</v>
      </c>
      <c r="V59" s="57">
        <f>('Historical Financials'!AU93/1000)*1000</f>
        <v>-116.68300000000001</v>
      </c>
      <c r="W59" s="57">
        <f>('Historical Financials'!AV93/1000)*1000</f>
        <v>-155.58199999999999</v>
      </c>
      <c r="X59" s="57">
        <f>('Historical Financials'!AW93/1000)*1000</f>
        <v>-181.51300000000001</v>
      </c>
      <c r="Y59" s="57">
        <f>('Historical Financials'!AX93/1000)*1000</f>
        <v>-207.44300000000001</v>
      </c>
      <c r="Z59" s="57">
        <f>('Historical Financials'!AY93/1000)*1000</f>
        <v>-259.30399999999997</v>
      </c>
      <c r="AA59" s="57">
        <f>('Historical Financials'!AZ93/1000)*1000</f>
        <v>-259.30399999999997</v>
      </c>
      <c r="AB59" s="57">
        <f>('Historical Financials'!BA93/1000)*1000</f>
        <v>-265.786</v>
      </c>
      <c r="AC59" s="57">
        <f>('Historical Financials'!BB93/1000)*1000</f>
        <v>-285.23399999999998</v>
      </c>
      <c r="AD59" s="57">
        <f>('Historical Financials'!BC93/1000)*1000</f>
        <v>-291.72199999999998</v>
      </c>
      <c r="AE59" s="57">
        <f>('Historical Financials'!BD93/1000)*1000</f>
        <v>-259.32100000000003</v>
      </c>
      <c r="AF59" s="57">
        <f>('Historical Financials'!BE93/1000)*1000</f>
        <v>0</v>
      </c>
      <c r="AG59" s="217">
        <v>0</v>
      </c>
      <c r="AH59" s="57"/>
      <c r="AI59" s="57"/>
      <c r="AK59" s="138">
        <f>IFERROR(($AE59/Z59)^(1/5)-1,"n/a")</f>
        <v>1.3111679117105979E-5</v>
      </c>
      <c r="AL59" s="138">
        <f>IFERROR(($AE59/U59)^(1/10)-1,"n/a")</f>
        <v>0.12795980774951943</v>
      </c>
      <c r="AM59" s="138">
        <f>IFERROR(($AE59/P59)^(1/15)-1,"n/a")</f>
        <v>8.4434004622846892E-2</v>
      </c>
      <c r="AN59" s="138">
        <f>IFERROR(($AE59/K59)^(1/20)-1,"n/a")</f>
        <v>0.16455387952024281</v>
      </c>
    </row>
    <row r="60" spans="2:40" s="663" customFormat="1" ht="11.25" customHeight="1">
      <c r="B60" s="35" t="s">
        <v>19</v>
      </c>
      <c r="D60" s="57">
        <f>('Historical Financials'!AC94/1000)*1000</f>
        <v>-2.4459439999999901</v>
      </c>
      <c r="E60" s="57">
        <f>('Historical Financials'!AD94/1000)*1000</f>
        <v>0.53236800000000084</v>
      </c>
      <c r="F60" s="57">
        <f>('Historical Financials'!AE94/1000)*1000</f>
        <v>7.5439109999999996</v>
      </c>
      <c r="G60" s="57">
        <f>('Historical Financials'!AF94/1000)*1000</f>
        <v>9.7167370000000091</v>
      </c>
      <c r="H60" s="57">
        <f>('Historical Financials'!AG94/1000)*1000</f>
        <v>-1.1660890000000017</v>
      </c>
      <c r="I60" s="57">
        <f>('Historical Financials'!AH94/1000)*1000</f>
        <v>-12.957212000000006</v>
      </c>
      <c r="J60" s="57">
        <f>('Historical Financials'!AI94/1000)*1000</f>
        <v>-35.889033999999995</v>
      </c>
      <c r="K60" s="57">
        <f>('Historical Financials'!AJ94/1000)*1000</f>
        <v>-55.183609000000004</v>
      </c>
      <c r="L60" s="57">
        <f>('Historical Financials'!AK94/1000)*1000</f>
        <v>2.532589999999999</v>
      </c>
      <c r="M60" s="57">
        <f>('Historical Financials'!AL94/1000)*1000</f>
        <v>-45.831000000000039</v>
      </c>
      <c r="N60" s="57">
        <f>('Historical Financials'!AM94/1000)*1000</f>
        <v>9.7555420000000197</v>
      </c>
      <c r="O60" s="57">
        <f>('Historical Financials'!AN94/1000)*1000</f>
        <v>43.515164999999982</v>
      </c>
      <c r="P60" s="57">
        <f>('Historical Financials'!AO94/1000)*1000</f>
        <v>-12.426446000000013</v>
      </c>
      <c r="Q60" s="57">
        <f>('Historical Financials'!AP94/1000)*1000</f>
        <v>-12.981837000000041</v>
      </c>
      <c r="R60" s="57">
        <f>('Historical Financials'!AQ94/1000)*1000</f>
        <v>25.801210999999995</v>
      </c>
      <c r="S60" s="57">
        <f>('Historical Financials'!AR94/1000)*1000</f>
        <v>-28.807614000000086</v>
      </c>
      <c r="T60" s="57">
        <f>('Historical Financials'!AS94/1000)*1000</f>
        <v>7.2349999999999852</v>
      </c>
      <c r="U60" s="57">
        <f>('Historical Financials'!AT94/1000)*1000</f>
        <v>41.906999999999968</v>
      </c>
      <c r="V60" s="57">
        <f>('Historical Financials'!AU94/1000)*1000</f>
        <v>43.833000000000013</v>
      </c>
      <c r="W60" s="57">
        <f>('Historical Financials'!AV94/1000)*1000</f>
        <v>-72.563999999999908</v>
      </c>
      <c r="X60" s="57">
        <f>('Historical Financials'!AW94/1000)*1000</f>
        <v>-35.063999999999965</v>
      </c>
      <c r="Y60" s="57">
        <f>('Historical Financials'!AX94/1000)*1000</f>
        <v>-0.99500000000006139</v>
      </c>
      <c r="Z60" s="57">
        <f>('Historical Financials'!AY94/1000)*1000</f>
        <v>-24.362000000000023</v>
      </c>
      <c r="AA60" s="57">
        <f>('Historical Financials'!AZ94/1000)*1000</f>
        <v>-30.468999999999937</v>
      </c>
      <c r="AB60" s="57">
        <f>('Historical Financials'!BA94/1000)*1000</f>
        <v>3.1290000000000759</v>
      </c>
      <c r="AC60" s="57">
        <f>('Historical Financials'!BB94/1000)*1000</f>
        <v>-45.199000000000126</v>
      </c>
      <c r="AD60" s="57">
        <f>('Historical Financials'!BC94/1000)*1000</f>
        <v>-3.2049999999999841</v>
      </c>
      <c r="AE60" s="57">
        <f>('Historical Financials'!BD94/1000)*1000</f>
        <v>4.7109999999999559</v>
      </c>
      <c r="AF60" s="57">
        <f>('Historical Financials'!BE94/1000)*1000</f>
        <v>0</v>
      </c>
      <c r="AG60" s="217">
        <v>0</v>
      </c>
      <c r="AH60" s="57"/>
      <c r="AI60" s="57"/>
      <c r="AK60" s="138">
        <f>IFERROR(($AE60/Z60)^(1/5)-1,"n/a")</f>
        <v>-1.7199130282884996</v>
      </c>
      <c r="AL60" s="138">
        <f>IFERROR(($AE60/U60)^(1/10)-1,"n/a")</f>
        <v>-0.19632093933192341</v>
      </c>
      <c r="AM60" s="138">
        <f>IFERROR(($AE60/P60)^(1/15)-1,"n/a")</f>
        <v>-1.9373844492029308</v>
      </c>
      <c r="AN60" s="138" t="str">
        <f>IFERROR(($AE60/K60)^(1/20)-1,"n/a")</f>
        <v>n/a</v>
      </c>
    </row>
    <row r="61" spans="2:40" s="663" customFormat="1" ht="11.25" customHeight="1">
      <c r="B61" s="35"/>
      <c r="D61" s="120"/>
      <c r="E61" s="120"/>
      <c r="F61" s="120"/>
      <c r="G61" s="120"/>
      <c r="H61" s="120"/>
      <c r="I61" s="120"/>
      <c r="J61" s="120"/>
      <c r="K61" s="120"/>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20"/>
    </row>
    <row r="62" spans="2:40" s="663" customFormat="1" ht="11.25" customHeight="1">
      <c r="B62" s="80" t="s">
        <v>36</v>
      </c>
      <c r="D62" s="120"/>
      <c r="E62" s="120"/>
      <c r="F62" s="120"/>
      <c r="G62" s="120"/>
      <c r="H62" s="120"/>
      <c r="I62" s="120"/>
      <c r="J62" s="120"/>
      <c r="K62" s="120"/>
      <c r="L62" s="120"/>
      <c r="M62" s="120"/>
      <c r="N62" s="120"/>
      <c r="O62" s="120"/>
      <c r="P62" s="120"/>
      <c r="Q62" s="120"/>
      <c r="R62" s="120"/>
      <c r="S62" s="120"/>
      <c r="T62" s="120"/>
      <c r="U62" s="120"/>
      <c r="V62" s="120"/>
      <c r="W62" s="120"/>
      <c r="X62" s="120"/>
      <c r="Y62" s="120"/>
      <c r="Z62" s="120"/>
      <c r="AA62" s="120"/>
      <c r="AB62" s="120"/>
      <c r="AC62" s="120"/>
      <c r="AD62" s="120"/>
      <c r="AE62" s="120"/>
      <c r="AF62" s="120"/>
      <c r="AG62" s="120"/>
      <c r="AH62" s="120"/>
      <c r="AI62" s="120"/>
    </row>
    <row r="63" spans="2:40" s="663" customFormat="1" ht="11.25" customHeight="1">
      <c r="B63" s="668" t="s">
        <v>406</v>
      </c>
      <c r="D63" s="57">
        <f>('Historical Financials'!AC97/1000)*1000</f>
        <v>12.233000000000001</v>
      </c>
      <c r="E63" s="57">
        <f>('Historical Financials'!AD97/1000)*1000</f>
        <v>22.931000000000001</v>
      </c>
      <c r="F63" s="57">
        <f>('Historical Financials'!AE97/1000)*1000</f>
        <v>20</v>
      </c>
      <c r="G63" s="57">
        <f>('Historical Financials'!AF97/1000)*1000</f>
        <v>32.884999999999998</v>
      </c>
      <c r="H63" s="57">
        <f>('Historical Financials'!AG97/1000)*1000</f>
        <v>35.268999999999998</v>
      </c>
      <c r="I63" s="57">
        <f>('Historical Financials'!AH97/1000)*1000</f>
        <v>47.838000000000001</v>
      </c>
      <c r="J63" s="57">
        <f>('Historical Financials'!AI97/1000)*1000</f>
        <v>35.408000000000001</v>
      </c>
      <c r="K63" s="57">
        <f>('Historical Financials'!AJ97/1000)*1000</f>
        <v>30.382999999999999</v>
      </c>
      <c r="L63" s="57">
        <f>('Historical Financials'!AK97/1000)*1000</f>
        <v>19.832999999999998</v>
      </c>
      <c r="M63" s="57">
        <f>('Historical Financials'!AL97/1000)*1000</f>
        <v>19.503999999999998</v>
      </c>
      <c r="N63" s="57">
        <f>('Historical Financials'!AM97/1000)*1000</f>
        <v>12.781000000000001</v>
      </c>
      <c r="O63" s="57">
        <f>('Historical Financials'!AN97/1000)*1000</f>
        <v>12.722</v>
      </c>
      <c r="P63" s="57">
        <f>('Historical Financials'!AO97/1000)*1000</f>
        <v>5.4489999999999998</v>
      </c>
      <c r="Q63" s="57">
        <f>('Historical Financials'!AP97/1000)*1000</f>
        <v>35.954999999999998</v>
      </c>
      <c r="R63" s="57">
        <f>('Historical Financials'!AQ97/1000)*1000</f>
        <v>48.489999999999995</v>
      </c>
      <c r="S63" s="57">
        <f>('Historical Financials'!AR97/1000)*1000</f>
        <v>114.843</v>
      </c>
      <c r="T63" s="57">
        <f>('Historical Financials'!AS97/1000)*1000</f>
        <v>226.41300000000001</v>
      </c>
      <c r="U63" s="57">
        <f>('Historical Financials'!AT97/1000)*1000</f>
        <v>249.833</v>
      </c>
      <c r="V63" s="57">
        <f>('Historical Financials'!AU97/1000)*1000</f>
        <v>254.95699999999999</v>
      </c>
      <c r="W63" s="57">
        <f>('Historical Financials'!AV97/1000)*1000</f>
        <v>249.16199999999998</v>
      </c>
      <c r="X63" s="57">
        <f>('Historical Financials'!AW97/1000)*1000</f>
        <v>213.96800000000002</v>
      </c>
      <c r="Y63" s="57">
        <f>('Historical Financials'!AX97/1000)*1000</f>
        <v>180.55500000000001</v>
      </c>
      <c r="Z63" s="57">
        <f>('Historical Financials'!AY97/1000)*1000</f>
        <v>175.422</v>
      </c>
      <c r="AA63" s="57">
        <f>('Historical Financials'!AZ97/1000)*1000</f>
        <v>345.26400000000001</v>
      </c>
      <c r="AB63" s="57">
        <f>('Historical Financials'!BA97/1000)*1000</f>
        <v>729.55899999999997</v>
      </c>
      <c r="AC63" s="57">
        <f>('Historical Financials'!BB97/1000)*1000</f>
        <v>853.65</v>
      </c>
      <c r="AD63" s="57">
        <f>('Historical Financials'!BC97/1000)*1000</f>
        <v>923.19299999999998</v>
      </c>
      <c r="AE63" s="57">
        <f>('Historical Financials'!BD97/1000)*1000</f>
        <v>968.5089999999999</v>
      </c>
      <c r="AF63" s="57">
        <f>('Historical Financials'!BE97/1000)*1000</f>
        <v>968.5089999999999</v>
      </c>
      <c r="AG63" s="217">
        <f>+AF63+AG58</f>
        <v>968.5089999999999</v>
      </c>
      <c r="AH63" s="57"/>
      <c r="AI63" s="57"/>
      <c r="AK63" s="138">
        <f>IFERROR(($AE63/Z63)^(1/5)-1,"n/a")</f>
        <v>0.40735584298467176</v>
      </c>
      <c r="AL63" s="138">
        <f>IFERROR(($AE63/U63)^(1/10)-1,"n/a")</f>
        <v>0.1451051972201578</v>
      </c>
      <c r="AM63" s="138">
        <f>IFERROR(($AE63/P63)^(1/15)-1,"n/a")</f>
        <v>0.41249132815677036</v>
      </c>
      <c r="AN63" s="138">
        <f>IFERROR(($AE63/K63)^(1/20)-1,"n/a")</f>
        <v>0.18897753880616319</v>
      </c>
    </row>
    <row r="64" spans="2:40" s="663" customFormat="1" ht="13.5" customHeight="1">
      <c r="B64" s="668" t="s">
        <v>278</v>
      </c>
      <c r="D64" s="210">
        <f>('Historical Financials'!AC98/1000)*1000</f>
        <v>17.862000000000002</v>
      </c>
      <c r="E64" s="210">
        <f>('Historical Financials'!AD98/1000)*1000</f>
        <v>15.585000000000001</v>
      </c>
      <c r="F64" s="210">
        <f>('Historical Financials'!AE98/1000)*1000</f>
        <v>18.570999999999998</v>
      </c>
      <c r="G64" s="210">
        <f>('Historical Financials'!AF98/1000)*1000</f>
        <v>41.192</v>
      </c>
      <c r="H64" s="210">
        <f>('Historical Financials'!AG98/1000)*1000</f>
        <v>38.954000000000001</v>
      </c>
      <c r="I64" s="210">
        <f>('Historical Financials'!AH98/1000)*1000</f>
        <v>67.960000000000008</v>
      </c>
      <c r="J64" s="210">
        <f>('Historical Financials'!AI98/1000)*1000</f>
        <v>116.601</v>
      </c>
      <c r="K64" s="210">
        <f>('Historical Financials'!AJ98/1000)*1000</f>
        <v>128.41</v>
      </c>
      <c r="L64" s="210">
        <f>('Historical Financials'!AK98/1000)*1000</f>
        <v>143.88299999999998</v>
      </c>
      <c r="M64" s="210">
        <f>('Historical Financials'!AL98/1000)*1000</f>
        <v>195.07900000000001</v>
      </c>
      <c r="N64" s="210">
        <f>('Historical Financials'!AM98/1000)*1000</f>
        <v>174.834</v>
      </c>
      <c r="O64" s="210">
        <f>('Historical Financials'!AN98/1000)*1000</f>
        <v>211.45</v>
      </c>
      <c r="P64" s="210">
        <f>('Historical Financials'!AO98/1000)*1000</f>
        <v>195.79700000000003</v>
      </c>
      <c r="Q64" s="210">
        <f>('Historical Financials'!AP98/1000)*1000</f>
        <v>181.57400000000001</v>
      </c>
      <c r="R64" s="210">
        <f>('Historical Financials'!AQ98/1000)*1000</f>
        <v>150.62200000000001</v>
      </c>
      <c r="S64" s="210">
        <f>('Historical Financials'!AR98/1000)*1000</f>
        <v>150.91800000000001</v>
      </c>
      <c r="T64" s="210">
        <f>('Historical Financials'!AS98/1000)*1000</f>
        <v>245.34199999999998</v>
      </c>
      <c r="U64" s="210">
        <f>('Historical Financials'!AT98/1000)*1000</f>
        <v>436.92399999999998</v>
      </c>
      <c r="V64" s="210">
        <f>('Historical Financials'!AU98/1000)*1000</f>
        <v>586.16300000000001</v>
      </c>
      <c r="W64" s="210">
        <f>('Historical Financials'!AV98/1000)*1000</f>
        <v>632.10900000000004</v>
      </c>
      <c r="X64" s="210">
        <f>('Historical Financials'!AW98/1000)*1000</f>
        <v>649.35900000000004</v>
      </c>
      <c r="Y64" s="210">
        <f>('Historical Financials'!AX98/1000)*1000</f>
        <v>695.18200000000002</v>
      </c>
      <c r="Z64" s="210">
        <f>('Historical Financials'!AY98/1000)*1000</f>
        <v>583.44799999999998</v>
      </c>
      <c r="AA64" s="210">
        <f>('Historical Financials'!AZ98/1000)*1000</f>
        <v>791.47700000000009</v>
      </c>
      <c r="AB64" s="210">
        <f>('Historical Financials'!BA98/1000)*1000</f>
        <v>1188.4549999999999</v>
      </c>
      <c r="AC64" s="210">
        <f>('Historical Financials'!BB98/1000)*1000</f>
        <v>1561.4860000000001</v>
      </c>
      <c r="AD64" s="210">
        <f>('Historical Financials'!BC98/1000)*1000</f>
        <v>1687.6450000000002</v>
      </c>
      <c r="AE64" s="210">
        <f ca="1">('Historical Financials'!BD98/1000)*1000</f>
        <v>2334.3474052248921</v>
      </c>
      <c r="AF64" s="210">
        <f ca="1">('Historical Financials'!BE98/1000)*1000</f>
        <v>3382.1369705748884</v>
      </c>
      <c r="AG64" s="166">
        <f ca="1">+AF64+AG53+SUM(AG56:AG60)</f>
        <v>4415.8299401730055</v>
      </c>
      <c r="AH64" s="210"/>
      <c r="AI64" s="210"/>
      <c r="AK64" s="529">
        <f ca="1">IFERROR(($AE64/Z64)^(1/5)-1,"n/a")</f>
        <v>0.31957070915716734</v>
      </c>
      <c r="AL64" s="529">
        <f ca="1">IFERROR(($AE64/U64)^(1/10)-1,"n/a")</f>
        <v>0.18243141301943178</v>
      </c>
      <c r="AM64" s="529">
        <f ca="1">IFERROR(($AE64/P64)^(1/15)-1,"n/a")</f>
        <v>0.17966120470829527</v>
      </c>
      <c r="AN64" s="529">
        <f ca="1">IFERROR(($AE64/K64)^(1/20)-1,"n/a")</f>
        <v>0.15605456288943653</v>
      </c>
    </row>
    <row r="65" spans="2:40" s="663" customFormat="1" ht="11.25" customHeight="1">
      <c r="B65" s="669" t="s">
        <v>316</v>
      </c>
      <c r="D65" s="667">
        <f t="shared" ref="D65" si="182">D63-D64</f>
        <v>-5.6290000000000013</v>
      </c>
      <c r="E65" s="667">
        <f t="shared" ref="E65:AE65" si="183">E63-E64</f>
        <v>7.3460000000000001</v>
      </c>
      <c r="F65" s="667">
        <f t="shared" si="183"/>
        <v>1.429000000000002</v>
      </c>
      <c r="G65" s="667">
        <f t="shared" si="183"/>
        <v>-8.3070000000000022</v>
      </c>
      <c r="H65" s="667">
        <f t="shared" si="183"/>
        <v>-3.6850000000000023</v>
      </c>
      <c r="I65" s="667">
        <f t="shared" si="183"/>
        <v>-20.122000000000007</v>
      </c>
      <c r="J65" s="667">
        <f t="shared" si="183"/>
        <v>-81.192999999999998</v>
      </c>
      <c r="K65" s="667">
        <f t="shared" si="183"/>
        <v>-98.027000000000001</v>
      </c>
      <c r="L65" s="667">
        <f t="shared" si="183"/>
        <v>-124.04999999999998</v>
      </c>
      <c r="M65" s="667">
        <f t="shared" si="183"/>
        <v>-175.57500000000002</v>
      </c>
      <c r="N65" s="667">
        <f t="shared" si="183"/>
        <v>-162.053</v>
      </c>
      <c r="O65" s="667">
        <f t="shared" si="183"/>
        <v>-198.72799999999998</v>
      </c>
      <c r="P65" s="667">
        <f t="shared" si="183"/>
        <v>-190.34800000000001</v>
      </c>
      <c r="Q65" s="667">
        <f t="shared" si="183"/>
        <v>-145.61900000000003</v>
      </c>
      <c r="R65" s="667">
        <f t="shared" si="183"/>
        <v>-102.13200000000002</v>
      </c>
      <c r="S65" s="667">
        <f t="shared" si="183"/>
        <v>-36.075000000000003</v>
      </c>
      <c r="T65" s="667">
        <f t="shared" si="183"/>
        <v>-18.928999999999974</v>
      </c>
      <c r="U65" s="667">
        <f t="shared" si="183"/>
        <v>-187.09099999999998</v>
      </c>
      <c r="V65" s="667">
        <f t="shared" si="183"/>
        <v>-331.20600000000002</v>
      </c>
      <c r="W65" s="667">
        <f t="shared" si="183"/>
        <v>-382.94700000000006</v>
      </c>
      <c r="X65" s="667">
        <f t="shared" si="183"/>
        <v>-435.39100000000002</v>
      </c>
      <c r="Y65" s="667">
        <f t="shared" si="183"/>
        <v>-514.62699999999995</v>
      </c>
      <c r="Z65" s="667">
        <f t="shared" si="183"/>
        <v>-408.02599999999995</v>
      </c>
      <c r="AA65" s="667">
        <f t="shared" si="183"/>
        <v>-446.21300000000008</v>
      </c>
      <c r="AB65" s="667">
        <f t="shared" si="183"/>
        <v>-458.89599999999996</v>
      </c>
      <c r="AC65" s="667">
        <f t="shared" si="183"/>
        <v>-707.83600000000013</v>
      </c>
      <c r="AD65" s="667">
        <f t="shared" si="183"/>
        <v>-764.45200000000023</v>
      </c>
      <c r="AE65" s="667">
        <f t="shared" ca="1" si="183"/>
        <v>-1365.8384052248921</v>
      </c>
      <c r="AF65" s="667">
        <f t="shared" ref="AF65:AG65" ca="1" si="184">AF63-AF64</f>
        <v>-2413.6279705748884</v>
      </c>
      <c r="AG65" s="667">
        <f t="shared" ca="1" si="184"/>
        <v>-3447.3209401730055</v>
      </c>
      <c r="AH65" s="667"/>
      <c r="AI65" s="667"/>
      <c r="AK65" s="138">
        <f ca="1">IFERROR(($AE65/Z65)^(1/5)-1,"n/a")</f>
        <v>0.27333388538242631</v>
      </c>
      <c r="AL65" s="138">
        <f ca="1">IFERROR(($AE65/U65)^(1/10)-1,"n/a")</f>
        <v>0.21992924429564642</v>
      </c>
      <c r="AM65" s="138">
        <f ca="1">IFERROR(($AE65/P65)^(1/15)-1,"n/a")</f>
        <v>0.14039875230343224</v>
      </c>
      <c r="AN65" s="138">
        <f ca="1">IFERROR(($AE65/K65)^(1/20)-1,"n/a")</f>
        <v>0.14078205369506347</v>
      </c>
    </row>
    <row r="66" spans="2:40" s="663" customFormat="1" ht="11.25" customHeight="1">
      <c r="B66" s="36" t="s">
        <v>424</v>
      </c>
      <c r="D66" s="188">
        <f>D65/D36</f>
        <v>-0.2278025091056253</v>
      </c>
      <c r="E66" s="188">
        <f t="shared" ref="E66:AE66" si="185">E65/E36</f>
        <v>0.25241384049754328</v>
      </c>
      <c r="F66" s="188">
        <f t="shared" si="185"/>
        <v>3.0899301576318514E-2</v>
      </c>
      <c r="G66" s="188">
        <f t="shared" si="185"/>
        <v>-8.0853797412912098E-2</v>
      </c>
      <c r="H66" s="188">
        <f t="shared" si="185"/>
        <v>-5.4110806008722361E-2</v>
      </c>
      <c r="I66" s="188">
        <f t="shared" si="185"/>
        <v>-0.20832384304793466</v>
      </c>
      <c r="J66" s="188">
        <f t="shared" si="185"/>
        <v>-0.6740133818133518</v>
      </c>
      <c r="K66" s="188">
        <f t="shared" si="185"/>
        <v>-0.61924826279216671</v>
      </c>
      <c r="L66" s="188">
        <f t="shared" si="185"/>
        <v>-0.74452186751651972</v>
      </c>
      <c r="M66" s="188">
        <f t="shared" si="185"/>
        <v>-0.87359438750124419</v>
      </c>
      <c r="N66" s="188">
        <f t="shared" si="185"/>
        <v>-0.84522785001590817</v>
      </c>
      <c r="O66" s="188">
        <f t="shared" si="185"/>
        <v>-1.0687346394402704</v>
      </c>
      <c r="P66" s="188">
        <f t="shared" si="185"/>
        <v>-1.1016975639118634</v>
      </c>
      <c r="Q66" s="188">
        <f t="shared" si="185"/>
        <v>-0.58958641213029139</v>
      </c>
      <c r="R66" s="188">
        <f t="shared" si="185"/>
        <v>-0.40977535618422478</v>
      </c>
      <c r="S66" s="188">
        <f t="shared" si="185"/>
        <v>-0.11543039619103693</v>
      </c>
      <c r="T66" s="188">
        <f t="shared" si="185"/>
        <v>-5.1773606373987584E-2</v>
      </c>
      <c r="U66" s="188">
        <f t="shared" si="185"/>
        <v>-0.37710684065612882</v>
      </c>
      <c r="V66" s="188">
        <f t="shared" si="185"/>
        <v>-0.61045720794612157</v>
      </c>
      <c r="W66" s="188">
        <f t="shared" si="185"/>
        <v>-0.63635079579784193</v>
      </c>
      <c r="X66" s="188">
        <f t="shared" si="185"/>
        <v>-0.6742909267742706</v>
      </c>
      <c r="Y66" s="188">
        <f t="shared" si="185"/>
        <v>-0.76109164435511545</v>
      </c>
      <c r="Z66" s="188">
        <f t="shared" si="185"/>
        <v>-0.61860976653930044</v>
      </c>
      <c r="AA66" s="188">
        <f t="shared" si="185"/>
        <v>-0.49661505211438606</v>
      </c>
      <c r="AB66" s="188">
        <f t="shared" si="185"/>
        <v>-0.42792451916752422</v>
      </c>
      <c r="AC66" s="188">
        <f t="shared" si="185"/>
        <v>-0.45416803326136462</v>
      </c>
      <c r="AD66" s="188">
        <f t="shared" si="185"/>
        <v>-0.52588196527791653</v>
      </c>
      <c r="AE66" s="188">
        <f t="shared" ca="1" si="185"/>
        <v>-0.68433414463191233</v>
      </c>
      <c r="AF66" s="188">
        <f t="shared" ref="AF66:AG66" ca="1" si="186">AF65/AF36</f>
        <v>-0.99585251191213531</v>
      </c>
      <c r="AG66" s="188">
        <f t="shared" ca="1" si="186"/>
        <v>-1.2200876591482246</v>
      </c>
      <c r="AH66" s="188"/>
      <c r="AI66" s="188"/>
    </row>
    <row r="67" spans="2:40" s="663" customFormat="1" ht="11.25" customHeight="1">
      <c r="B67" s="35"/>
      <c r="D67" s="120"/>
      <c r="E67" s="120"/>
      <c r="F67" s="120"/>
      <c r="G67" s="120"/>
      <c r="H67" s="120"/>
      <c r="I67" s="120"/>
      <c r="J67" s="120"/>
      <c r="K67" s="120"/>
      <c r="L67" s="120"/>
      <c r="M67" s="120"/>
      <c r="N67" s="120"/>
      <c r="O67" s="120"/>
      <c r="P67" s="120"/>
      <c r="Q67" s="120"/>
      <c r="R67" s="120"/>
      <c r="S67" s="120"/>
      <c r="T67" s="120"/>
      <c r="U67" s="120"/>
      <c r="V67" s="120"/>
      <c r="W67" s="120"/>
      <c r="X67" s="120"/>
      <c r="Y67" s="120"/>
      <c r="Z67" s="120"/>
      <c r="AA67" s="120"/>
      <c r="AB67" s="120"/>
      <c r="AC67" s="120"/>
      <c r="AD67" s="120"/>
      <c r="AE67" s="120"/>
      <c r="AF67" s="120"/>
      <c r="AG67" s="120"/>
      <c r="AH67" s="120"/>
      <c r="AI67" s="120"/>
    </row>
    <row r="68" spans="2:40" s="663" customFormat="1" ht="11.25" customHeight="1">
      <c r="B68" s="32" t="s">
        <v>35</v>
      </c>
      <c r="D68" s="497"/>
      <c r="E68" s="120"/>
      <c r="F68" s="120"/>
      <c r="G68" s="120"/>
      <c r="H68" s="120"/>
      <c r="I68" s="120"/>
      <c r="J68" s="120"/>
      <c r="K68" s="120"/>
      <c r="L68" s="120"/>
      <c r="M68" s="120"/>
      <c r="N68" s="120"/>
      <c r="O68" s="120"/>
      <c r="P68" s="120"/>
      <c r="Q68" s="120"/>
      <c r="R68" s="120"/>
      <c r="S68" s="120"/>
      <c r="T68" s="120"/>
      <c r="U68" s="120"/>
      <c r="V68" s="120"/>
      <c r="W68" s="120"/>
      <c r="X68" s="120"/>
      <c r="Y68" s="120"/>
      <c r="Z68" s="120"/>
      <c r="AA68" s="120"/>
      <c r="AB68" s="120"/>
      <c r="AC68" s="120"/>
      <c r="AD68" s="328"/>
      <c r="AE68" s="120"/>
      <c r="AF68" s="120"/>
      <c r="AG68" s="120"/>
      <c r="AH68" s="120"/>
      <c r="AI68" s="120"/>
    </row>
    <row r="69" spans="2:40" s="663" customFormat="1" ht="11.25" customHeight="1">
      <c r="B69" s="9" t="s">
        <v>49</v>
      </c>
      <c r="D69" s="328">
        <v>69.41439299999999</v>
      </c>
      <c r="E69" s="328">
        <v>84.070666000000003</v>
      </c>
      <c r="F69" s="328">
        <v>120.76984</v>
      </c>
      <c r="G69" s="328">
        <v>261.75369899999998</v>
      </c>
      <c r="H69" s="328">
        <v>277.19007500000004</v>
      </c>
      <c r="I69" s="328">
        <v>295.853207</v>
      </c>
      <c r="J69" s="328">
        <v>329.21430900000001</v>
      </c>
      <c r="K69" s="328">
        <v>398.96529900000002</v>
      </c>
      <c r="L69" s="328">
        <v>446.23899999999998</v>
      </c>
      <c r="M69" s="328">
        <v>509.13799999999998</v>
      </c>
      <c r="N69" s="328">
        <v>490.68557099999998</v>
      </c>
      <c r="O69" s="328">
        <v>480.37246700000003</v>
      </c>
      <c r="P69" s="328">
        <v>499.04854799999998</v>
      </c>
      <c r="Q69" s="328">
        <v>578.70440500000007</v>
      </c>
      <c r="R69" s="328">
        <v>632.04355099999998</v>
      </c>
      <c r="S69" s="328">
        <v>725.75369899999998</v>
      </c>
      <c r="T69" s="328">
        <v>847.77508499999999</v>
      </c>
      <c r="U69" s="328">
        <v>1045.675747</v>
      </c>
      <c r="V69" s="328">
        <v>1222.6344790000001</v>
      </c>
      <c r="W69" s="328">
        <v>1390.0511259999998</v>
      </c>
      <c r="X69" s="328">
        <v>1522.7596429999999</v>
      </c>
      <c r="Y69" s="328">
        <v>1677.496396</v>
      </c>
      <c r="Z69" s="328">
        <v>1622.0954260000001</v>
      </c>
      <c r="AA69" s="328">
        <v>1850.621999</v>
      </c>
      <c r="AB69" s="328">
        <v>2170.733205</v>
      </c>
      <c r="AC69" s="328">
        <v>2960.4888669999996</v>
      </c>
      <c r="AD69" s="328">
        <v>3483.262847</v>
      </c>
      <c r="AE69" s="126">
        <f ca="1">AD69+AE28+AE59</f>
        <v>4406.4368147230389</v>
      </c>
      <c r="AF69" s="126">
        <f ca="1">AE69+AF28+AF59</f>
        <v>5894.4013977585346</v>
      </c>
      <c r="AG69" s="126">
        <f ca="1">AF69+AG28+AG59</f>
        <v>7539.2709747520457</v>
      </c>
      <c r="AH69" s="126"/>
      <c r="AI69" s="126"/>
      <c r="AK69" s="120">
        <f ca="1">IFERROR(($AE69/Z69)^(1/5)-1,"n/a")</f>
        <v>0.22124339945580695</v>
      </c>
      <c r="AL69" s="120">
        <f ca="1">IFERROR(($AE69/U69)^(1/10)-1,"n/a")</f>
        <v>0.15469969519544713</v>
      </c>
      <c r="AM69" s="120">
        <f ca="1">IFERROR(($AE69/P69)^(1/15)-1,"n/a")</f>
        <v>0.15627991905434402</v>
      </c>
      <c r="AN69" s="120">
        <f ca="1">IFERROR(($AE69/K69)^(1/20)-1,"n/a")</f>
        <v>0.12760663115264026</v>
      </c>
    </row>
    <row r="70" spans="2:40" s="52" customFormat="1" ht="11.25" customHeight="1">
      <c r="B70" s="41" t="s">
        <v>727</v>
      </c>
      <c r="D70" s="501"/>
      <c r="E70" s="501">
        <f>+IFERROR(IF(AVERAGE(D69:E69)/E28&lt;0,"n/a ",E28/AVERAGE(D69:E69)),"n/a ")</f>
        <v>0.15349246469651484</v>
      </c>
      <c r="F70" s="501">
        <f t="shared" ref="F70:AG70" si="187">+IFERROR(IF(AVERAGE(E69:F69)/F28&lt;0,"n/a ",F28/AVERAGE(E69:F69)),"n/a ")</f>
        <v>0.201370816766094</v>
      </c>
      <c r="G70" s="501">
        <f t="shared" si="187"/>
        <v>0.28418486424177936</v>
      </c>
      <c r="H70" s="501">
        <f t="shared" si="187"/>
        <v>3.3862344979979336E-2</v>
      </c>
      <c r="I70" s="501">
        <f t="shared" si="187"/>
        <v>8.084450416783695E-2</v>
      </c>
      <c r="J70" s="501">
        <f t="shared" si="187"/>
        <v>0.13920144268063359</v>
      </c>
      <c r="K70" s="501">
        <f t="shared" si="187"/>
        <v>0.21466709350641416</v>
      </c>
      <c r="L70" s="501">
        <f t="shared" si="187"/>
        <v>0.18946046558147003</v>
      </c>
      <c r="M70" s="501">
        <f t="shared" si="187"/>
        <v>0.23691736351199572</v>
      </c>
      <c r="N70" s="501">
        <f t="shared" si="187"/>
        <v>0.20531762398308176</v>
      </c>
      <c r="O70" s="501">
        <f t="shared" si="187"/>
        <v>0.19393526713178813</v>
      </c>
      <c r="P70" s="501">
        <f t="shared" si="187"/>
        <v>0.16519055393149801</v>
      </c>
      <c r="Q70" s="501">
        <f t="shared" si="187"/>
        <v>0.26732007478897624</v>
      </c>
      <c r="R70" s="501">
        <f t="shared" si="187"/>
        <v>0.20338469190031822</v>
      </c>
      <c r="S70" s="501">
        <f t="shared" si="187"/>
        <v>0.22774868913602525</v>
      </c>
      <c r="T70" s="501">
        <f t="shared" si="187"/>
        <v>0.2329693004204999</v>
      </c>
      <c r="U70" s="501">
        <f t="shared" si="187"/>
        <v>0.27134071364151491</v>
      </c>
      <c r="V70" s="501">
        <f t="shared" si="187"/>
        <v>0.26264718695492928</v>
      </c>
      <c r="W70" s="501">
        <f t="shared" si="187"/>
        <v>0.25106285224088415</v>
      </c>
      <c r="X70" s="501">
        <f t="shared" si="187"/>
        <v>0.23116987453021876</v>
      </c>
      <c r="Y70" s="501">
        <f t="shared" si="187"/>
        <v>0.21112693442838623</v>
      </c>
      <c r="Z70" s="501">
        <f t="shared" si="187"/>
        <v>0.20080582609711664</v>
      </c>
      <c r="AA70" s="501">
        <f t="shared" si="187"/>
        <v>0.28610867430424464</v>
      </c>
      <c r="AB70" s="501">
        <f t="shared" si="187"/>
        <v>0.28006684457511533</v>
      </c>
      <c r="AC70" s="501">
        <f t="shared" si="187"/>
        <v>0.3789317961914162</v>
      </c>
      <c r="AD70" s="501">
        <f t="shared" si="187"/>
        <v>0.25855290115853774</v>
      </c>
      <c r="AE70" s="501">
        <f t="shared" ca="1" si="187"/>
        <v>0.29975664940959051</v>
      </c>
      <c r="AF70" s="501">
        <f t="shared" ca="1" si="187"/>
        <v>0.28890165098069837</v>
      </c>
      <c r="AG70" s="501">
        <f t="shared" ca="1" si="187"/>
        <v>0.244887552916568</v>
      </c>
      <c r="AH70" s="501"/>
      <c r="AI70" s="501"/>
    </row>
    <row r="71" spans="2:40" s="52" customFormat="1" ht="11.25" customHeight="1">
      <c r="B71" s="9" t="s">
        <v>706</v>
      </c>
      <c r="D71" s="126">
        <f>D65+D69</f>
        <v>63.785392999999985</v>
      </c>
      <c r="E71" s="126">
        <f>E65+E69</f>
        <v>91.416666000000006</v>
      </c>
      <c r="F71" s="126">
        <f t="shared" ref="F71:AD71" si="188">F65+F69</f>
        <v>122.19884</v>
      </c>
      <c r="G71" s="126">
        <f t="shared" si="188"/>
        <v>253.44669899999997</v>
      </c>
      <c r="H71" s="126">
        <f t="shared" si="188"/>
        <v>273.50507500000003</v>
      </c>
      <c r="I71" s="126">
        <f t="shared" si="188"/>
        <v>275.73120699999998</v>
      </c>
      <c r="J71" s="126">
        <f t="shared" si="188"/>
        <v>248.02130900000003</v>
      </c>
      <c r="K71" s="126">
        <f t="shared" si="188"/>
        <v>300.93829900000003</v>
      </c>
      <c r="L71" s="126">
        <f t="shared" si="188"/>
        <v>322.18899999999996</v>
      </c>
      <c r="M71" s="126">
        <f t="shared" si="188"/>
        <v>333.56299999999999</v>
      </c>
      <c r="N71" s="126">
        <f t="shared" si="188"/>
        <v>328.63257099999998</v>
      </c>
      <c r="O71" s="126">
        <f t="shared" si="188"/>
        <v>281.64446700000008</v>
      </c>
      <c r="P71" s="126">
        <f t="shared" si="188"/>
        <v>308.70054799999997</v>
      </c>
      <c r="Q71" s="126">
        <f t="shared" si="188"/>
        <v>433.08540500000004</v>
      </c>
      <c r="R71" s="126">
        <f t="shared" si="188"/>
        <v>529.91155099999992</v>
      </c>
      <c r="S71" s="126">
        <f t="shared" si="188"/>
        <v>689.67869899999994</v>
      </c>
      <c r="T71" s="126">
        <f t="shared" si="188"/>
        <v>828.84608500000002</v>
      </c>
      <c r="U71" s="126">
        <f t="shared" si="188"/>
        <v>858.58474699999999</v>
      </c>
      <c r="V71" s="126">
        <f t="shared" si="188"/>
        <v>891.42847900000004</v>
      </c>
      <c r="W71" s="126">
        <f t="shared" si="188"/>
        <v>1007.1041259999997</v>
      </c>
      <c r="X71" s="126">
        <f t="shared" si="188"/>
        <v>1087.3686429999998</v>
      </c>
      <c r="Y71" s="126">
        <f t="shared" si="188"/>
        <v>1162.8693960000001</v>
      </c>
      <c r="Z71" s="126">
        <f t="shared" si="188"/>
        <v>1214.069426</v>
      </c>
      <c r="AA71" s="126">
        <f t="shared" si="188"/>
        <v>1404.4089989999998</v>
      </c>
      <c r="AB71" s="126">
        <f t="shared" si="188"/>
        <v>1711.837205</v>
      </c>
      <c r="AC71" s="126">
        <f t="shared" si="188"/>
        <v>2252.6528669999993</v>
      </c>
      <c r="AD71" s="126">
        <f t="shared" si="188"/>
        <v>2718.8108469999997</v>
      </c>
      <c r="AE71" s="126">
        <f t="shared" ref="AE71:AF71" ca="1" si="189">AE65+AE69</f>
        <v>3040.5984094981468</v>
      </c>
      <c r="AF71" s="126">
        <f t="shared" ca="1" si="189"/>
        <v>3480.7734271836462</v>
      </c>
      <c r="AG71" s="126">
        <f t="shared" ref="AG71" ca="1" si="190">AG65+AG69</f>
        <v>4091.9500345790402</v>
      </c>
      <c r="AH71" s="126"/>
      <c r="AI71" s="126"/>
      <c r="AK71" s="120">
        <f ca="1">IFERROR(($AE71/Z71)^(1/5)-1,"n/a")</f>
        <v>0.20155348752337132</v>
      </c>
      <c r="AL71" s="120">
        <f ca="1">IFERROR(($AE71/U71)^(1/10)-1,"n/a")</f>
        <v>0.13479545968181927</v>
      </c>
      <c r="AM71" s="120">
        <f ca="1">IFERROR(($AE71/P71)^(1/15)-1,"n/a")</f>
        <v>0.16473764112416345</v>
      </c>
      <c r="AN71" s="120">
        <f ca="1">IFERROR(($AE71/K71)^(1/20)-1,"n/a")</f>
        <v>0.12259752426076331</v>
      </c>
    </row>
    <row r="72" spans="2:40" s="52" customFormat="1" ht="11.25" customHeight="1">
      <c r="B72" s="41" t="s">
        <v>982</v>
      </c>
      <c r="D72" s="501"/>
      <c r="E72" s="501">
        <f>+IFERROR(IF(AVERAGE(D71:E71)/E17&lt;0,"n/a ",E17*(1-0.15)/AVERAGE(D71:E71)),"n/a ")</f>
        <v>0.15124541614489789</v>
      </c>
      <c r="F72" s="501">
        <f t="shared" ref="F72:AG72" si="191">+IFERROR(IF(AVERAGE(E71:F71)/F17&lt;0,"n/a ",F17*(1-0.15)/AVERAGE(E71:F71)),"n/a ")</f>
        <v>0.19760269650088033</v>
      </c>
      <c r="G72" s="501">
        <f t="shared" si="191"/>
        <v>0.27739315173925172</v>
      </c>
      <c r="H72" s="501">
        <f t="shared" si="191"/>
        <v>4.1223127185069541E-2</v>
      </c>
      <c r="I72" s="501">
        <f t="shared" si="191"/>
        <v>9.7774494802948878E-2</v>
      </c>
      <c r="J72" s="501">
        <f t="shared" si="191"/>
        <v>0.16651318578104934</v>
      </c>
      <c r="K72" s="501">
        <f t="shared" si="191"/>
        <v>0.2740081379539312</v>
      </c>
      <c r="L72" s="501">
        <f t="shared" si="191"/>
        <v>0.24817657683779315</v>
      </c>
      <c r="M72" s="501">
        <f t="shared" si="191"/>
        <v>0.32992732008442205</v>
      </c>
      <c r="N72" s="501">
        <f t="shared" si="191"/>
        <v>0.2868146637000083</v>
      </c>
      <c r="O72" s="501">
        <f t="shared" si="191"/>
        <v>0.2909162379463473</v>
      </c>
      <c r="P72" s="501">
        <f t="shared" si="191"/>
        <v>0.26482039490076831</v>
      </c>
      <c r="Q72" s="501">
        <f t="shared" si="191"/>
        <v>0.36479189030962955</v>
      </c>
      <c r="R72" s="501">
        <f t="shared" si="191"/>
        <v>0.24989372863604362</v>
      </c>
      <c r="S72" s="501">
        <f t="shared" si="191"/>
        <v>0.2525445738845486</v>
      </c>
      <c r="T72" s="501">
        <f t="shared" si="191"/>
        <v>0.23445735212972324</v>
      </c>
      <c r="U72" s="501">
        <f t="shared" si="191"/>
        <v>0.29807384721295654</v>
      </c>
      <c r="V72" s="501">
        <f t="shared" si="191"/>
        <v>0.31090142172445501</v>
      </c>
      <c r="W72" s="501">
        <f t="shared" si="191"/>
        <v>0.33843432465043183</v>
      </c>
      <c r="X72" s="501">
        <f t="shared" si="191"/>
        <v>0.31294286070519928</v>
      </c>
      <c r="Y72" s="501">
        <f t="shared" si="191"/>
        <v>0.28981824837954401</v>
      </c>
      <c r="Z72" s="501">
        <f t="shared" si="191"/>
        <v>0.26655816958169914</v>
      </c>
      <c r="AA72" s="501">
        <f t="shared" si="191"/>
        <v>0.36797419046903168</v>
      </c>
      <c r="AB72" s="501">
        <f t="shared" si="191"/>
        <v>0.35458294709887411</v>
      </c>
      <c r="AC72" s="501">
        <f t="shared" si="191"/>
        <v>0.48081209986190643</v>
      </c>
      <c r="AD72" s="501">
        <f t="shared" si="191"/>
        <v>0.31509677835697464</v>
      </c>
      <c r="AE72" s="501">
        <f t="shared" ca="1" si="191"/>
        <v>0.38530900807137086</v>
      </c>
      <c r="AF72" s="501">
        <f t="shared" ca="1" si="191"/>
        <v>0.42072455135791736</v>
      </c>
      <c r="AG72" s="501">
        <f t="shared" ca="1" si="191"/>
        <v>0.43441955468175475</v>
      </c>
      <c r="AH72" s="501"/>
      <c r="AI72" s="501"/>
    </row>
    <row r="73" spans="2:40" s="52" customFormat="1" ht="11.25" customHeight="1">
      <c r="B73" s="41" t="s">
        <v>984</v>
      </c>
      <c r="D73" s="501"/>
      <c r="E73" s="501"/>
      <c r="F73" s="501"/>
      <c r="G73" s="501"/>
      <c r="H73" s="501"/>
      <c r="I73" s="501">
        <f>+AVERAGE(E72:I72)</f>
        <v>0.15304777727460966</v>
      </c>
      <c r="J73" s="501">
        <f t="shared" ref="J73:AE73" si="192">+AVERAGE(F72:J72)</f>
        <v>0.15610133120183994</v>
      </c>
      <c r="K73" s="501">
        <f t="shared" si="192"/>
        <v>0.17138241949245012</v>
      </c>
      <c r="L73" s="501">
        <f t="shared" si="192"/>
        <v>0.16553910451215842</v>
      </c>
      <c r="M73" s="501">
        <f t="shared" si="192"/>
        <v>0.22327994309202892</v>
      </c>
      <c r="N73" s="501">
        <f t="shared" si="192"/>
        <v>0.26108797687144081</v>
      </c>
      <c r="O73" s="501">
        <f t="shared" si="192"/>
        <v>0.28596858730450042</v>
      </c>
      <c r="P73" s="501">
        <f t="shared" si="192"/>
        <v>0.28413103869386785</v>
      </c>
      <c r="Q73" s="501">
        <f t="shared" si="192"/>
        <v>0.30745410138823515</v>
      </c>
      <c r="R73" s="501">
        <f t="shared" si="192"/>
        <v>0.29144738309855944</v>
      </c>
      <c r="S73" s="501">
        <f t="shared" si="192"/>
        <v>0.28459336513546746</v>
      </c>
      <c r="T73" s="501">
        <f t="shared" si="192"/>
        <v>0.27330158797214266</v>
      </c>
      <c r="U73" s="501">
        <f t="shared" si="192"/>
        <v>0.27995227843458032</v>
      </c>
      <c r="V73" s="501">
        <f t="shared" si="192"/>
        <v>0.26917418471754539</v>
      </c>
      <c r="W73" s="501">
        <f t="shared" si="192"/>
        <v>0.28688230392042302</v>
      </c>
      <c r="X73" s="501">
        <f t="shared" si="192"/>
        <v>0.29896196128455321</v>
      </c>
      <c r="Y73" s="501">
        <f t="shared" si="192"/>
        <v>0.31003414053451728</v>
      </c>
      <c r="Z73" s="501">
        <f t="shared" si="192"/>
        <v>0.30373100500826589</v>
      </c>
      <c r="AA73" s="501">
        <f t="shared" si="192"/>
        <v>0.3151455587571812</v>
      </c>
      <c r="AB73" s="501">
        <f t="shared" si="192"/>
        <v>0.3183752832468697</v>
      </c>
      <c r="AC73" s="501">
        <f t="shared" si="192"/>
        <v>0.35194913107821107</v>
      </c>
      <c r="AD73" s="501">
        <f t="shared" si="192"/>
        <v>0.35700483707369723</v>
      </c>
      <c r="AE73" s="501">
        <f t="shared" ca="1" si="192"/>
        <v>0.38075500477163154</v>
      </c>
      <c r="AF73" s="501"/>
      <c r="AG73" s="501"/>
      <c r="AH73" s="501"/>
      <c r="AI73" s="501"/>
    </row>
    <row r="74" spans="2:40" s="663" customFormat="1" ht="11.25" customHeight="1">
      <c r="B74" s="35"/>
      <c r="D74" s="120"/>
      <c r="E74" s="120"/>
      <c r="F74" s="120"/>
      <c r="G74" s="120"/>
      <c r="H74" s="120"/>
      <c r="I74" s="120"/>
      <c r="J74" s="120"/>
      <c r="K74" s="120"/>
      <c r="L74" s="120"/>
      <c r="M74" s="120"/>
      <c r="N74" s="120"/>
      <c r="O74" s="120"/>
      <c r="P74" s="120"/>
      <c r="Q74" s="120"/>
      <c r="R74" s="120"/>
      <c r="S74" s="120"/>
      <c r="T74" s="120"/>
      <c r="U74" s="120"/>
      <c r="V74" s="120"/>
      <c r="W74" s="120"/>
      <c r="X74" s="120"/>
      <c r="Y74" s="120"/>
      <c r="Z74" s="120"/>
      <c r="AA74" s="120"/>
      <c r="AB74" s="120"/>
      <c r="AC74" s="120"/>
      <c r="AD74" s="120"/>
      <c r="AE74" s="120"/>
      <c r="AF74" s="120"/>
      <c r="AG74" s="120"/>
      <c r="AH74" s="120"/>
      <c r="AI74" s="120"/>
    </row>
    <row r="75" spans="2:40" s="663" customFormat="1" ht="11.25" customHeight="1">
      <c r="B75" s="306" t="s">
        <v>707</v>
      </c>
      <c r="C75" s="670"/>
      <c r="D75" s="120"/>
      <c r="E75" s="120"/>
      <c r="F75" s="120"/>
      <c r="G75" s="120"/>
      <c r="H75" s="120"/>
      <c r="I75" s="120"/>
      <c r="J75" s="120"/>
      <c r="K75" s="120"/>
      <c r="L75" s="120"/>
      <c r="M75" s="120"/>
      <c r="N75" s="120"/>
      <c r="O75" s="120"/>
      <c r="P75" s="120"/>
      <c r="Q75" s="120"/>
      <c r="R75" s="120"/>
      <c r="S75" s="120"/>
      <c r="T75" s="120"/>
      <c r="U75" s="120"/>
      <c r="V75" s="120"/>
      <c r="W75" s="120"/>
      <c r="X75" s="120"/>
      <c r="Y75" s="120"/>
      <c r="Z75" s="120"/>
      <c r="AA75" s="120"/>
      <c r="AB75" s="120"/>
      <c r="AC75" s="120"/>
      <c r="AD75" s="120"/>
      <c r="AE75" s="120"/>
      <c r="AF75" s="120"/>
      <c r="AG75" s="120"/>
      <c r="AH75" s="120"/>
      <c r="AI75" s="120"/>
    </row>
    <row r="76" spans="2:40" s="663" customFormat="1" ht="11.25" customHeight="1">
      <c r="B76" s="5"/>
      <c r="C76" s="659"/>
      <c r="D76" s="120"/>
      <c r="E76" s="120"/>
      <c r="F76" s="120"/>
      <c r="G76" s="120"/>
      <c r="H76" s="120"/>
      <c r="I76" s="120"/>
      <c r="J76" s="120"/>
      <c r="K76" s="120"/>
      <c r="L76" s="120"/>
      <c r="M76" s="120"/>
      <c r="N76" s="120"/>
      <c r="O76" s="120"/>
      <c r="P76" s="120"/>
      <c r="Q76" s="120"/>
      <c r="R76" s="120"/>
      <c r="S76" s="120"/>
      <c r="T76" s="120"/>
      <c r="U76" s="120"/>
      <c r="V76" s="120"/>
      <c r="W76" s="120"/>
      <c r="X76" s="120"/>
      <c r="Y76" s="120"/>
      <c r="Z76" s="120"/>
      <c r="AA76" s="120"/>
      <c r="AB76" s="120"/>
      <c r="AC76" s="120"/>
      <c r="AD76" s="120"/>
      <c r="AE76" s="120"/>
      <c r="AF76" s="120"/>
      <c r="AG76" s="120"/>
      <c r="AH76" s="120"/>
      <c r="AI76" s="120"/>
    </row>
    <row r="77" spans="2:40" s="663" customFormat="1" ht="11.25" customHeight="1">
      <c r="B77" s="659" t="s">
        <v>766</v>
      </c>
      <c r="C77" s="659"/>
      <c r="D77" s="506">
        <f>_xll.ciqfunctions.udf.CIQ("TWSE:2330", "IQ_LASTSALEPRICE", D1)</f>
        <v>23.551494000000002</v>
      </c>
      <c r="E77" s="506">
        <f>_xll.ciqfunctions.udf.CIQ("TWSE:2330", "IQ_LASTSALEPRICE", E1)</f>
        <v>21.648446</v>
      </c>
      <c r="F77" s="506">
        <f>_xll.ciqfunctions.udf.CIQ("TWSE:2330", "IQ_LASTSALEPRICE", F1)</f>
        <v>62.631098000000001</v>
      </c>
      <c r="G77" s="506">
        <f>_xll.ciqfunctions.udf.CIQ("TWSE:2330", "IQ_LASTSALEPRICE", G1)</f>
        <v>38.163716000000001</v>
      </c>
      <c r="H77" s="506">
        <f>_xll.ciqfunctions.udf.CIQ("TWSE:2330", "IQ_LASTSALEPRICE", H1)</f>
        <v>58.805726</v>
      </c>
      <c r="I77" s="506">
        <f>_xll.ciqfunctions.udf.CIQ("TWSE:2330", "IQ_LASTSALEPRICE", I1)</f>
        <v>31.492986999999999</v>
      </c>
      <c r="J77" s="506">
        <f>_xll.ciqfunctions.udf.CIQ("TWSE:2330", "IQ_LASTSALEPRICE", J1)</f>
        <v>50.699272000000001</v>
      </c>
      <c r="K77" s="506">
        <f>_xll.ciqfunctions.udf.CIQ("TWSE:2330", "IQ_LASTSALEPRICE", K1)</f>
        <v>45.999631999999998</v>
      </c>
      <c r="L77" s="506">
        <f>_xll.ciqfunctions.udf.CIQ("TWSE:2330", "IQ_LASTSALEPRICE", L1)</f>
        <v>59.776581999999998</v>
      </c>
      <c r="M77" s="506">
        <f>_xll.ciqfunctions.udf.CIQ("TWSE:2330", "IQ_LASTSALEPRICE", M1)</f>
        <v>66.494815000000003</v>
      </c>
      <c r="N77" s="506">
        <f>_xll.ciqfunctions.udf.CIQ("TWSE:2330", "IQ_LASTSALEPRICE", N1)</f>
        <v>61.382050999999997</v>
      </c>
      <c r="O77" s="506">
        <f>_xll.ciqfunctions.udf.CIQ("TWSE:2330", "IQ_LASTSALEPRICE", O1)</f>
        <v>44.179104000000002</v>
      </c>
      <c r="P77" s="506">
        <f>_xll.ciqfunctions.udf.CIQ("TWSE:2330", "IQ_LASTSALEPRICE", P1)</f>
        <v>64.5</v>
      </c>
      <c r="Q77" s="506">
        <f>_xll.ciqfunctions.udf.CIQ("TWSE:2330", "IQ_LASTSALEPRICE", Q1)</f>
        <v>71</v>
      </c>
      <c r="R77" s="506">
        <f>_xll.ciqfunctions.udf.CIQ("TWSE:2330", "IQ_LASTSALEPRICE", R1)</f>
        <v>75.8</v>
      </c>
      <c r="S77" s="506">
        <f>_xll.ciqfunctions.udf.CIQ("TWSE:2330", "IQ_LASTSALEPRICE", S1)</f>
        <v>97</v>
      </c>
      <c r="T77" s="506">
        <f>_xll.ciqfunctions.udf.CIQ("TWSE:2330", "IQ_LASTSALEPRICE", T1)</f>
        <v>105.5</v>
      </c>
      <c r="U77" s="506">
        <f>_xll.ciqfunctions.udf.CIQ("TWSE:2330", "IQ_LASTSALEPRICE", U1)</f>
        <v>141</v>
      </c>
      <c r="V77" s="506">
        <f>_xll.ciqfunctions.udf.CIQ("TWSE:2330", "IQ_LASTSALEPRICE", V1)</f>
        <v>143</v>
      </c>
      <c r="W77" s="506">
        <f>_xll.ciqfunctions.udf.CIQ("TWSE:2330", "IQ_LASTSALEPRICE", W1)</f>
        <v>181.5</v>
      </c>
      <c r="X77" s="506">
        <f>_xll.ciqfunctions.udf.CIQ("TWSE:2330", "IQ_LASTSALEPRICE", X1)</f>
        <v>229.5</v>
      </c>
      <c r="Y77" s="506">
        <f>_xll.ciqfunctions.udf.CIQ("TWSE:2330", "IQ_LASTSALEPRICE", Y1)</f>
        <v>225.5</v>
      </c>
      <c r="Z77" s="506">
        <f>_xll.ciqfunctions.udf.CIQ("TWSE:2330", "IQ_LASTSALEPRICE", Z1)</f>
        <v>331</v>
      </c>
      <c r="AA77" s="506">
        <f>_xll.ciqfunctions.udf.CIQ("TWSE:2330", "IQ_LASTSALEPRICE", AA1)</f>
        <v>530</v>
      </c>
      <c r="AB77" s="506">
        <f>_xll.ciqfunctions.udf.CIQ("TWSE:2330", "IQ_LASTSALEPRICE", AB1)</f>
        <v>615</v>
      </c>
      <c r="AC77" s="506">
        <f>_xll.ciqfunctions.udf.CIQ("TWSE:2330", "IQ_LASTSALEPRICE", AC1)</f>
        <v>448.5</v>
      </c>
      <c r="AD77" s="506">
        <f>_xll.ciqfunctions.udf.CIQ("TWSE:2330", "IQ_LASTSALEPRICE", AD1)</f>
        <v>593</v>
      </c>
      <c r="AE77" s="506">
        <f>_xll.ciqfunctions.udf.CIQ("TWSE:2330", "IQ_LASTSALEPRICE", AE1)</f>
        <v>1075</v>
      </c>
      <c r="AF77" s="506">
        <f>_xll.ciqfunctions.udf.CIQ("TWSE:2330", "IQ_LASTSALEPRICE", AF1)</f>
        <v>984</v>
      </c>
      <c r="AG77" s="506">
        <f>_xll.ciqfunctions.udf.CIQ("TWSE:2330", "IQ_LASTSALEPRICE", AG1)</f>
        <v>984</v>
      </c>
      <c r="AH77" s="506"/>
      <c r="AI77" s="680">
        <f>+AE77</f>
        <v>1075</v>
      </c>
      <c r="AK77" s="138">
        <f t="shared" ref="AK77:AK82" si="193">IFERROR(($AE77/Z77)^(1/5)-1,"n/a")</f>
        <v>0.26565720009176785</v>
      </c>
      <c r="AL77" s="138">
        <f t="shared" ref="AL77:AL82" si="194">IFERROR(($AE77/U77)^(1/10)-1,"n/a")</f>
        <v>0.22523370454169456</v>
      </c>
      <c r="AM77" s="138">
        <f t="shared" ref="AM77:AM82" si="195">IFERROR(($AE77/P77)^(1/15)-1,"n/a")</f>
        <v>0.20630348725122949</v>
      </c>
      <c r="AN77" s="138">
        <f t="shared" ref="AN77:AN82" si="196">IFERROR(($AE77/K77)^(1/20)-1,"n/a")</f>
        <v>0.17066519174521599</v>
      </c>
    </row>
    <row r="78" spans="2:40" s="663" customFormat="1" ht="13.5" customHeight="1">
      <c r="B78" s="671" t="s">
        <v>722</v>
      </c>
      <c r="C78" s="659"/>
      <c r="D78" s="17">
        <v>4.0812999999999997</v>
      </c>
      <c r="E78" s="17">
        <v>6.0471759670000003</v>
      </c>
      <c r="F78" s="17">
        <v>7.6708817170000003</v>
      </c>
      <c r="G78" s="17">
        <v>11.689364587</v>
      </c>
      <c r="H78" s="17">
        <v>16.832553051000001</v>
      </c>
      <c r="I78" s="17">
        <v>18.622886744999999</v>
      </c>
      <c r="J78" s="17">
        <v>20.266618984000001</v>
      </c>
      <c r="K78" s="17">
        <v>23.251963693</v>
      </c>
      <c r="L78" s="17">
        <v>24.730024647</v>
      </c>
      <c r="M78" s="17">
        <v>25.829687845999999</v>
      </c>
      <c r="N78" s="17">
        <v>25.627103715000001</v>
      </c>
      <c r="O78" s="17">
        <v>25.625437256000001</v>
      </c>
      <c r="P78" s="17">
        <v>25.902706622</v>
      </c>
      <c r="Q78" s="17">
        <v>25.910078664</v>
      </c>
      <c r="R78" s="17">
        <v>25.916222574999999</v>
      </c>
      <c r="S78" s="17">
        <v>25.924435668000001</v>
      </c>
      <c r="T78" s="17">
        <v>25.92861714</v>
      </c>
      <c r="U78" s="17">
        <v>25.929662436000001</v>
      </c>
      <c r="V78" s="17">
        <v>25.930380457999998</v>
      </c>
      <c r="W78" s="17">
        <v>25.930380457999998</v>
      </c>
      <c r="X78" s="17">
        <v>25.930380457999998</v>
      </c>
      <c r="Y78" s="17">
        <v>25.930380457999998</v>
      </c>
      <c r="Z78" s="17">
        <v>25.930380457999998</v>
      </c>
      <c r="AA78" s="17">
        <v>25.930380457999998</v>
      </c>
      <c r="AB78" s="17">
        <v>25.930380457999998</v>
      </c>
      <c r="AC78" s="17">
        <v>25.930380457999998</v>
      </c>
      <c r="AD78" s="17">
        <v>25.932070992</v>
      </c>
      <c r="AE78" s="166">
        <f>AD78</f>
        <v>25.932070992</v>
      </c>
      <c r="AF78" s="166">
        <f>AE78</f>
        <v>25.932070992</v>
      </c>
      <c r="AG78" s="166">
        <f>AF78</f>
        <v>25.932070992</v>
      </c>
      <c r="AH78" s="166"/>
      <c r="AI78" s="679">
        <f>+AE78</f>
        <v>25.932070992</v>
      </c>
      <c r="AK78" s="529">
        <f t="shared" si="193"/>
        <v>1.3038681932586726E-5</v>
      </c>
      <c r="AL78" s="529">
        <f t="shared" si="194"/>
        <v>9.2884175995067153E-6</v>
      </c>
      <c r="AM78" s="529">
        <f t="shared" si="195"/>
        <v>7.5536113048224607E-5</v>
      </c>
      <c r="AN78" s="529">
        <f t="shared" si="196"/>
        <v>5.4694469358980147E-3</v>
      </c>
    </row>
    <row r="79" spans="2:40" s="663" customFormat="1" ht="11.25" customHeight="1">
      <c r="B79" s="672" t="s">
        <v>708</v>
      </c>
      <c r="C79" s="659"/>
      <c r="D79" s="20">
        <f t="shared" ref="D79:AE79" si="197">IFERROR(D77*D78,"n/a")</f>
        <v>96.120712462200004</v>
      </c>
      <c r="E79" s="20">
        <f t="shared" si="197"/>
        <v>130.9119623740973</v>
      </c>
      <c r="F79" s="20">
        <f t="shared" si="197"/>
        <v>480.43574456383527</v>
      </c>
      <c r="G79" s="20">
        <f t="shared" si="197"/>
        <v>446.10959031872528</v>
      </c>
      <c r="H79" s="20">
        <f t="shared" si="197"/>
        <v>989.85050259757008</v>
      </c>
      <c r="I79" s="20">
        <f t="shared" si="197"/>
        <v>586.49033016275723</v>
      </c>
      <c r="J79" s="20">
        <f t="shared" si="197"/>
        <v>1027.5028283901797</v>
      </c>
      <c r="K79" s="20">
        <f t="shared" si="197"/>
        <v>1069.5817731553609</v>
      </c>
      <c r="L79" s="20">
        <f t="shared" si="197"/>
        <v>1478.2763461734164</v>
      </c>
      <c r="M79" s="20">
        <f t="shared" si="197"/>
        <v>1717.5403148275184</v>
      </c>
      <c r="N79" s="20">
        <f t="shared" si="197"/>
        <v>1573.0441872164195</v>
      </c>
      <c r="O79" s="20">
        <f t="shared" si="197"/>
        <v>1132.1088575782987</v>
      </c>
      <c r="P79" s="20">
        <f t="shared" si="197"/>
        <v>1670.7245771190001</v>
      </c>
      <c r="Q79" s="20">
        <f t="shared" si="197"/>
        <v>1839.6155851440001</v>
      </c>
      <c r="R79" s="20">
        <f t="shared" si="197"/>
        <v>1964.4496711849999</v>
      </c>
      <c r="S79" s="20">
        <f t="shared" si="197"/>
        <v>2514.6702597960002</v>
      </c>
      <c r="T79" s="20">
        <f t="shared" si="197"/>
        <v>2735.4691082700001</v>
      </c>
      <c r="U79" s="20">
        <f t="shared" si="197"/>
        <v>3656.0824034760003</v>
      </c>
      <c r="V79" s="20">
        <f t="shared" si="197"/>
        <v>3708.0444054939999</v>
      </c>
      <c r="W79" s="20">
        <f t="shared" si="197"/>
        <v>4706.3640531269994</v>
      </c>
      <c r="X79" s="20">
        <f t="shared" si="197"/>
        <v>5951.0223151109994</v>
      </c>
      <c r="Y79" s="20">
        <f t="shared" si="197"/>
        <v>5847.3007932789997</v>
      </c>
      <c r="Z79" s="20">
        <f t="shared" si="197"/>
        <v>8582.9559315979986</v>
      </c>
      <c r="AA79" s="20">
        <f t="shared" si="197"/>
        <v>13743.101642739999</v>
      </c>
      <c r="AB79" s="20">
        <f t="shared" si="197"/>
        <v>15947.183981669999</v>
      </c>
      <c r="AC79" s="20">
        <f t="shared" si="197"/>
        <v>11629.775635413</v>
      </c>
      <c r="AD79" s="20">
        <f t="shared" si="197"/>
        <v>15377.718098256</v>
      </c>
      <c r="AE79" s="20">
        <f t="shared" si="197"/>
        <v>27876.9763164</v>
      </c>
      <c r="AF79" s="20">
        <f t="shared" ref="AF79:AG79" si="198">IFERROR(AF77*AF78,"n/a")</f>
        <v>25517.157856128</v>
      </c>
      <c r="AG79" s="20">
        <f t="shared" si="198"/>
        <v>25517.157856128</v>
      </c>
      <c r="AH79" s="20"/>
      <c r="AI79" s="681">
        <f t="shared" ref="AI79" si="199">IFERROR(AI77*AI78,"n/a")</f>
        <v>27876.9763164</v>
      </c>
      <c r="AK79" s="138">
        <f t="shared" si="193"/>
        <v>0.26567370259343548</v>
      </c>
      <c r="AL79" s="138">
        <f t="shared" si="194"/>
        <v>0.22524508502399931</v>
      </c>
      <c r="AM79" s="138">
        <f t="shared" si="195"/>
        <v>0.20639460672781285</v>
      </c>
      <c r="AN79" s="138">
        <f t="shared" si="196"/>
        <v>0.17706808289116927</v>
      </c>
    </row>
    <row r="80" spans="2:40" s="663" customFormat="1" ht="11.25" customHeight="1">
      <c r="B80" s="673" t="s">
        <v>721</v>
      </c>
      <c r="C80" s="659"/>
      <c r="D80" s="20">
        <f t="shared" ref="D80:AG80" si="200">D65</f>
        <v>-5.6290000000000013</v>
      </c>
      <c r="E80" s="20">
        <f t="shared" si="200"/>
        <v>7.3460000000000001</v>
      </c>
      <c r="F80" s="20">
        <f t="shared" si="200"/>
        <v>1.429000000000002</v>
      </c>
      <c r="G80" s="20">
        <f t="shared" si="200"/>
        <v>-8.3070000000000022</v>
      </c>
      <c r="H80" s="20">
        <f t="shared" si="200"/>
        <v>-3.6850000000000023</v>
      </c>
      <c r="I80" s="20">
        <f t="shared" si="200"/>
        <v>-20.122000000000007</v>
      </c>
      <c r="J80" s="20">
        <f t="shared" si="200"/>
        <v>-81.192999999999998</v>
      </c>
      <c r="K80" s="20">
        <f t="shared" si="200"/>
        <v>-98.027000000000001</v>
      </c>
      <c r="L80" s="20">
        <f t="shared" si="200"/>
        <v>-124.04999999999998</v>
      </c>
      <c r="M80" s="20">
        <f t="shared" si="200"/>
        <v>-175.57500000000002</v>
      </c>
      <c r="N80" s="20">
        <f t="shared" si="200"/>
        <v>-162.053</v>
      </c>
      <c r="O80" s="20">
        <f t="shared" si="200"/>
        <v>-198.72799999999998</v>
      </c>
      <c r="P80" s="20">
        <f t="shared" si="200"/>
        <v>-190.34800000000001</v>
      </c>
      <c r="Q80" s="20">
        <f t="shared" si="200"/>
        <v>-145.61900000000003</v>
      </c>
      <c r="R80" s="20">
        <f t="shared" si="200"/>
        <v>-102.13200000000002</v>
      </c>
      <c r="S80" s="20">
        <f t="shared" si="200"/>
        <v>-36.075000000000003</v>
      </c>
      <c r="T80" s="20">
        <f t="shared" si="200"/>
        <v>-18.928999999999974</v>
      </c>
      <c r="U80" s="20">
        <f t="shared" si="200"/>
        <v>-187.09099999999998</v>
      </c>
      <c r="V80" s="20">
        <f t="shared" si="200"/>
        <v>-331.20600000000002</v>
      </c>
      <c r="W80" s="20">
        <f t="shared" si="200"/>
        <v>-382.94700000000006</v>
      </c>
      <c r="X80" s="20">
        <f t="shared" si="200"/>
        <v>-435.39100000000002</v>
      </c>
      <c r="Y80" s="20">
        <f t="shared" si="200"/>
        <v>-514.62699999999995</v>
      </c>
      <c r="Z80" s="20">
        <f t="shared" si="200"/>
        <v>-408.02599999999995</v>
      </c>
      <c r="AA80" s="20">
        <f t="shared" si="200"/>
        <v>-446.21300000000008</v>
      </c>
      <c r="AB80" s="20">
        <f t="shared" si="200"/>
        <v>-458.89599999999996</v>
      </c>
      <c r="AC80" s="20">
        <f t="shared" si="200"/>
        <v>-707.83600000000013</v>
      </c>
      <c r="AD80" s="20">
        <f t="shared" si="200"/>
        <v>-764.45200000000023</v>
      </c>
      <c r="AE80" s="20">
        <f t="shared" ca="1" si="200"/>
        <v>-1365.8384052248921</v>
      </c>
      <c r="AF80" s="20">
        <f t="shared" ca="1" si="200"/>
        <v>-2413.6279705748884</v>
      </c>
      <c r="AG80" s="20">
        <f t="shared" ca="1" si="200"/>
        <v>-3447.3209401730055</v>
      </c>
      <c r="AH80" s="20"/>
      <c r="AI80" s="681">
        <f ca="1">+AE80</f>
        <v>-1365.8384052248921</v>
      </c>
      <c r="AK80" s="138">
        <f t="shared" ca="1" si="193"/>
        <v>0.27333388538242631</v>
      </c>
      <c r="AL80" s="138">
        <f t="shared" ca="1" si="194"/>
        <v>0.21992924429564642</v>
      </c>
      <c r="AM80" s="138">
        <f t="shared" ca="1" si="195"/>
        <v>0.14039875230343224</v>
      </c>
      <c r="AN80" s="138">
        <f t="shared" ca="1" si="196"/>
        <v>0.14078205369506347</v>
      </c>
    </row>
    <row r="81" spans="2:43" s="663" customFormat="1" ht="13.5" customHeight="1">
      <c r="B81" s="671" t="s">
        <v>728</v>
      </c>
      <c r="C81" s="659"/>
      <c r="D81" s="210">
        <f>('Historical Financials'!AC436/1000)*1000</f>
        <v>10.840999999999999</v>
      </c>
      <c r="E81" s="210">
        <f>('Historical Financials'!AD436/1000)*1000</f>
        <v>9.6999999999999993</v>
      </c>
      <c r="F81" s="210">
        <f>('Historical Financials'!AE436/1000)*1000</f>
        <v>7.524</v>
      </c>
      <c r="G81" s="210">
        <f>('Historical Financials'!AF436/1000)*1000</f>
        <v>0.32200000000000001</v>
      </c>
      <c r="H81" s="210">
        <f>('Historical Financials'!AG436/1000)*1000</f>
        <v>0.12</v>
      </c>
      <c r="I81" s="210">
        <f>('Historical Financials'!AH436/1000)*1000</f>
        <v>9.5000000000000001E-2</v>
      </c>
      <c r="J81" s="210">
        <f>('Historical Financials'!AI436/1000)*1000</f>
        <v>8.8999999999999996E-2</v>
      </c>
      <c r="K81" s="210">
        <f>('Historical Financials'!AJ436/1000)*1000</f>
        <v>7.5999999999999998E-2</v>
      </c>
      <c r="L81" s="210">
        <f>('Historical Financials'!AK436/1000)*1000</f>
        <v>0.60799999999999998</v>
      </c>
      <c r="M81" s="210">
        <f>('Historical Financials'!AL436/1000)*1000</f>
        <v>1.157</v>
      </c>
      <c r="N81" s="210">
        <f>('Historical Financials'!AM436/1000)*1000</f>
        <v>3.5939999999999999</v>
      </c>
      <c r="O81" s="210">
        <f>('Historical Financials'!AN436/1000)*1000</f>
        <v>3.9960000000000004</v>
      </c>
      <c r="P81" s="210">
        <f>('Historical Financials'!AO436/1000)*1000</f>
        <v>3.9649999999999999</v>
      </c>
      <c r="Q81" s="210">
        <f>('Historical Financials'!AP436/1000)*1000</f>
        <v>4.5599999999999996</v>
      </c>
      <c r="R81" s="210">
        <f>('Historical Financials'!AQ436/1000)*1000</f>
        <v>2.4500000000000002</v>
      </c>
      <c r="S81" s="210">
        <f>('Historical Financials'!AR436/1000)*1000</f>
        <v>2.5430000000000001</v>
      </c>
      <c r="T81" s="210">
        <f>('Historical Financials'!AS436/1000)*1000</f>
        <v>0.26700000000000002</v>
      </c>
      <c r="U81" s="210">
        <f>('Historical Financials'!AT436/1000)*1000</f>
        <v>0.127</v>
      </c>
      <c r="V81" s="210">
        <f>('Historical Financials'!AU436/1000)*1000</f>
        <v>0.96199999999999997</v>
      </c>
      <c r="W81" s="210">
        <f>('Historical Financials'!AV436/1000)*1000</f>
        <v>0.80300000000000005</v>
      </c>
      <c r="X81" s="210">
        <f>('Historical Financials'!AW436/1000)*1000</f>
        <v>0.70199999999999996</v>
      </c>
      <c r="Y81" s="210">
        <f>('Historical Financials'!AX436/1000)*1000</f>
        <v>0.67900000000000005</v>
      </c>
      <c r="Z81" s="210">
        <f>('Historical Financials'!AY436/1000)*1000</f>
        <v>0.68500000000000005</v>
      </c>
      <c r="AA81" s="210">
        <f>('Historical Financials'!AZ436/1000)*1000</f>
        <v>0.96499999999999997</v>
      </c>
      <c r="AB81" s="210">
        <f>('Historical Financials'!BA436/1000)*1000</f>
        <v>2.4470000000000001</v>
      </c>
      <c r="AC81" s="210">
        <f>('Historical Financials'!BB436/1000)*1000</f>
        <v>14.836</v>
      </c>
      <c r="AD81" s="210">
        <f>('Historical Financials'!BC436/1000)*1000</f>
        <v>24.349</v>
      </c>
      <c r="AE81" s="166">
        <f>AD81</f>
        <v>24.349</v>
      </c>
      <c r="AF81" s="166">
        <f>AE81</f>
        <v>24.349</v>
      </c>
      <c r="AG81" s="166">
        <f>AF81</f>
        <v>24.349</v>
      </c>
      <c r="AH81" s="166"/>
      <c r="AI81" s="679">
        <f t="shared" ref="AI81" si="201">+AE81</f>
        <v>24.349</v>
      </c>
      <c r="AK81" s="529">
        <f t="shared" si="193"/>
        <v>1.0424814063424592</v>
      </c>
      <c r="AL81" s="529">
        <f t="shared" si="194"/>
        <v>0.69148340326285251</v>
      </c>
      <c r="AM81" s="529">
        <f t="shared" si="195"/>
        <v>0.12862377816282988</v>
      </c>
      <c r="AN81" s="529">
        <f t="shared" si="196"/>
        <v>0.33439183797870387</v>
      </c>
    </row>
    <row r="82" spans="2:43" s="663" customFormat="1" ht="11.25" customHeight="1">
      <c r="B82" s="672" t="s">
        <v>50</v>
      </c>
      <c r="C82" s="659"/>
      <c r="D82" s="26">
        <f>IFERROR(D79+D80+D81,"n/a")</f>
        <v>101.33271246219999</v>
      </c>
      <c r="E82" s="26">
        <f t="shared" ref="E82:H82" si="202">IFERROR(E79+E80+E81,"n/a")</f>
        <v>147.95796237409729</v>
      </c>
      <c r="F82" s="26">
        <f t="shared" si="202"/>
        <v>489.3887445638353</v>
      </c>
      <c r="G82" s="26">
        <f t="shared" si="202"/>
        <v>438.12459031872527</v>
      </c>
      <c r="H82" s="26">
        <f t="shared" si="202"/>
        <v>986.28550259757014</v>
      </c>
      <c r="I82" s="26">
        <f t="shared" ref="I82" si="203">IFERROR(I79+I80+I81,"n/a")</f>
        <v>566.4633301627573</v>
      </c>
      <c r="J82" s="26">
        <f t="shared" ref="J82" si="204">IFERROR(J79+J80+J81,"n/a")</f>
        <v>946.3988283901798</v>
      </c>
      <c r="K82" s="26">
        <f t="shared" ref="K82" si="205">IFERROR(K79+K80+K81,"n/a")</f>
        <v>971.63077315536088</v>
      </c>
      <c r="L82" s="26">
        <f t="shared" ref="L82" si="206">IFERROR(L79+L80+L81,"n/a")</f>
        <v>1354.8343461734164</v>
      </c>
      <c r="M82" s="26">
        <f t="shared" ref="M82" si="207">IFERROR(M79+M80+M81,"n/a")</f>
        <v>1543.1223148275183</v>
      </c>
      <c r="N82" s="26">
        <f t="shared" ref="N82" si="208">IFERROR(N79+N80+N81,"n/a")</f>
        <v>1414.5851872164194</v>
      </c>
      <c r="O82" s="26">
        <f t="shared" ref="O82" si="209">IFERROR(O79+O80+O81,"n/a")</f>
        <v>937.37685757829877</v>
      </c>
      <c r="P82" s="26">
        <f t="shared" ref="P82" si="210">IFERROR(P79+P80+P81,"n/a")</f>
        <v>1484.341577119</v>
      </c>
      <c r="Q82" s="26">
        <f t="shared" ref="Q82" si="211">IFERROR(Q79+Q80+Q81,"n/a")</f>
        <v>1698.5565851440001</v>
      </c>
      <c r="R82" s="26">
        <f t="shared" ref="R82" si="212">IFERROR(R79+R80+R81,"n/a")</f>
        <v>1864.7676711849999</v>
      </c>
      <c r="S82" s="26">
        <f t="shared" ref="S82" si="213">IFERROR(S79+S80+S81,"n/a")</f>
        <v>2481.1382597960005</v>
      </c>
      <c r="T82" s="26">
        <f t="shared" ref="T82" si="214">IFERROR(T79+T80+T81,"n/a")</f>
        <v>2716.8071082699998</v>
      </c>
      <c r="U82" s="26">
        <f t="shared" ref="U82" si="215">IFERROR(U79+U80+U81,"n/a")</f>
        <v>3469.1184034760004</v>
      </c>
      <c r="V82" s="26">
        <f t="shared" ref="V82" si="216">IFERROR(V79+V80+V81,"n/a")</f>
        <v>3377.8004054939997</v>
      </c>
      <c r="W82" s="26">
        <f t="shared" ref="W82" si="217">IFERROR(W79+W80+W81,"n/a")</f>
        <v>4324.2200531269991</v>
      </c>
      <c r="X82" s="26">
        <f t="shared" ref="X82" si="218">IFERROR(X79+X80+X81,"n/a")</f>
        <v>5516.333315111</v>
      </c>
      <c r="Y82" s="26">
        <f t="shared" ref="Y82" si="219">IFERROR(Y79+Y80+Y81,"n/a")</f>
        <v>5333.3527932790003</v>
      </c>
      <c r="Z82" s="26">
        <f t="shared" ref="Z82" si="220">IFERROR(Z79+Z80+Z81,"n/a")</f>
        <v>8175.6149315979992</v>
      </c>
      <c r="AA82" s="26">
        <f t="shared" ref="AA82" si="221">IFERROR(AA79+AA80+AA81,"n/a")</f>
        <v>13297.853642739999</v>
      </c>
      <c r="AB82" s="26">
        <f t="shared" ref="AB82" si="222">IFERROR(AB79+AB80+AB81,"n/a")</f>
        <v>15490.734981669999</v>
      </c>
      <c r="AC82" s="26">
        <f t="shared" ref="AC82" si="223">IFERROR(AC79+AC80+AC81,"n/a")</f>
        <v>10936.775635413</v>
      </c>
      <c r="AD82" s="26">
        <f t="shared" ref="AD82:AE82" si="224">IFERROR(AD79+AD80+AD81,"n/a")</f>
        <v>14637.615098256001</v>
      </c>
      <c r="AE82" s="26">
        <f t="shared" ca="1" si="224"/>
        <v>26535.486911175107</v>
      </c>
      <c r="AF82" s="26">
        <f t="shared" ref="AF82:AG82" ca="1" si="225">IFERROR(AF79+AF80+AF81,"n/a")</f>
        <v>23127.878885553109</v>
      </c>
      <c r="AG82" s="26">
        <f t="shared" ca="1" si="225"/>
        <v>22094.185915954993</v>
      </c>
      <c r="AH82" s="26"/>
      <c r="AI82" s="682">
        <f t="shared" ref="AI82" ca="1" si="226">IFERROR(AI79+AI80+AI81,"n/a")</f>
        <v>26535.486911175107</v>
      </c>
      <c r="AK82" s="138">
        <f t="shared" ca="1" si="193"/>
        <v>0.26549760211323492</v>
      </c>
      <c r="AL82" s="138">
        <f t="shared" ca="1" si="194"/>
        <v>0.22563398226070652</v>
      </c>
      <c r="AM82" s="138">
        <f t="shared" ca="1" si="195"/>
        <v>0.21195421632493683</v>
      </c>
      <c r="AN82" s="138">
        <f t="shared" ca="1" si="196"/>
        <v>0.17982145626457968</v>
      </c>
    </row>
    <row r="83" spans="2:43" s="663" customFormat="1" ht="11.25" customHeight="1">
      <c r="B83" s="659"/>
      <c r="C83" s="659"/>
      <c r="D83" s="120"/>
      <c r="E83" s="120"/>
      <c r="F83" s="120"/>
      <c r="G83" s="120"/>
      <c r="H83" s="120"/>
      <c r="I83" s="120"/>
      <c r="J83" s="120"/>
      <c r="K83" s="120"/>
      <c r="L83" s="120"/>
      <c r="M83" s="120"/>
      <c r="N83" s="120"/>
      <c r="O83" s="120"/>
      <c r="P83" s="120"/>
      <c r="Q83" s="120"/>
      <c r="R83" s="120"/>
      <c r="S83" s="120"/>
      <c r="T83" s="120"/>
      <c r="U83" s="120"/>
      <c r="V83" s="120"/>
      <c r="W83" s="120"/>
      <c r="X83" s="120"/>
      <c r="Y83" s="120"/>
      <c r="Z83" s="120"/>
      <c r="AA83" s="120"/>
      <c r="AB83" s="120"/>
      <c r="AC83" s="120"/>
      <c r="AD83" s="120"/>
      <c r="AE83" s="120"/>
      <c r="AF83" s="120"/>
      <c r="AG83" s="120"/>
      <c r="AH83" s="120"/>
      <c r="AI83" s="120"/>
    </row>
    <row r="84" spans="2:43" s="663" customFormat="1" ht="11.25" customHeight="1">
      <c r="B84" s="659" t="s">
        <v>709</v>
      </c>
      <c r="C84" s="659"/>
      <c r="D84" s="120"/>
      <c r="E84" s="120"/>
      <c r="F84" s="120"/>
      <c r="G84" s="120"/>
      <c r="H84" s="120"/>
      <c r="I84" s="120"/>
      <c r="J84" s="120"/>
      <c r="K84" s="120"/>
      <c r="L84" s="120"/>
      <c r="M84" s="120"/>
      <c r="N84" s="120"/>
      <c r="O84" s="120"/>
      <c r="P84" s="120"/>
      <c r="Q84" s="120"/>
      <c r="R84" s="120"/>
      <c r="S84" s="120"/>
      <c r="T84" s="120"/>
      <c r="U84" s="120"/>
      <c r="V84" s="120"/>
      <c r="W84" s="120"/>
      <c r="X84" s="120"/>
      <c r="Y84" s="120"/>
      <c r="Z84" s="120"/>
      <c r="AA84" s="120"/>
      <c r="AB84" s="120"/>
      <c r="AC84" s="120"/>
      <c r="AD84" s="120"/>
      <c r="AE84" s="120"/>
      <c r="AF84" s="120"/>
      <c r="AG84" s="120"/>
      <c r="AH84" s="120"/>
      <c r="AI84" s="120"/>
      <c r="AP84" s="526" t="s">
        <v>759</v>
      </c>
      <c r="AQ84" s="526" t="s">
        <v>758</v>
      </c>
    </row>
    <row r="85" spans="2:43" s="663" customFormat="1" ht="11.25" customHeight="1">
      <c r="B85" s="672" t="s">
        <v>710</v>
      </c>
      <c r="C85" s="659"/>
      <c r="D85" s="507">
        <f t="shared" ref="D85:AD85" si="227">IF(AND(D$82/D$36&gt;=$AP85,D$82/D$36&lt;=$AQ85),D$82/D$36,"n/m")</f>
        <v>4.1008786913071624</v>
      </c>
      <c r="E85" s="507">
        <f t="shared" si="227"/>
        <v>5.0839419432394362</v>
      </c>
      <c r="F85" s="507">
        <f t="shared" si="227"/>
        <v>10.582064665034173</v>
      </c>
      <c r="G85" s="507">
        <f t="shared" si="227"/>
        <v>4.264359801040726</v>
      </c>
      <c r="H85" s="507">
        <f t="shared" si="227"/>
        <v>14.482687517034551</v>
      </c>
      <c r="I85" s="507">
        <f t="shared" si="227"/>
        <v>5.8646167321954383</v>
      </c>
      <c r="J85" s="507">
        <f t="shared" si="227"/>
        <v>7.8564097258071399</v>
      </c>
      <c r="K85" s="507">
        <f t="shared" si="227"/>
        <v>6.1379076004760629</v>
      </c>
      <c r="L85" s="507">
        <f t="shared" si="227"/>
        <v>8.1314292429548978</v>
      </c>
      <c r="M85" s="507">
        <f t="shared" si="227"/>
        <v>7.677989425950436</v>
      </c>
      <c r="N85" s="507">
        <f t="shared" si="227"/>
        <v>7.3781219505673148</v>
      </c>
      <c r="O85" s="507">
        <f t="shared" si="227"/>
        <v>5.0410969662231633</v>
      </c>
      <c r="P85" s="507">
        <f t="shared" si="227"/>
        <v>8.5910831714811575</v>
      </c>
      <c r="Q85" s="507">
        <f t="shared" si="227"/>
        <v>6.8771649498714496</v>
      </c>
      <c r="R85" s="507">
        <f t="shared" si="227"/>
        <v>7.4818454222051916</v>
      </c>
      <c r="S85" s="507">
        <f t="shared" si="227"/>
        <v>7.9389819080524529</v>
      </c>
      <c r="T85" s="507">
        <f t="shared" si="227"/>
        <v>7.4308680763707873</v>
      </c>
      <c r="U85" s="507">
        <f t="shared" si="227"/>
        <v>6.9924704074320427</v>
      </c>
      <c r="V85" s="507">
        <f t="shared" si="227"/>
        <v>6.2257404894148785</v>
      </c>
      <c r="W85" s="507">
        <f t="shared" si="227"/>
        <v>7.1856441544452672</v>
      </c>
      <c r="X85" s="507">
        <f t="shared" si="227"/>
        <v>8.5431566188597845</v>
      </c>
      <c r="Y85" s="507">
        <f t="shared" si="227"/>
        <v>7.8875967397020812</v>
      </c>
      <c r="Z85" s="507">
        <f t="shared" si="227"/>
        <v>12.395080813847787</v>
      </c>
      <c r="AA85" s="507">
        <f t="shared" si="227"/>
        <v>14.799914569496636</v>
      </c>
      <c r="AB85" s="507">
        <f t="shared" si="227"/>
        <v>14.445245368411758</v>
      </c>
      <c r="AC85" s="507">
        <f t="shared" si="227"/>
        <v>7.0173513081509453</v>
      </c>
      <c r="AD85" s="507">
        <f t="shared" si="227"/>
        <v>10.069510963216221</v>
      </c>
      <c r="AE85" s="507">
        <f ca="1">+AI85</f>
        <v>14.263991838555411</v>
      </c>
      <c r="AF85" s="507">
        <f ca="1">IF(AND(AF$82/AF$36&gt;=$AP85,AF$82/AF$36&lt;=$AQ85),AF$82/AF$36,"n/m")</f>
        <v>9.5424632810713774</v>
      </c>
      <c r="AG85" s="507">
        <f ca="1">IF(AND(AG$82/AG$36&gt;=$AP85,AG$82/AG$36&lt;=$AQ85),AG$82/AG$36,"n/m")</f>
        <v>7.819650111727154</v>
      </c>
      <c r="AH85" s="507"/>
      <c r="AI85" s="507">
        <f ca="1">+AI82/(AE36*0.75+AD36*0.25)</f>
        <v>14.263991838555411</v>
      </c>
      <c r="AK85" s="138">
        <f ca="1">IFERROR(($AE85/Z85)^(1/5)-1,"n/a")</f>
        <v>2.8485903988779038E-2</v>
      </c>
      <c r="AL85" s="138">
        <f ca="1">IFERROR(($AE85/U85)^(1/10)-1,"n/a")</f>
        <v>7.3893081478295652E-2</v>
      </c>
      <c r="AM85" s="138">
        <f ca="1">IFERROR(($AE85/P85)^(1/15)-1,"n/a")</f>
        <v>3.4378640302855201E-2</v>
      </c>
      <c r="AN85" s="138">
        <f ca="1">IFERROR(($AE85/K85)^(1/20)-1,"n/a")</f>
        <v>4.3064192660345224E-2</v>
      </c>
      <c r="AP85" s="528">
        <v>0</v>
      </c>
      <c r="AQ85" s="528">
        <v>150</v>
      </c>
    </row>
    <row r="86" spans="2:43" s="663" customFormat="1" ht="11.25" customHeight="1">
      <c r="B86" s="672" t="s">
        <v>71</v>
      </c>
      <c r="C86" s="659"/>
      <c r="D86" s="507">
        <f t="shared" ref="D86:AD86" si="228">IF(AND(D$79/D$28&gt;=$AP86,D$79/D$28&lt;=$AQ86),D$79/D$28,"n/m")</f>
        <v>7.336450904623792</v>
      </c>
      <c r="E86" s="507">
        <f t="shared" si="228"/>
        <v>11.113635870595898</v>
      </c>
      <c r="F86" s="507">
        <f t="shared" si="228"/>
        <v>23.294475467895413</v>
      </c>
      <c r="G86" s="507">
        <f t="shared" si="228"/>
        <v>8.2075293920878494</v>
      </c>
      <c r="H86" s="507">
        <f t="shared" si="228"/>
        <v>108.4773618044558</v>
      </c>
      <c r="I86" s="507">
        <f t="shared" si="228"/>
        <v>25.319371696350654</v>
      </c>
      <c r="J86" s="507">
        <f t="shared" si="228"/>
        <v>23.617958526523399</v>
      </c>
      <c r="K86" s="507">
        <f t="shared" si="228"/>
        <v>13.684848699691534</v>
      </c>
      <c r="L86" s="507">
        <f t="shared" si="228"/>
        <v>18.463129929326364</v>
      </c>
      <c r="M86" s="507">
        <f t="shared" si="228"/>
        <v>15.176277625500839</v>
      </c>
      <c r="N86" s="507">
        <f t="shared" si="228"/>
        <v>15.325735183181909</v>
      </c>
      <c r="O86" s="507">
        <f t="shared" si="228"/>
        <v>12.023092925518135</v>
      </c>
      <c r="P86" s="507">
        <f t="shared" si="228"/>
        <v>20.652861339332013</v>
      </c>
      <c r="Q86" s="507">
        <f t="shared" si="228"/>
        <v>12.770452336085802</v>
      </c>
      <c r="R86" s="507">
        <f t="shared" si="228"/>
        <v>15.955076688544372</v>
      </c>
      <c r="S86" s="507">
        <f t="shared" si="228"/>
        <v>16.263732797520682</v>
      </c>
      <c r="T86" s="507">
        <f t="shared" si="228"/>
        <v>14.924109369069404</v>
      </c>
      <c r="U86" s="507">
        <f t="shared" si="228"/>
        <v>14.232361829697043</v>
      </c>
      <c r="V86" s="507">
        <f t="shared" si="228"/>
        <v>12.448003955564383</v>
      </c>
      <c r="W86" s="507">
        <f t="shared" si="228"/>
        <v>14.349801815560769</v>
      </c>
      <c r="X86" s="507">
        <f t="shared" si="228"/>
        <v>17.675758757869005</v>
      </c>
      <c r="Y86" s="507">
        <f t="shared" si="228"/>
        <v>17.308405578416156</v>
      </c>
      <c r="Z86" s="507">
        <f t="shared" si="228"/>
        <v>25.907788959952427</v>
      </c>
      <c r="AA86" s="507">
        <f t="shared" si="228"/>
        <v>27.663955856683792</v>
      </c>
      <c r="AB86" s="507">
        <f t="shared" si="228"/>
        <v>28.319127330962139</v>
      </c>
      <c r="AC86" s="507">
        <f t="shared" si="228"/>
        <v>11.962431743851083</v>
      </c>
      <c r="AD86" s="507">
        <f t="shared" si="228"/>
        <v>18.460084195824294</v>
      </c>
      <c r="AE86" s="507">
        <f t="shared" ref="AE86:AE88" ca="1" si="229">+AI86</f>
        <v>25.455460396406718</v>
      </c>
      <c r="AF86" s="507">
        <f ca="1">IF(AND(AF$79/AF$28&gt;=$AP86,AF$79/AF$28&lt;=$AQ86),AF$79/AF$28,"n/m")</f>
        <v>17.149035768090776</v>
      </c>
      <c r="AG86" s="507">
        <f ca="1">IF(AND(AG$79/AG$28&gt;=$AP86,AG$79/AG$28&lt;=$AQ86),AG$79/AG$28,"n/m")</f>
        <v>15.513180019274357</v>
      </c>
      <c r="AH86" s="507"/>
      <c r="AI86" s="507">
        <f ca="1">+AI79/(AE28*0.75+AD28*0.25)</f>
        <v>25.455460396406718</v>
      </c>
      <c r="AK86" s="138">
        <f ca="1">IFERROR(($AE86/Z86)^(1/5)-1,"n/a")</f>
        <v>-3.51647898888241E-3</v>
      </c>
      <c r="AL86" s="138">
        <f ca="1">IFERROR(($AE86/U86)^(1/10)-1,"n/a")</f>
        <v>5.9864627450206154E-2</v>
      </c>
      <c r="AM86" s="138">
        <f ca="1">IFERROR(($AE86/P86)^(1/15)-1,"n/a")</f>
        <v>1.4036019466319827E-2</v>
      </c>
      <c r="AN86" s="138">
        <f ca="1">IFERROR(($AE86/K86)^(1/20)-1,"n/a")</f>
        <v>3.1518562874836675E-2</v>
      </c>
      <c r="AP86" s="527">
        <f>AP85</f>
        <v>0</v>
      </c>
      <c r="AQ86" s="527">
        <f>AQ85</f>
        <v>150</v>
      </c>
    </row>
    <row r="87" spans="2:43" s="663" customFormat="1" ht="11.25" customHeight="1">
      <c r="B87" s="672" t="s">
        <v>70</v>
      </c>
      <c r="C87" s="659"/>
      <c r="D87" s="507" t="str">
        <f t="shared" ref="D87:AD87" si="230">IF(AND(D$79/D$47&gt;=$AP87,D$79/D$47&lt;=$AQ87),D$79/D$47,"n/m")</f>
        <v>n/m</v>
      </c>
      <c r="E87" s="507" t="str">
        <f t="shared" si="230"/>
        <v>n/m</v>
      </c>
      <c r="F87" s="507">
        <f t="shared" si="230"/>
        <v>116.53879916329132</v>
      </c>
      <c r="G87" s="507" t="str">
        <f t="shared" si="230"/>
        <v>n/m</v>
      </c>
      <c r="H87" s="507" t="str">
        <f t="shared" si="230"/>
        <v>n/m</v>
      </c>
      <c r="I87" s="507">
        <f t="shared" si="230"/>
        <v>16.20814581952714</v>
      </c>
      <c r="J87" s="507">
        <f t="shared" si="230"/>
        <v>13.8551817561588</v>
      </c>
      <c r="K87" s="507">
        <f t="shared" si="230"/>
        <v>16.762841869110673</v>
      </c>
      <c r="L87" s="507">
        <f t="shared" si="230"/>
        <v>20.283478547691995</v>
      </c>
      <c r="M87" s="507">
        <f t="shared" si="230"/>
        <v>16.248476319667137</v>
      </c>
      <c r="N87" s="507">
        <f t="shared" si="230"/>
        <v>16.817857998106103</v>
      </c>
      <c r="O87" s="507">
        <f t="shared" si="230"/>
        <v>9.9158157037167509</v>
      </c>
      <c r="P87" s="507">
        <f t="shared" si="230"/>
        <v>23.001964219605924</v>
      </c>
      <c r="Q87" s="507">
        <f t="shared" si="230"/>
        <v>52.465502218000495</v>
      </c>
      <c r="R87" s="507">
        <f t="shared" si="230"/>
        <v>139.27734237310952</v>
      </c>
      <c r="S87" s="507">
        <f t="shared" si="230"/>
        <v>62.935557804030339</v>
      </c>
      <c r="T87" s="507">
        <f t="shared" si="230"/>
        <v>60.774764430309347</v>
      </c>
      <c r="U87" s="507">
        <f t="shared" si="230"/>
        <v>22.584839671798274</v>
      </c>
      <c r="V87" s="507">
        <f t="shared" si="230"/>
        <v>15.885061754125923</v>
      </c>
      <c r="W87" s="507">
        <f t="shared" si="230"/>
        <v>21.513120471364189</v>
      </c>
      <c r="X87" s="507">
        <f t="shared" si="230"/>
        <v>22.731867965856875</v>
      </c>
      <c r="Y87" s="507">
        <f t="shared" si="230"/>
        <v>18.708301953086455</v>
      </c>
      <c r="Z87" s="507">
        <f t="shared" si="230"/>
        <v>55.898405489490443</v>
      </c>
      <c r="AA87" s="507">
        <f t="shared" si="230"/>
        <v>44.301533520378548</v>
      </c>
      <c r="AB87" s="507">
        <f t="shared" si="230"/>
        <v>119.47950338714742</v>
      </c>
      <c r="AC87" s="507">
        <f t="shared" si="230"/>
        <v>36.974668849265711</v>
      </c>
      <c r="AD87" s="507">
        <f t="shared" si="230"/>
        <v>37.877239822906255</v>
      </c>
      <c r="AE87" s="507">
        <f t="shared" ca="1" si="229"/>
        <v>36.778768223803674</v>
      </c>
      <c r="AF87" s="507">
        <f ca="1">IF(AND(AF$79/AF$47&gt;=$AP87,AF$79/AF$47&lt;=$AQ87),AF$79/AF$47,"n/m")</f>
        <v>24.370064732261206</v>
      </c>
      <c r="AG87" s="507">
        <f ca="1">IF(AND(AG$79/AG$47&gt;=$AP87,AG$79/AG$47&lt;=$AQ87),AG$79/AG$47,"n/m")</f>
        <v>24.473128493132499</v>
      </c>
      <c r="AH87" s="507"/>
      <c r="AI87" s="507">
        <f ca="1">+AI79/(AE47*0.75+AD47*0.25)</f>
        <v>36.778768223803674</v>
      </c>
      <c r="AK87" s="138">
        <f ca="1">IFERROR(($AE87/Z87)^(1/5)-1,"n/a")</f>
        <v>-8.0314049563500189E-2</v>
      </c>
      <c r="AL87" s="138">
        <f ca="1">IFERROR(($AE87/U87)^(1/10)-1,"n/a")</f>
        <v>4.9972723069900749E-2</v>
      </c>
      <c r="AM87" s="138">
        <f ca="1">IFERROR(($AE87/P87)^(1/15)-1,"n/a")</f>
        <v>3.1784066907388331E-2</v>
      </c>
      <c r="AN87" s="138">
        <f ca="1">IFERROR(($AE87/K87)^(1/20)-1,"n/a")</f>
        <v>4.0069777079133839E-2</v>
      </c>
      <c r="AP87" s="527">
        <f t="shared" ref="AP87:AQ93" si="231">AP86</f>
        <v>0</v>
      </c>
      <c r="AQ87" s="527">
        <f t="shared" si="231"/>
        <v>150</v>
      </c>
    </row>
    <row r="88" spans="2:43" s="663" customFormat="1" ht="11.25" customHeight="1">
      <c r="B88" s="672" t="s">
        <v>711</v>
      </c>
      <c r="C88" s="659"/>
      <c r="D88" s="507" t="str">
        <f t="shared" ref="D88:AD88" si="232">IF(AND(D$79/D$53&gt;=$AP88,D$79/D$53&lt;=$AQ88),D$79/D$53,"n/m")</f>
        <v>n/m</v>
      </c>
      <c r="E88" s="507" t="str">
        <f t="shared" si="232"/>
        <v>n/m</v>
      </c>
      <c r="F88" s="507" t="str">
        <f t="shared" si="232"/>
        <v>n/m</v>
      </c>
      <c r="G88" s="507" t="str">
        <f t="shared" si="232"/>
        <v>n/m</v>
      </c>
      <c r="H88" s="507" t="str">
        <f t="shared" si="232"/>
        <v>n/m</v>
      </c>
      <c r="I88" s="507">
        <f t="shared" si="232"/>
        <v>13.902747013876738</v>
      </c>
      <c r="J88" s="507">
        <f t="shared" si="232"/>
        <v>13.273166655073032</v>
      </c>
      <c r="K88" s="507">
        <f t="shared" si="232"/>
        <v>14.762501832823723</v>
      </c>
      <c r="L88" s="507">
        <f t="shared" si="232"/>
        <v>19.095129135714462</v>
      </c>
      <c r="M88" s="507">
        <f t="shared" si="232"/>
        <v>13.239753903053497</v>
      </c>
      <c r="N88" s="507">
        <f t="shared" si="232"/>
        <v>15.151727985484372</v>
      </c>
      <c r="O88" s="507">
        <f t="shared" si="232"/>
        <v>6.8019104776107149</v>
      </c>
      <c r="P88" s="507">
        <f t="shared" si="232"/>
        <v>22.533982452089589</v>
      </c>
      <c r="Q88" s="507">
        <f t="shared" si="232"/>
        <v>42.687609774321679</v>
      </c>
      <c r="R88" s="507">
        <f t="shared" si="232"/>
        <v>57.398445062290961</v>
      </c>
      <c r="S88" s="507">
        <f t="shared" si="232"/>
        <v>63.430312621936558</v>
      </c>
      <c r="T88" s="507">
        <f t="shared" si="232"/>
        <v>46.281517778022199</v>
      </c>
      <c r="U88" s="507">
        <f t="shared" si="232"/>
        <v>27.573097253883979</v>
      </c>
      <c r="V88" s="507">
        <f t="shared" si="232"/>
        <v>13.566727543617526</v>
      </c>
      <c r="W88" s="507">
        <f t="shared" si="232"/>
        <v>21.919631377797952</v>
      </c>
      <c r="X88" s="507">
        <f t="shared" si="232"/>
        <v>22.815887539340096</v>
      </c>
      <c r="Y88" s="507">
        <f t="shared" si="232"/>
        <v>21.659718009493929</v>
      </c>
      <c r="Z88" s="507">
        <f t="shared" si="232"/>
        <v>51.218288606948491</v>
      </c>
      <c r="AA88" s="507">
        <f t="shared" si="232"/>
        <v>42.66824895601254</v>
      </c>
      <c r="AB88" s="507">
        <f t="shared" si="232"/>
        <v>58.473280808100483</v>
      </c>
      <c r="AC88" s="507">
        <f t="shared" si="232"/>
        <v>21.607526244292373</v>
      </c>
      <c r="AD88" s="507">
        <f t="shared" si="232"/>
        <v>45.072948402445661</v>
      </c>
      <c r="AE88" s="507">
        <f t="shared" ca="1" si="229"/>
        <v>39.208989794504497</v>
      </c>
      <c r="AF88" s="507">
        <f ca="1">IF(AND(AF$79/AF$53&gt;=$AP88,AF$79/AF$53&lt;=$AQ88),AF$79/AF$53,"n/m")</f>
        <v>24.353323128966682</v>
      </c>
      <c r="AG88" s="507">
        <f ca="1">IF(AND(AG$79/AG$53&gt;=$AP88,AG$79/AG$53&lt;=$AQ88),AG$79/AG$53,"n/m")</f>
        <v>24.68543233495015</v>
      </c>
      <c r="AH88" s="507"/>
      <c r="AI88" s="507">
        <f ca="1">+AI79/(AE53*0.75+AD53*0.25)</f>
        <v>39.208989794504497</v>
      </c>
      <c r="AK88" s="138">
        <f ca="1">IFERROR(($AE88/Z88)^(1/5)-1,"n/a")</f>
        <v>-5.2035403723709073E-2</v>
      </c>
      <c r="AL88" s="138">
        <f ca="1">IFERROR(($AE88/U88)^(1/10)-1,"n/a")</f>
        <v>3.5833637295609844E-2</v>
      </c>
      <c r="AM88" s="138">
        <f ca="1">IFERROR(($AE88/P88)^(1/15)-1,"n/a")</f>
        <v>3.7615649940247575E-2</v>
      </c>
      <c r="AN88" s="138">
        <f ca="1">IFERROR(($AE88/K88)^(1/20)-1,"n/a")</f>
        <v>5.0053155649282477E-2</v>
      </c>
      <c r="AP88" s="527">
        <f t="shared" si="231"/>
        <v>0</v>
      </c>
      <c r="AQ88" s="527">
        <f t="shared" si="231"/>
        <v>150</v>
      </c>
    </row>
    <row r="89" spans="2:43" s="663" customFormat="1" ht="11.25" customHeight="1">
      <c r="B89" s="659" t="s">
        <v>712</v>
      </c>
      <c r="C89" s="659"/>
      <c r="D89" s="507"/>
      <c r="E89" s="507"/>
      <c r="F89" s="507"/>
      <c r="G89" s="507"/>
      <c r="H89" s="507"/>
      <c r="I89" s="507"/>
      <c r="J89" s="507"/>
      <c r="K89" s="507"/>
      <c r="L89" s="507"/>
      <c r="M89" s="507"/>
      <c r="N89" s="507"/>
      <c r="O89" s="507"/>
      <c r="P89" s="507"/>
      <c r="Q89" s="507"/>
      <c r="R89" s="507"/>
      <c r="S89" s="507"/>
      <c r="T89" s="507"/>
      <c r="U89" s="507"/>
      <c r="V89" s="507"/>
      <c r="W89" s="507"/>
      <c r="X89" s="507"/>
      <c r="Y89" s="507"/>
      <c r="Z89" s="507"/>
      <c r="AA89" s="507"/>
      <c r="AB89" s="507"/>
      <c r="AC89" s="507"/>
      <c r="AD89" s="507"/>
      <c r="AE89" s="120"/>
      <c r="AF89" s="120"/>
      <c r="AG89" s="120"/>
      <c r="AH89" s="120"/>
      <c r="AI89" s="120"/>
      <c r="AP89" s="527"/>
      <c r="AQ89" s="527"/>
    </row>
    <row r="90" spans="2:43" s="663" customFormat="1" ht="11.25" customHeight="1">
      <c r="B90" s="672" t="s">
        <v>710</v>
      </c>
      <c r="C90" s="659"/>
      <c r="D90" s="507">
        <f t="shared" ref="D90:AD90" si="233">IF(AND(D$82/E$36&gt;=$AP90,D$82/E$36&lt;=$AQ90),D$82/E$36,"n/m")</f>
        <v>3.4818648408136621</v>
      </c>
      <c r="E90" s="507">
        <f t="shared" si="233"/>
        <v>3.1992986004302399</v>
      </c>
      <c r="F90" s="507">
        <f t="shared" si="233"/>
        <v>4.7633247151948614</v>
      </c>
      <c r="G90" s="507">
        <f t="shared" si="233"/>
        <v>6.4334531110956545</v>
      </c>
      <c r="H90" s="507">
        <f t="shared" si="233"/>
        <v>10.211051895616215</v>
      </c>
      <c r="I90" s="507">
        <f t="shared" si="233"/>
        <v>4.7024234211847489</v>
      </c>
      <c r="J90" s="507">
        <f t="shared" si="233"/>
        <v>5.9785143928627908</v>
      </c>
      <c r="K90" s="507">
        <f t="shared" si="233"/>
        <v>5.8315224326170849</v>
      </c>
      <c r="L90" s="507">
        <f t="shared" si="233"/>
        <v>6.7411401441606955</v>
      </c>
      <c r="M90" s="507">
        <f t="shared" si="233"/>
        <v>8.0485394066955536</v>
      </c>
      <c r="N90" s="507">
        <f t="shared" si="233"/>
        <v>7.6074644238219449</v>
      </c>
      <c r="O90" s="507">
        <f t="shared" si="233"/>
        <v>5.4253567174930613</v>
      </c>
      <c r="P90" s="507">
        <f t="shared" si="233"/>
        <v>6.0098450396542296</v>
      </c>
      <c r="Q90" s="507">
        <f t="shared" si="233"/>
        <v>6.8149711126428842</v>
      </c>
      <c r="R90" s="507">
        <f t="shared" si="233"/>
        <v>5.9667601133505697</v>
      </c>
      <c r="S90" s="507">
        <f t="shared" si="233"/>
        <v>6.7862790227755747</v>
      </c>
      <c r="T90" s="507">
        <f t="shared" si="233"/>
        <v>5.4760867453368318</v>
      </c>
      <c r="U90" s="507">
        <f t="shared" si="233"/>
        <v>6.3940518427216473</v>
      </c>
      <c r="V90" s="507">
        <f t="shared" si="233"/>
        <v>5.6129594332437112</v>
      </c>
      <c r="W90" s="507">
        <f t="shared" si="233"/>
        <v>6.6969283866659852</v>
      </c>
      <c r="X90" s="507">
        <f t="shared" si="233"/>
        <v>8.1582101086976326</v>
      </c>
      <c r="Y90" s="507">
        <f t="shared" si="233"/>
        <v>8.0859164031754069</v>
      </c>
      <c r="Z90" s="507">
        <f t="shared" si="233"/>
        <v>9.0990926649889019</v>
      </c>
      <c r="AA90" s="507">
        <f t="shared" si="233"/>
        <v>12.400364409429642</v>
      </c>
      <c r="AB90" s="507">
        <f t="shared" si="233"/>
        <v>9.9393032289938397</v>
      </c>
      <c r="AC90" s="507">
        <f t="shared" si="233"/>
        <v>7.5236287758480858</v>
      </c>
      <c r="AD90" s="507">
        <f t="shared" ca="1" si="233"/>
        <v>7.3339714049604821</v>
      </c>
      <c r="AE90" s="507">
        <f ca="1">+AI90</f>
        <v>11.453872142953959</v>
      </c>
      <c r="AF90" s="507">
        <f ca="1">IF(AND(AF$82/AG$36&gt;=$AP90,AF$82/AG$36&lt;=$AQ90),AF$82/AG$36,"n/m")</f>
        <v>8.1854982754004926</v>
      </c>
      <c r="AG90" s="531"/>
      <c r="AH90" s="531"/>
      <c r="AI90" s="507">
        <f ca="1">+AI82/(AF36*0.75+AE36*0.25)</f>
        <v>11.453872142953959</v>
      </c>
      <c r="AK90" s="138">
        <f t="shared" ref="AK90:AK91" ca="1" si="234">IFERROR(($AE90/Z90)^(1/5)-1,"n/a")</f>
        <v>4.7106483305310531E-2</v>
      </c>
      <c r="AL90" s="138">
        <f t="shared" ref="AL90:AL91" ca="1" si="235">IFERROR(($AE90/U90)^(1/10)-1,"n/a")</f>
        <v>6.0028685194794429E-2</v>
      </c>
      <c r="AM90" s="138">
        <f t="shared" ref="AM90:AM91" ca="1" si="236">IFERROR(($AE90/P90)^(1/15)-1,"n/a")</f>
        <v>4.3932945677459312E-2</v>
      </c>
      <c r="AN90" s="138">
        <f t="shared" ref="AN90:AN91" ca="1" si="237">IFERROR(($AE90/K90)^(1/20)-1,"n/a")</f>
        <v>3.4328565654639487E-2</v>
      </c>
      <c r="AP90" s="527">
        <f>AP88</f>
        <v>0</v>
      </c>
      <c r="AQ90" s="527">
        <f>AQ88</f>
        <v>150</v>
      </c>
    </row>
    <row r="91" spans="2:43" s="663" customFormat="1" ht="11.25" customHeight="1">
      <c r="B91" s="672" t="s">
        <v>71</v>
      </c>
      <c r="C91" s="659"/>
      <c r="D91" s="507">
        <f t="shared" ref="D91:AD91" si="238">IF(AND(D$79/E$28&gt;=$AP91,D$79/E$28&lt;=$AQ91),D$79/E$28,"n/m")</f>
        <v>8.1600686335636805</v>
      </c>
      <c r="E91" s="507">
        <f t="shared" si="238"/>
        <v>6.3474159249869633</v>
      </c>
      <c r="F91" s="507">
        <f t="shared" si="238"/>
        <v>8.8390623741131762</v>
      </c>
      <c r="G91" s="507">
        <f t="shared" si="238"/>
        <v>48.888990111586885</v>
      </c>
      <c r="H91" s="507">
        <f t="shared" si="238"/>
        <v>42.732832086306189</v>
      </c>
      <c r="I91" s="507">
        <f t="shared" si="238"/>
        <v>13.480940306211036</v>
      </c>
      <c r="J91" s="507">
        <f t="shared" si="238"/>
        <v>13.146466308548694</v>
      </c>
      <c r="K91" s="507">
        <f t="shared" si="238"/>
        <v>13.358684456343246</v>
      </c>
      <c r="L91" s="507">
        <f t="shared" si="238"/>
        <v>13.062128465375633</v>
      </c>
      <c r="M91" s="507">
        <f t="shared" si="238"/>
        <v>16.733521057704383</v>
      </c>
      <c r="N91" s="507">
        <f t="shared" si="238"/>
        <v>16.705863850677549</v>
      </c>
      <c r="O91" s="507">
        <f t="shared" si="238"/>
        <v>13.994698813201698</v>
      </c>
      <c r="P91" s="507">
        <f t="shared" si="238"/>
        <v>11.598025560951736</v>
      </c>
      <c r="Q91" s="507">
        <f t="shared" si="238"/>
        <v>14.941185905113386</v>
      </c>
      <c r="R91" s="507">
        <f t="shared" si="238"/>
        <v>12.7051586274067</v>
      </c>
      <c r="S91" s="507">
        <f t="shared" si="238"/>
        <v>13.719480096076238</v>
      </c>
      <c r="T91" s="507">
        <f t="shared" si="238"/>
        <v>10.648607396223563</v>
      </c>
      <c r="U91" s="507">
        <f t="shared" si="238"/>
        <v>12.273566129064585</v>
      </c>
      <c r="V91" s="507">
        <f t="shared" si="238"/>
        <v>11.30590446074485</v>
      </c>
      <c r="W91" s="507">
        <f t="shared" si="238"/>
        <v>13.978868037268949</v>
      </c>
      <c r="X91" s="507">
        <f t="shared" si="238"/>
        <v>17.615428293776088</v>
      </c>
      <c r="Y91" s="507">
        <f t="shared" si="238"/>
        <v>17.650170424378466</v>
      </c>
      <c r="Z91" s="507">
        <f t="shared" si="238"/>
        <v>17.276923374645914</v>
      </c>
      <c r="AA91" s="507">
        <f t="shared" si="238"/>
        <v>24.405101602292575</v>
      </c>
      <c r="AB91" s="507">
        <f t="shared" si="238"/>
        <v>16.403334498257337</v>
      </c>
      <c r="AC91" s="507">
        <f t="shared" si="238"/>
        <v>13.96089042838012</v>
      </c>
      <c r="AD91" s="507">
        <f t="shared" ca="1" si="238"/>
        <v>13.00446811022517</v>
      </c>
      <c r="AE91" s="507">
        <f t="shared" ref="AE91:AE93" ca="1" si="239">+AI91</f>
        <v>19.748535011987663</v>
      </c>
      <c r="AF91" s="507">
        <f ca="1">IF(AND(AF$79/AG$28&gt;=$AP91,AF$79/AG$28&lt;=$AQ91),AF$79/AG$28,"n/m")</f>
        <v>15.513180019274357</v>
      </c>
      <c r="AG91" s="531"/>
      <c r="AH91" s="531"/>
      <c r="AI91" s="507">
        <f ca="1">+AI79/(AF28*0.75+AE28*0.25)</f>
        <v>19.748535011987663</v>
      </c>
      <c r="AK91" s="138">
        <f t="shared" ca="1" si="234"/>
        <v>2.710228508730439E-2</v>
      </c>
      <c r="AL91" s="138">
        <f t="shared" ca="1" si="235"/>
        <v>4.8712420755139263E-2</v>
      </c>
      <c r="AM91" s="138">
        <f t="shared" ca="1" si="236"/>
        <v>3.6119995161014939E-2</v>
      </c>
      <c r="AN91" s="138">
        <f t="shared" ca="1" si="237"/>
        <v>1.9737897334833887E-2</v>
      </c>
      <c r="AP91" s="527">
        <f t="shared" si="231"/>
        <v>0</v>
      </c>
      <c r="AQ91" s="527">
        <f t="shared" si="231"/>
        <v>150</v>
      </c>
    </row>
    <row r="92" spans="2:43" s="663" customFormat="1" ht="11.25" customHeight="1">
      <c r="B92" s="672" t="s">
        <v>70</v>
      </c>
      <c r="C92" s="659"/>
      <c r="D92" s="507" t="str">
        <f t="shared" ref="D92:AD92" si="240">IF(AND(D$79/E$47&gt;=$AP92,D$79/E$47&lt;=$AQ92),D$79/E$47,"n/m")</f>
        <v>n/m</v>
      </c>
      <c r="E92" s="507">
        <f t="shared" si="240"/>
        <v>31.755178634840679</v>
      </c>
      <c r="F92" s="507" t="str">
        <f t="shared" si="240"/>
        <v>n/m</v>
      </c>
      <c r="G92" s="507" t="str">
        <f t="shared" si="240"/>
        <v>n/m</v>
      </c>
      <c r="H92" s="507">
        <f t="shared" si="240"/>
        <v>27.355338119865273</v>
      </c>
      <c r="I92" s="507">
        <f t="shared" si="240"/>
        <v>7.9084260384623271</v>
      </c>
      <c r="J92" s="507">
        <f t="shared" si="240"/>
        <v>16.103366628581011</v>
      </c>
      <c r="K92" s="507">
        <f t="shared" si="240"/>
        <v>14.675766819212914</v>
      </c>
      <c r="L92" s="507">
        <f t="shared" si="240"/>
        <v>13.98496326249842</v>
      </c>
      <c r="M92" s="507">
        <f t="shared" si="240"/>
        <v>18.362706753906085</v>
      </c>
      <c r="N92" s="507">
        <f t="shared" si="240"/>
        <v>13.777841370843737</v>
      </c>
      <c r="O92" s="507">
        <f t="shared" si="240"/>
        <v>15.586487318944954</v>
      </c>
      <c r="P92" s="507">
        <f t="shared" si="240"/>
        <v>47.648761357739531</v>
      </c>
      <c r="Q92" s="507">
        <f t="shared" si="240"/>
        <v>130.42674161891529</v>
      </c>
      <c r="R92" s="507">
        <f t="shared" si="240"/>
        <v>49.164989068587303</v>
      </c>
      <c r="S92" s="507">
        <f t="shared" si="240"/>
        <v>55.869208026136491</v>
      </c>
      <c r="T92" s="507">
        <f t="shared" si="240"/>
        <v>16.897904483415864</v>
      </c>
      <c r="U92" s="507">
        <f t="shared" si="240"/>
        <v>15.662459346856753</v>
      </c>
      <c r="V92" s="507">
        <f t="shared" si="240"/>
        <v>16.949731280468757</v>
      </c>
      <c r="W92" s="507">
        <f t="shared" si="240"/>
        <v>17.977490352082889</v>
      </c>
      <c r="X92" s="507">
        <f t="shared" si="240"/>
        <v>19.040156533185545</v>
      </c>
      <c r="Y92" s="507">
        <f t="shared" si="240"/>
        <v>38.081844223202708</v>
      </c>
      <c r="Z92" s="507">
        <f t="shared" si="240"/>
        <v>27.667561500462828</v>
      </c>
      <c r="AA92" s="507">
        <f t="shared" si="240"/>
        <v>102.96607608973679</v>
      </c>
      <c r="AB92" s="507">
        <f t="shared" si="240"/>
        <v>50.701050930431244</v>
      </c>
      <c r="AC92" s="507">
        <f t="shared" si="240"/>
        <v>28.645589548106493</v>
      </c>
      <c r="AD92" s="507">
        <f t="shared" ca="1" si="240"/>
        <v>17.568732257261338</v>
      </c>
      <c r="AE92" s="507">
        <f t="shared" ca="1" si="239"/>
        <v>27.762468047811289</v>
      </c>
      <c r="AF92" s="507">
        <f ca="1">IF(AND(AF$79/AG$47&gt;=$AP92,AF$79/AG$47&lt;=$AQ92),AF$79/AG$47,"n/m")</f>
        <v>24.473128493132499</v>
      </c>
      <c r="AG92" s="120"/>
      <c r="AH92" s="120"/>
      <c r="AI92" s="507">
        <f ca="1">+AI79/(AF47*0.75+AE47*0.25)</f>
        <v>27.762468047811289</v>
      </c>
      <c r="AP92" s="527">
        <f t="shared" si="231"/>
        <v>0</v>
      </c>
      <c r="AQ92" s="527">
        <f t="shared" si="231"/>
        <v>150</v>
      </c>
    </row>
    <row r="93" spans="2:43" s="663" customFormat="1" ht="11.25" customHeight="1">
      <c r="B93" s="672" t="s">
        <v>711</v>
      </c>
      <c r="C93" s="659"/>
      <c r="D93" s="507" t="str">
        <f t="shared" ref="D93:AD93" si="241">IF(AND(D$79/E$53&gt;=$AP93,D$79/E$53&lt;=$AQ93),D$79/E$53,"n/m")</f>
        <v>n/m</v>
      </c>
      <c r="E93" s="507">
        <f t="shared" si="241"/>
        <v>62.514994527022097</v>
      </c>
      <c r="F93" s="507" t="str">
        <f t="shared" si="241"/>
        <v>n/m</v>
      </c>
      <c r="G93" s="507">
        <f t="shared" si="241"/>
        <v>89.452903350777348</v>
      </c>
      <c r="H93" s="507">
        <f t="shared" si="241"/>
        <v>23.464395594303756</v>
      </c>
      <c r="I93" s="507">
        <f t="shared" si="241"/>
        <v>7.5762165112824356</v>
      </c>
      <c r="J93" s="507">
        <f t="shared" si="241"/>
        <v>14.181722957556703</v>
      </c>
      <c r="K93" s="507">
        <f t="shared" si="241"/>
        <v>13.815956761045376</v>
      </c>
      <c r="L93" s="507">
        <f t="shared" si="241"/>
        <v>11.395374452102248</v>
      </c>
      <c r="M93" s="507">
        <f t="shared" si="241"/>
        <v>16.543529969377403</v>
      </c>
      <c r="N93" s="507">
        <f t="shared" si="241"/>
        <v>9.4511280140143086</v>
      </c>
      <c r="O93" s="507">
        <f t="shared" si="241"/>
        <v>15.269375622950161</v>
      </c>
      <c r="P93" s="507">
        <f t="shared" si="241"/>
        <v>38.768555433194919</v>
      </c>
      <c r="Q93" s="507">
        <f t="shared" si="241"/>
        <v>53.750969367378715</v>
      </c>
      <c r="R93" s="507">
        <f t="shared" si="241"/>
        <v>49.551489420101348</v>
      </c>
      <c r="S93" s="507">
        <f t="shared" si="241"/>
        <v>42.54581270274938</v>
      </c>
      <c r="T93" s="507">
        <f t="shared" si="241"/>
        <v>20.630102780400616</v>
      </c>
      <c r="U93" s="507">
        <f t="shared" si="241"/>
        <v>13.37661268874831</v>
      </c>
      <c r="V93" s="507">
        <f t="shared" si="241"/>
        <v>17.270012600689299</v>
      </c>
      <c r="W93" s="507">
        <f t="shared" si="241"/>
        <v>18.043937204314716</v>
      </c>
      <c r="X93" s="507">
        <f t="shared" si="241"/>
        <v>22.043925867755462</v>
      </c>
      <c r="Y93" s="507">
        <f t="shared" si="241"/>
        <v>34.893426226183948</v>
      </c>
      <c r="Z93" s="507">
        <f t="shared" si="241"/>
        <v>26.647529064981413</v>
      </c>
      <c r="AA93" s="507">
        <f t="shared" si="241"/>
        <v>50.391607850883339</v>
      </c>
      <c r="AB93" s="507">
        <f t="shared" si="241"/>
        <v>29.629049365083187</v>
      </c>
      <c r="AC93" s="507">
        <f t="shared" si="241"/>
        <v>34.087520254805455</v>
      </c>
      <c r="AD93" s="507">
        <f t="shared" ca="1" si="241"/>
        <v>18.432888099776438</v>
      </c>
      <c r="AE93" s="507">
        <f t="shared" ca="1" si="239"/>
        <v>28.033803713041653</v>
      </c>
      <c r="AF93" s="507">
        <f ca="1">IF(AND(AF$79/AG$53&gt;=$AP93,AF$79/AG$53&lt;=$AQ93),AF$79/AG$53,"n/m")</f>
        <v>24.68543233495015</v>
      </c>
      <c r="AG93" s="120"/>
      <c r="AH93" s="120"/>
      <c r="AI93" s="507">
        <f ca="1">+AI79/(AF53*0.75+AE53*0.25)</f>
        <v>28.033803713041653</v>
      </c>
      <c r="AP93" s="527">
        <f t="shared" si="231"/>
        <v>0</v>
      </c>
      <c r="AQ93" s="527">
        <f t="shared" si="231"/>
        <v>150</v>
      </c>
    </row>
    <row r="94" spans="2:43" s="663" customFormat="1" ht="11.25" customHeight="1">
      <c r="B94" s="659"/>
      <c r="C94" s="659"/>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row>
    <row r="95" spans="2:43" s="663" customFormat="1" ht="11.25" customHeight="1">
      <c r="B95" s="32" t="s">
        <v>35</v>
      </c>
      <c r="C95" s="659"/>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c r="AH95" s="120"/>
      <c r="AI95" s="120"/>
    </row>
    <row r="96" spans="2:43" s="663" customFormat="1" ht="11.25" customHeight="1">
      <c r="B96" s="9" t="s">
        <v>760</v>
      </c>
      <c r="C96" s="6"/>
      <c r="D96" s="512"/>
      <c r="E96" s="512"/>
      <c r="F96" s="512"/>
      <c r="G96" s="512"/>
      <c r="H96" s="512"/>
      <c r="I96" s="512"/>
      <c r="J96" s="512"/>
      <c r="K96" s="512" t="str">
        <f>_xll.ciqfunctions.udf.CIQ("^SPX", "IQ_PE_EXCL_FWD", IQ_NTM, K1)</f>
        <v>(Capability Needed)</v>
      </c>
      <c r="L96" s="512">
        <f>_xll.ciqfunctions.udf.CIQ("^SPX", "IQ_PE_EXCL_FWD", IQ_NTM, L1)</f>
        <v>14.935411</v>
      </c>
      <c r="M96" s="512">
        <f>_xll.ciqfunctions.udf.CIQ("^SPX", "IQ_PE_EXCL_FWD", IQ_NTM, M1)</f>
        <v>15.372529999999999</v>
      </c>
      <c r="N96" s="512">
        <f>_xll.ciqfunctions.udf.CIQ("^SPX", "IQ_PE_EXCL_FWD", IQ_NTM, N1)</f>
        <v>15.265620999999999</v>
      </c>
      <c r="O96" s="512">
        <f>_xll.ciqfunctions.udf.CIQ("^SPX", "IQ_PE_EXCL_FWD", IQ_NTM, O1)</f>
        <v>12.544237000000001</v>
      </c>
      <c r="P96" s="512">
        <f>_xll.ciqfunctions.udf.CIQ("^SPX", "IQ_PE_EXCL_FWD", IQ_NTM, P1)</f>
        <v>15.348599999999999</v>
      </c>
      <c r="Q96" s="512">
        <f>_xll.ciqfunctions.udf.CIQ("^SPX", "IQ_PE_EXCL_FWD", IQ_NTM, Q1)</f>
        <v>13.66517</v>
      </c>
      <c r="R96" s="512">
        <f>_xll.ciqfunctions.udf.CIQ("^SPX", "IQ_PE_EXCL_FWD", IQ_NTM, R1)</f>
        <v>12.199828</v>
      </c>
      <c r="S96" s="512">
        <f>_xll.ciqfunctions.udf.CIQ("^SPX", "IQ_PE_EXCL_FWD", IQ_NTM, S1)</f>
        <v>13.156317</v>
      </c>
      <c r="T96" s="512">
        <f>_xll.ciqfunctions.udf.CIQ("^SPX", "IQ_PE_EXCL_FWD", IQ_NTM, T1)</f>
        <v>15.939893</v>
      </c>
      <c r="U96" s="512">
        <f>_xll.ciqfunctions.udf.CIQ("^SPX", "IQ_PE_EXCL_FWD", IQ_NTM, U1)</f>
        <v>16.91555</v>
      </c>
      <c r="V96" s="512">
        <f>_xll.ciqfunctions.udf.CIQ("^SPX", "IQ_PE_EXCL_FWD", IQ_NTM, V1)</f>
        <v>16.850204999999999</v>
      </c>
      <c r="W96" s="512">
        <f>_xll.ciqfunctions.udf.CIQ("^SPX", "IQ_PE_EXCL_FWD", IQ_NTM, W1)</f>
        <v>17.663557000000001</v>
      </c>
      <c r="X96" s="512">
        <f>_xll.ciqfunctions.udf.CIQ("^SPX", "IQ_PE_EXCL_FWD", IQ_NTM, X1)</f>
        <v>18.90851</v>
      </c>
      <c r="Y96" s="512">
        <f>_xll.ciqfunctions.udf.CIQ("^SPX", "IQ_PE_EXCL_FWD", IQ_NTM, Y1)</f>
        <v>14.877148</v>
      </c>
      <c r="Z96" s="512">
        <f>_xll.ciqfunctions.udf.CIQ("^SPX", "IQ_PE_EXCL_FWD", IQ_NTM, Z1)</f>
        <v>18.974364000000001</v>
      </c>
      <c r="AA96" s="512">
        <f>_xll.ciqfunctions.udf.CIQ("^SPX", "IQ_PE_EXCL_FWD", IQ_NTM, AA1)</f>
        <v>23.843176</v>
      </c>
      <c r="AB96" s="512">
        <f>_xll.ciqfunctions.udf.CIQ("^SPX", "IQ_PE_EXCL_FWD", IQ_NTM, AB1)</f>
        <v>22.324898000000001</v>
      </c>
      <c r="AC96" s="512">
        <f>_xll.ciqfunctions.udf.CIQ("^SPX", "IQ_PE_EXCL_FWD", IQ_NTM, AC1)</f>
        <v>17.370816999999999</v>
      </c>
      <c r="AD96" s="512">
        <f>_xll.ciqfunctions.udf.CIQ("^SPX", "IQ_PE_EXCL_FWD", IQ_NTM, AD1)</f>
        <v>20.533479</v>
      </c>
      <c r="AE96" s="512">
        <f>_xll.ciqfunctions.udf.CIQ("^SPX", "IQ_PE_EXCL_FWD", IQ_NTM, AE1)</f>
        <v>22.603753000000001</v>
      </c>
      <c r="AF96" s="512">
        <f>_xll.ciqfunctions.udf.CIQ("^SPX", "IQ_PE_EXCL_FWD", "CY2026", AF1)</f>
        <v>20.049562000000002</v>
      </c>
      <c r="AG96" s="512">
        <f>_xll.ciqfunctions.udf.CIQ("^SPX", "IQ_PE_EXCL_FWD", "CY2027", AG1)</f>
        <v>17.719646000000001</v>
      </c>
      <c r="AH96" s="512"/>
      <c r="AI96" s="507">
        <f t="shared" ref="AI96" si="242">+AE96*0.25+AF96*0.75</f>
        <v>20.688109750000002</v>
      </c>
      <c r="AK96" s="120">
        <f t="shared" ref="AK96" si="243">IFERROR(($AE96/Z96)^(1/5)-1,"n/a")</f>
        <v>3.5625332127379616E-2</v>
      </c>
      <c r="AL96" s="120">
        <f t="shared" ref="AL96" si="244">IFERROR(($AE96/U96)^(1/10)-1,"n/a")</f>
        <v>2.9412512932349255E-2</v>
      </c>
      <c r="AM96" s="120">
        <f t="shared" ref="AM96" si="245">IFERROR(($AE96/P96)^(1/15)-1,"n/a")</f>
        <v>2.6141973238562821E-2</v>
      </c>
      <c r="AN96" s="120" t="str">
        <f t="shared" ref="AN96" si="246">IFERROR(($AE96/K96)^(1/20)-1,"n/a")</f>
        <v>n/a</v>
      </c>
    </row>
    <row r="97" spans="2:40" s="663" customFormat="1" ht="11.25" customHeight="1">
      <c r="B97" s="41" t="str">
        <f>B2&amp;" Premium / (Discount) %"</f>
        <v>TSMC Premium / (Discount) %</v>
      </c>
      <c r="C97" s="6"/>
      <c r="D97" s="530"/>
      <c r="E97" s="530"/>
      <c r="F97" s="530"/>
      <c r="G97" s="530"/>
      <c r="H97" s="530"/>
      <c r="I97" s="530"/>
      <c r="J97" s="530"/>
      <c r="K97" s="530" t="str">
        <f t="shared" ref="K97" si="247">+IFERROR(K91/K96-1,"n/a")</f>
        <v>n/a</v>
      </c>
      <c r="L97" s="530">
        <f>+IFERROR(L91/L96-1,"n/a")</f>
        <v>-0.12542557647890418</v>
      </c>
      <c r="M97" s="530">
        <f t="shared" ref="M97:AE97" si="248">+IFERROR(M91/M96-1,"n/a")</f>
        <v>8.8533966608254078E-2</v>
      </c>
      <c r="N97" s="530">
        <f t="shared" si="248"/>
        <v>9.4345513404109127E-2</v>
      </c>
      <c r="O97" s="530">
        <f t="shared" si="248"/>
        <v>0.11562774309842005</v>
      </c>
      <c r="P97" s="530">
        <f t="shared" si="248"/>
        <v>-0.24435938385574341</v>
      </c>
      <c r="Q97" s="530">
        <f t="shared" si="248"/>
        <v>9.3377243394219489E-2</v>
      </c>
      <c r="R97" s="530">
        <f t="shared" si="248"/>
        <v>4.1421127200047314E-2</v>
      </c>
      <c r="S97" s="530">
        <f t="shared" si="248"/>
        <v>4.2805528027048734E-2</v>
      </c>
      <c r="T97" s="530">
        <f t="shared" si="248"/>
        <v>-0.33195239163628243</v>
      </c>
      <c r="U97" s="530">
        <f t="shared" si="248"/>
        <v>-0.27442110194084224</v>
      </c>
      <c r="V97" s="530">
        <f t="shared" si="248"/>
        <v>-0.32903460457930034</v>
      </c>
      <c r="W97" s="530">
        <f t="shared" si="248"/>
        <v>-0.2086040180203258</v>
      </c>
      <c r="X97" s="530">
        <f t="shared" si="248"/>
        <v>-6.8386229598414228E-2</v>
      </c>
      <c r="Y97" s="530">
        <f t="shared" si="248"/>
        <v>0.18639475955865104</v>
      </c>
      <c r="Z97" s="530">
        <f t="shared" si="248"/>
        <v>-8.9459684938798856E-2</v>
      </c>
      <c r="AA97" s="530">
        <f t="shared" si="248"/>
        <v>2.3567565088332909E-2</v>
      </c>
      <c r="AB97" s="530">
        <f t="shared" si="248"/>
        <v>-0.26524481776994746</v>
      </c>
      <c r="AC97" s="530">
        <f t="shared" si="248"/>
        <v>-0.19630202607165104</v>
      </c>
      <c r="AD97" s="530">
        <f t="shared" ca="1" si="248"/>
        <v>-0.36667000705408126</v>
      </c>
      <c r="AE97" s="530">
        <f t="shared" ca="1" si="248"/>
        <v>-0.12631610281763117</v>
      </c>
      <c r="AF97" s="530">
        <f t="shared" ref="AF97:AI97" ca="1" si="249">+IFERROR(AF91/AF96-1,"n/a")</f>
        <v>-0.22625840807523101</v>
      </c>
      <c r="AG97" s="530"/>
      <c r="AH97" s="530"/>
      <c r="AI97" s="530">
        <f t="shared" ca="1" si="249"/>
        <v>-4.5416171383774628E-2</v>
      </c>
    </row>
    <row r="98" spans="2:40" s="663" customFormat="1" ht="11.25" customHeight="1">
      <c r="B98" s="659"/>
      <c r="C98" s="659"/>
      <c r="D98" s="120"/>
      <c r="E98" s="120"/>
      <c r="F98" s="120"/>
      <c r="G98" s="120"/>
      <c r="H98" s="120"/>
      <c r="I98" s="120"/>
      <c r="J98" s="120"/>
      <c r="K98" s="120"/>
      <c r="L98" s="120"/>
      <c r="M98" s="120"/>
      <c r="N98" s="120"/>
      <c r="O98" s="120"/>
      <c r="P98" s="120"/>
      <c r="Q98" s="120"/>
      <c r="R98" s="120"/>
      <c r="S98" s="120"/>
      <c r="T98" s="120"/>
      <c r="U98" s="120"/>
      <c r="V98" s="120"/>
      <c r="W98" s="120"/>
      <c r="X98" s="120"/>
      <c r="Y98" s="120"/>
      <c r="Z98" s="120"/>
      <c r="AA98" s="120"/>
      <c r="AB98" s="120"/>
      <c r="AC98" s="120"/>
      <c r="AD98" s="120"/>
      <c r="AE98" s="120"/>
      <c r="AF98" s="120"/>
      <c r="AG98" s="120"/>
      <c r="AH98" s="120"/>
      <c r="AI98" s="120"/>
    </row>
    <row r="99" spans="2:40" s="663" customFormat="1" ht="11.25" customHeight="1">
      <c r="B99" s="306" t="s">
        <v>713</v>
      </c>
      <c r="C99" s="670"/>
      <c r="D99" s="120"/>
      <c r="E99" s="120"/>
      <c r="F99" s="120"/>
      <c r="G99" s="120"/>
      <c r="H99" s="120"/>
      <c r="I99" s="120"/>
      <c r="J99" s="120"/>
      <c r="L99" s="120"/>
      <c r="M99" s="120"/>
      <c r="N99" s="120"/>
      <c r="O99" s="120"/>
      <c r="P99" s="120"/>
      <c r="Q99" s="120"/>
      <c r="R99" s="120"/>
      <c r="S99" s="120"/>
      <c r="T99" s="120"/>
      <c r="U99" s="120"/>
      <c r="V99" s="120"/>
      <c r="W99" s="120"/>
      <c r="X99" s="120"/>
      <c r="Y99" s="120"/>
      <c r="Z99" s="120"/>
      <c r="AA99" s="120"/>
      <c r="AB99" s="120"/>
      <c r="AC99" s="120"/>
      <c r="AD99" s="120"/>
      <c r="AE99" s="120"/>
      <c r="AF99" s="120"/>
      <c r="AG99" s="120"/>
      <c r="AH99" s="120"/>
      <c r="AI99" s="120"/>
    </row>
    <row r="100" spans="2:40" s="663" customFormat="1" ht="11.25" customHeight="1">
      <c r="B100" s="5"/>
      <c r="C100" s="659"/>
      <c r="D100" s="120"/>
      <c r="E100" s="120"/>
      <c r="F100" s="120"/>
      <c r="G100" s="120"/>
      <c r="H100" s="120"/>
      <c r="I100" s="120"/>
      <c r="J100" s="120"/>
      <c r="K100" s="120"/>
      <c r="L100" s="120"/>
      <c r="M100" s="120"/>
      <c r="N100" s="120"/>
      <c r="O100" s="120"/>
      <c r="P100" s="120"/>
      <c r="Q100" s="120"/>
      <c r="R100" s="120"/>
      <c r="S100" s="120"/>
      <c r="T100" s="120"/>
      <c r="U100" s="120"/>
      <c r="V100" s="120"/>
      <c r="W100" s="120"/>
      <c r="X100" s="120"/>
      <c r="Y100" s="120"/>
      <c r="Z100" s="120"/>
      <c r="AA100" s="120"/>
      <c r="AB100" s="120"/>
      <c r="AC100" s="120"/>
      <c r="AD100" s="120"/>
      <c r="AE100" s="120"/>
      <c r="AF100" s="120"/>
      <c r="AG100" s="120"/>
      <c r="AH100" s="120"/>
      <c r="AI100" s="120"/>
    </row>
    <row r="101" spans="2:40" s="663" customFormat="1" ht="11.25" customHeight="1">
      <c r="B101" s="659" t="s">
        <v>766</v>
      </c>
      <c r="C101" s="659"/>
      <c r="D101" s="508">
        <f>D77</f>
        <v>23.551494000000002</v>
      </c>
      <c r="E101" s="508">
        <f t="shared" ref="E101:AE101" si="250">E77</f>
        <v>21.648446</v>
      </c>
      <c r="F101" s="508">
        <f t="shared" si="250"/>
        <v>62.631098000000001</v>
      </c>
      <c r="G101" s="508">
        <f t="shared" si="250"/>
        <v>38.163716000000001</v>
      </c>
      <c r="H101" s="508">
        <f t="shared" si="250"/>
        <v>58.805726</v>
      </c>
      <c r="I101" s="508">
        <f t="shared" si="250"/>
        <v>31.492986999999999</v>
      </c>
      <c r="J101" s="508">
        <f t="shared" si="250"/>
        <v>50.699272000000001</v>
      </c>
      <c r="K101" s="508">
        <f t="shared" si="250"/>
        <v>45.999631999999998</v>
      </c>
      <c r="L101" s="508">
        <f t="shared" si="250"/>
        <v>59.776581999999998</v>
      </c>
      <c r="M101" s="508">
        <f t="shared" si="250"/>
        <v>66.494815000000003</v>
      </c>
      <c r="N101" s="508">
        <f t="shared" si="250"/>
        <v>61.382050999999997</v>
      </c>
      <c r="O101" s="508">
        <f t="shared" si="250"/>
        <v>44.179104000000002</v>
      </c>
      <c r="P101" s="508">
        <f t="shared" si="250"/>
        <v>64.5</v>
      </c>
      <c r="Q101" s="508">
        <f t="shared" si="250"/>
        <v>71</v>
      </c>
      <c r="R101" s="508">
        <f t="shared" si="250"/>
        <v>75.8</v>
      </c>
      <c r="S101" s="508">
        <f t="shared" si="250"/>
        <v>97</v>
      </c>
      <c r="T101" s="508">
        <f t="shared" si="250"/>
        <v>105.5</v>
      </c>
      <c r="U101" s="508">
        <f t="shared" si="250"/>
        <v>141</v>
      </c>
      <c r="V101" s="508">
        <f t="shared" si="250"/>
        <v>143</v>
      </c>
      <c r="W101" s="508">
        <f t="shared" si="250"/>
        <v>181.5</v>
      </c>
      <c r="X101" s="508">
        <f t="shared" si="250"/>
        <v>229.5</v>
      </c>
      <c r="Y101" s="508">
        <f t="shared" si="250"/>
        <v>225.5</v>
      </c>
      <c r="Z101" s="508">
        <f t="shared" si="250"/>
        <v>331</v>
      </c>
      <c r="AA101" s="508">
        <f t="shared" si="250"/>
        <v>530</v>
      </c>
      <c r="AB101" s="508">
        <f t="shared" si="250"/>
        <v>615</v>
      </c>
      <c r="AC101" s="508">
        <f t="shared" si="250"/>
        <v>448.5</v>
      </c>
      <c r="AD101" s="508">
        <f t="shared" si="250"/>
        <v>593</v>
      </c>
      <c r="AE101" s="508">
        <f t="shared" si="250"/>
        <v>1075</v>
      </c>
      <c r="AF101" s="508">
        <f t="shared" ref="AF101:AG101" si="251">AF77</f>
        <v>984</v>
      </c>
      <c r="AG101" s="508">
        <f t="shared" si="251"/>
        <v>984</v>
      </c>
      <c r="AH101" s="508"/>
      <c r="AI101" s="508"/>
      <c r="AK101" s="138">
        <f t="shared" ref="AK101" si="252">IFERROR(($AE101/Z101)^(1/5)-1,"n/a")</f>
        <v>0.26565720009176785</v>
      </c>
      <c r="AL101" s="138">
        <f t="shared" ref="AL101" si="253">IFERROR(($AE101/U101)^(1/10)-1,"n/a")</f>
        <v>0.22523370454169456</v>
      </c>
      <c r="AM101" s="138">
        <f t="shared" ref="AM101" si="254">IFERROR(($AE101/P101)^(1/15)-1,"n/a")</f>
        <v>0.20630348725122949</v>
      </c>
      <c r="AN101" s="138">
        <f t="shared" ref="AN101" si="255">IFERROR(($AE101/K101)^(1/20)-1,"n/a")</f>
        <v>0.17066519174521599</v>
      </c>
    </row>
    <row r="102" spans="2:40" s="663" customFormat="1" ht="11.25" customHeight="1">
      <c r="B102" s="9" t="s">
        <v>249</v>
      </c>
      <c r="C102" s="659"/>
      <c r="D102" s="120" t="str">
        <f t="shared" ref="D102" si="256">IFERROR(D101/C101-1,"n/a")</f>
        <v>n/a</v>
      </c>
      <c r="E102" s="120">
        <f t="shared" ref="E102" si="257">IFERROR(E101/D101-1,"n/a")</f>
        <v>-8.0803706125819552E-2</v>
      </c>
      <c r="F102" s="120">
        <f t="shared" ref="F102" si="258">IFERROR(F101/E101-1,"n/a")</f>
        <v>1.8930990242902426</v>
      </c>
      <c r="G102" s="120">
        <f t="shared" ref="G102" si="259">IFERROR(G101/F101-1,"n/a")</f>
        <v>-0.39065867885630878</v>
      </c>
      <c r="H102" s="120">
        <f t="shared" ref="H102" si="260">IFERROR(H101/G101-1,"n/a")</f>
        <v>0.54088050545182753</v>
      </c>
      <c r="I102" s="120">
        <f t="shared" ref="I102" si="261">IFERROR(I101/H101-1,"n/a")</f>
        <v>-0.46445713466746419</v>
      </c>
      <c r="J102" s="120">
        <f t="shared" ref="J102" si="262">IFERROR(J101/I101-1,"n/a")</f>
        <v>0.60985910926772369</v>
      </c>
      <c r="K102" s="120">
        <f t="shared" ref="K102" si="263">IFERROR(K101/J101-1,"n/a")</f>
        <v>-9.2696400058762229E-2</v>
      </c>
      <c r="L102" s="120">
        <f t="shared" ref="L102" si="264">IFERROR(L101/K101-1,"n/a")</f>
        <v>0.29950130905395067</v>
      </c>
      <c r="M102" s="120">
        <f t="shared" ref="M102" si="265">IFERROR(M101/L101-1,"n/a")</f>
        <v>0.11238904559648466</v>
      </c>
      <c r="N102" s="120">
        <f t="shared" ref="N102" si="266">IFERROR(N101/M101-1,"n/a")</f>
        <v>-7.6889664254273127E-2</v>
      </c>
      <c r="O102" s="120">
        <f t="shared" ref="O102" si="267">IFERROR(O101/N101-1,"n/a")</f>
        <v>-0.28026021808883506</v>
      </c>
      <c r="P102" s="120">
        <f t="shared" ref="P102" si="268">IFERROR(P101/O101-1,"n/a")</f>
        <v>0.45996623199963493</v>
      </c>
      <c r="Q102" s="120">
        <f t="shared" ref="Q102" si="269">IFERROR(Q101/P101-1,"n/a")</f>
        <v>0.10077519379844957</v>
      </c>
      <c r="R102" s="120">
        <f t="shared" ref="R102" si="270">IFERROR(R101/Q101-1,"n/a")</f>
        <v>6.7605633802816811E-2</v>
      </c>
      <c r="S102" s="120">
        <f t="shared" ref="S102" si="271">IFERROR(S101/R101-1,"n/a")</f>
        <v>0.27968337730870707</v>
      </c>
      <c r="T102" s="120">
        <f t="shared" ref="T102" si="272">IFERROR(T101/S101-1,"n/a")</f>
        <v>8.7628865979381354E-2</v>
      </c>
      <c r="U102" s="120">
        <f t="shared" ref="U102" si="273">IFERROR(U101/T101-1,"n/a")</f>
        <v>0.3364928909952607</v>
      </c>
      <c r="V102" s="120">
        <f t="shared" ref="V102" si="274">IFERROR(V101/U101-1,"n/a")</f>
        <v>1.4184397163120588E-2</v>
      </c>
      <c r="W102" s="120">
        <f t="shared" ref="W102" si="275">IFERROR(W101/V101-1,"n/a")</f>
        <v>0.26923076923076916</v>
      </c>
      <c r="X102" s="120">
        <f t="shared" ref="X102" si="276">IFERROR(X101/W101-1,"n/a")</f>
        <v>0.26446280991735538</v>
      </c>
      <c r="Y102" s="120">
        <f t="shared" ref="Y102" si="277">IFERROR(Y101/X101-1,"n/a")</f>
        <v>-1.7429193899782147E-2</v>
      </c>
      <c r="Z102" s="120">
        <f t="shared" ref="Z102" si="278">IFERROR(Z101/Y101-1,"n/a")</f>
        <v>0.46784922394678485</v>
      </c>
      <c r="AA102" s="120">
        <f t="shared" ref="AA102" si="279">IFERROR(AA101/Z101-1,"n/a")</f>
        <v>0.6012084592145015</v>
      </c>
      <c r="AB102" s="120">
        <f t="shared" ref="AB102" si="280">IFERROR(AB101/AA101-1,"n/a")</f>
        <v>0.16037735849056611</v>
      </c>
      <c r="AC102" s="120">
        <f t="shared" ref="AC102" si="281">IFERROR(AC101/AB101-1,"n/a")</f>
        <v>-0.27073170731707319</v>
      </c>
      <c r="AD102" s="120">
        <f t="shared" ref="AD102" si="282">IFERROR(AD101/AC101-1,"n/a")</f>
        <v>0.32218506131549618</v>
      </c>
      <c r="AE102" s="120">
        <f t="shared" ref="AE102:AG102" si="283">IFERROR(AE101/AD101-1,"n/a")</f>
        <v>0.81281618887015172</v>
      </c>
      <c r="AF102" s="120">
        <f t="shared" si="283"/>
        <v>-8.4651162790697621E-2</v>
      </c>
      <c r="AG102" s="120">
        <f t="shared" si="283"/>
        <v>0</v>
      </c>
      <c r="AH102" s="120"/>
      <c r="AI102" s="120"/>
    </row>
    <row r="103" spans="2:40" s="663" customFormat="1" ht="11.25" customHeight="1">
      <c r="B103" s="659" t="s">
        <v>714</v>
      </c>
      <c r="C103" s="659"/>
      <c r="D103" s="506">
        <f>_xll.ciqfunctions.udf.CIQ("TWSE:2330", "IQ_CLOSEPRICE_ADJ", D1)</f>
        <v>11.491873</v>
      </c>
      <c r="E103" s="506">
        <f>_xll.ciqfunctions.udf.CIQ("TWSE:2330", "IQ_CLOSEPRICE_ADJ", E1)</f>
        <v>10.563287000000001</v>
      </c>
      <c r="F103" s="506">
        <f>_xll.ciqfunctions.udf.CIQ("TWSE:2330", "IQ_CLOSEPRICE_ADJ", F1)</f>
        <v>30.560635999999999</v>
      </c>
      <c r="G103" s="506">
        <f>_xll.ciqfunctions.udf.CIQ("TWSE:2330", "IQ_CLOSEPRICE_ADJ", G1)</f>
        <v>18.621858</v>
      </c>
      <c r="H103" s="506">
        <f>_xll.ciqfunctions.udf.CIQ("TWSE:2330", "IQ_CLOSEPRICE_ADJ", H1)</f>
        <v>28.694057999999998</v>
      </c>
      <c r="I103" s="506">
        <f>_xll.ciqfunctions.udf.CIQ("TWSE:2330", "IQ_CLOSEPRICE_ADJ", I1)</f>
        <v>15.366898000000001</v>
      </c>
      <c r="J103" s="506">
        <f>_xll.ciqfunctions.udf.CIQ("TWSE:2330", "IQ_CLOSEPRICE_ADJ", J1)</f>
        <v>24.738541000000001</v>
      </c>
      <c r="K103" s="506">
        <f>_xll.ciqfunctions.udf.CIQ("TWSE:2330", "IQ_CLOSEPRICE_ADJ", K1)</f>
        <v>22.716936</v>
      </c>
      <c r="L103" s="506">
        <f>_xll.ciqfunctions.udf.CIQ("TWSE:2330", "IQ_CLOSEPRICE_ADJ", L1)</f>
        <v>30.57301</v>
      </c>
      <c r="M103" s="506">
        <f>_xll.ciqfunctions.udf.CIQ("TWSE:2330", "IQ_CLOSEPRICE_ADJ", M1)</f>
        <v>35.502768000000003</v>
      </c>
      <c r="N103" s="506">
        <f>_xll.ciqfunctions.udf.CIQ("TWSE:2330", "IQ_CLOSEPRICE_ADJ", N1)</f>
        <v>34.262393000000003</v>
      </c>
      <c r="O103" s="506">
        <f>_xll.ciqfunctions.udf.CIQ("TWSE:2330", "IQ_CLOSEPRICE_ADJ", O1)</f>
        <v>26.026903000000001</v>
      </c>
      <c r="P103" s="506">
        <f>_xll.ciqfunctions.udf.CIQ("TWSE:2330", "IQ_CLOSEPRICE_ADJ", P1)</f>
        <v>40.157316000000002</v>
      </c>
      <c r="Q103" s="506">
        <f>_xll.ciqfunctions.udf.CIQ("TWSE:2330", "IQ_CLOSEPRICE_ADJ", Q1)</f>
        <v>46.474727000000001</v>
      </c>
      <c r="R103" s="506">
        <f>_xll.ciqfunctions.udf.CIQ("TWSE:2330", "IQ_CLOSEPRICE_ADJ", R1)</f>
        <v>51.758043999999998</v>
      </c>
      <c r="S103" s="506">
        <f>_xll.ciqfunctions.udf.CIQ("TWSE:2330", "IQ_CLOSEPRICE_ADJ", S1)</f>
        <v>68.680535000000006</v>
      </c>
      <c r="T103" s="506">
        <f>_xll.ciqfunctions.udf.CIQ("TWSE:2330", "IQ_CLOSEPRICE_ADJ", T1)</f>
        <v>76.792973000000003</v>
      </c>
      <c r="U103" s="506">
        <f>_xll.ciqfunctions.udf.CIQ("TWSE:2330", "IQ_CLOSEPRICE_ADJ", U1)</f>
        <v>104.939559</v>
      </c>
      <c r="V103" s="506">
        <f>_xll.ciqfunctions.udf.CIQ("TWSE:2330", "IQ_CLOSEPRICE_ADJ", V1)</f>
        <v>109.812605</v>
      </c>
      <c r="W103" s="506">
        <f>_xll.ciqfunctions.udf.CIQ("TWSE:2330", "IQ_CLOSEPRICE_ADJ", W1)</f>
        <v>144.843323</v>
      </c>
      <c r="X103" s="506">
        <f>_xll.ciqfunctions.udf.CIQ("TWSE:2330", "IQ_CLOSEPRICE_ADJ", X1)</f>
        <v>189.253961</v>
      </c>
      <c r="Y103" s="506">
        <f>_xll.ciqfunctions.udf.CIQ("TWSE:2330", "IQ_CLOSEPRICE_ADJ", Y1)</f>
        <v>192.73283599999999</v>
      </c>
      <c r="Z103" s="506">
        <f>_xll.ciqfunctions.udf.CIQ("TWSE:2330", "IQ_CLOSEPRICE_ADJ", Z1)</f>
        <v>296.67228599999999</v>
      </c>
      <c r="AA103" s="506">
        <f>_xll.ciqfunctions.udf.CIQ("TWSE:2330", "IQ_CLOSEPRICE_ADJ", AA1)</f>
        <v>488.52227399999998</v>
      </c>
      <c r="AB103" s="506">
        <f>_xll.ciqfunctions.udf.CIQ("TWSE:2330", "IQ_CLOSEPRICE_ADJ", AB1)</f>
        <v>576.79816500000004</v>
      </c>
      <c r="AC103" s="506">
        <f>_xll.ciqfunctions.udf.CIQ("TWSE:2330", "IQ_CLOSEPRICE_ADJ", AC1)</f>
        <v>429.92982699999999</v>
      </c>
      <c r="AD103" s="506">
        <f>_xll.ciqfunctions.udf.CIQ("TWSE:2330", "IQ_CLOSEPRICE_ADJ", AD1)</f>
        <v>580.41809599999999</v>
      </c>
      <c r="AE103" s="506">
        <f>_xll.ciqfunctions.udf.CIQ("TWSE:2330", "IQ_CLOSEPRICE_ADJ", AE1)</f>
        <v>1070.0180009999999</v>
      </c>
      <c r="AF103" s="506">
        <f>_xll.ciqfunctions.udf.CIQ("TWSE:2330", "IQ_CLOSEPRICE_ADJ", AF1)</f>
        <v>984</v>
      </c>
      <c r="AG103" s="506">
        <f>_xll.ciqfunctions.udf.CIQ("TWSE:2330", "IQ_CLOSEPRICE_ADJ", AG1)</f>
        <v>984</v>
      </c>
      <c r="AH103" s="506"/>
      <c r="AI103" s="506"/>
      <c r="AK103" s="138">
        <f t="shared" ref="AK103" si="284">IFERROR(($AE103/Z103)^(1/5)-1,"n/a")</f>
        <v>0.29247699324591969</v>
      </c>
      <c r="AL103" s="138">
        <f t="shared" ref="AL103" si="285">IFERROR(($AE103/U103)^(1/10)-1,"n/a")</f>
        <v>0.26137780489810991</v>
      </c>
      <c r="AM103" s="138">
        <f t="shared" ref="AM103" si="286">IFERROR(($AE103/P103)^(1/15)-1,"n/a")</f>
        <v>0.24463428612422411</v>
      </c>
      <c r="AN103" s="138">
        <f t="shared" ref="AN103" si="287">IFERROR(($AE103/K103)^(1/20)-1,"n/a")</f>
        <v>0.21241713745846691</v>
      </c>
    </row>
    <row r="104" spans="2:40" s="663" customFormat="1" ht="11.25" customHeight="1">
      <c r="B104" s="9" t="s">
        <v>249</v>
      </c>
      <c r="C104" s="659"/>
      <c r="D104" s="120" t="str">
        <f t="shared" ref="D104" si="288">IFERROR(D103/C103-1,"n/a")</f>
        <v>n/a</v>
      </c>
      <c r="E104" s="120">
        <f t="shared" ref="E104" si="289">IFERROR(E103/D103-1,"n/a")</f>
        <v>-8.0803712327833677E-2</v>
      </c>
      <c r="F104" s="120">
        <f t="shared" ref="F104" si="290">IFERROR(F103/E103-1,"n/a")</f>
        <v>1.8930990893270243</v>
      </c>
      <c r="G104" s="120">
        <f t="shared" ref="G104" si="291">IFERROR(G103/F103-1,"n/a")</f>
        <v>-0.39065868917125934</v>
      </c>
      <c r="H104" s="120">
        <f t="shared" ref="H104" si="292">IFERROR(H103/G103-1,"n/a")</f>
        <v>0.54088050719750935</v>
      </c>
      <c r="I104" s="120">
        <f t="shared" ref="I104" si="293">IFERROR(I103/H103-1,"n/a")</f>
        <v>-0.46445713603840899</v>
      </c>
      <c r="J104" s="120">
        <f t="shared" ref="J104" si="294">IFERROR(J103/I103-1,"n/a")</f>
        <v>0.60985912706650369</v>
      </c>
      <c r="K104" s="120">
        <f t="shared" ref="K104" si="295">IFERROR(K103/J103-1,"n/a")</f>
        <v>-8.1718845100848925E-2</v>
      </c>
      <c r="L104" s="120">
        <f t="shared" ref="L104" si="296">IFERROR(L103/K103-1,"n/a")</f>
        <v>0.34582454253513761</v>
      </c>
      <c r="M104" s="120">
        <f t="shared" ref="M104" si="297">IFERROR(M103/L103-1,"n/a")</f>
        <v>0.16124542529505614</v>
      </c>
      <c r="N104" s="120">
        <f t="shared" ref="N104" si="298">IFERROR(N103/M103-1,"n/a")</f>
        <v>-3.4937416710719593E-2</v>
      </c>
      <c r="O104" s="120">
        <f t="shared" ref="O104" si="299">IFERROR(O103/N103-1,"n/a")</f>
        <v>-0.24036528913786037</v>
      </c>
      <c r="P104" s="120">
        <f t="shared" ref="P104" si="300">IFERROR(P103/O103-1,"n/a")</f>
        <v>0.54291565154717025</v>
      </c>
      <c r="Q104" s="120">
        <f t="shared" ref="Q104" si="301">IFERROR(Q103/P103-1,"n/a")</f>
        <v>0.15731656468275923</v>
      </c>
      <c r="R104" s="120">
        <f t="shared" ref="R104" si="302">IFERROR(R103/Q103-1,"n/a")</f>
        <v>0.11368150694032031</v>
      </c>
      <c r="S104" s="120">
        <f t="shared" ref="S104" si="303">IFERROR(S103/R103-1,"n/a")</f>
        <v>0.32695383542701117</v>
      </c>
      <c r="T104" s="120">
        <f t="shared" ref="T104" si="304">IFERROR(T103/S103-1,"n/a")</f>
        <v>0.11811844505870539</v>
      </c>
      <c r="U104" s="120">
        <f t="shared" ref="U104" si="305">IFERROR(U103/T103-1,"n/a")</f>
        <v>0.36652554134087234</v>
      </c>
      <c r="V104" s="120">
        <f t="shared" ref="V104" si="306">IFERROR(V103/U103-1,"n/a")</f>
        <v>4.643669219155E-2</v>
      </c>
      <c r="W104" s="120">
        <f t="shared" ref="W104" si="307">IFERROR(W103/V103-1,"n/a")</f>
        <v>0.31900452593761885</v>
      </c>
      <c r="X104" s="120">
        <f t="shared" ref="X104" si="308">IFERROR(X103/W103-1,"n/a")</f>
        <v>0.30661156538089096</v>
      </c>
      <c r="Y104" s="120">
        <f t="shared" ref="Y104" si="309">IFERROR(Y103/X103-1,"n/a")</f>
        <v>1.838204591131376E-2</v>
      </c>
      <c r="Z104" s="120">
        <f t="shared" ref="Z104" si="310">IFERROR(Z103/Y103-1,"n/a")</f>
        <v>0.53929289973193772</v>
      </c>
      <c r="AA104" s="120">
        <f t="shared" ref="AA104" si="311">IFERROR(AA103/Z103-1,"n/a")</f>
        <v>0.64667310380316412</v>
      </c>
      <c r="AB104" s="120">
        <f t="shared" ref="AB104" si="312">IFERROR(AB103/AA103-1,"n/a")</f>
        <v>0.18069982823342068</v>
      </c>
      <c r="AC104" s="120">
        <f t="shared" ref="AC104" si="313">IFERROR(AC103/AB103-1,"n/a")</f>
        <v>-0.25462691615879196</v>
      </c>
      <c r="AD104" s="120">
        <f t="shared" ref="AD104" si="314">IFERROR(AD103/AC103-1,"n/a")</f>
        <v>0.35002984103263901</v>
      </c>
      <c r="AE104" s="120">
        <f t="shared" ref="AE104:AG104" si="315">IFERROR(AE103/AD103-1,"n/a")</f>
        <v>0.84352970449081233</v>
      </c>
      <c r="AF104" s="120">
        <f t="shared" si="315"/>
        <v>-8.038930272164635E-2</v>
      </c>
      <c r="AG104" s="120">
        <f t="shared" si="315"/>
        <v>0</v>
      </c>
      <c r="AH104" s="120"/>
      <c r="AI104" s="120"/>
    </row>
    <row r="105" spans="2:40" s="663" customFormat="1" ht="11.25" customHeight="1">
      <c r="B105" s="659"/>
      <c r="C105" s="659"/>
      <c r="D105" s="120"/>
      <c r="E105" s="120"/>
      <c r="F105" s="120"/>
      <c r="G105" s="120"/>
      <c r="H105" s="120"/>
      <c r="I105" s="120"/>
      <c r="J105" s="120"/>
      <c r="K105" s="120"/>
      <c r="L105" s="120"/>
      <c r="M105" s="120"/>
      <c r="N105" s="120"/>
      <c r="O105" s="120"/>
      <c r="P105" s="120"/>
      <c r="Q105" s="120"/>
      <c r="R105" s="120"/>
      <c r="S105" s="120"/>
      <c r="T105" s="120"/>
      <c r="U105" s="120"/>
      <c r="V105" s="120"/>
      <c r="W105" s="120"/>
      <c r="X105" s="120"/>
      <c r="Y105" s="120"/>
      <c r="Z105" s="120"/>
      <c r="AA105" s="120"/>
      <c r="AB105" s="120"/>
      <c r="AC105" s="120"/>
      <c r="AD105" s="120"/>
      <c r="AE105" s="120"/>
      <c r="AF105" s="120"/>
      <c r="AG105" s="120"/>
      <c r="AH105" s="120"/>
      <c r="AI105" s="120"/>
    </row>
    <row r="106" spans="2:40" s="663" customFormat="1" ht="11.25" customHeight="1">
      <c r="B106" s="32" t="s">
        <v>35</v>
      </c>
      <c r="C106" s="659"/>
      <c r="D106" s="120"/>
      <c r="E106" s="120"/>
      <c r="F106" s="120"/>
      <c r="G106" s="120"/>
      <c r="H106" s="120"/>
      <c r="I106" s="120"/>
      <c r="J106" s="120"/>
      <c r="K106" s="120"/>
      <c r="L106" s="120"/>
      <c r="M106" s="120"/>
      <c r="N106" s="120"/>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row>
    <row r="107" spans="2:40" s="663" customFormat="1" ht="11.25" customHeight="1">
      <c r="B107" s="9" t="s">
        <v>715</v>
      </c>
      <c r="C107" s="6"/>
      <c r="D107" s="513">
        <f>_xll.ciqfunctions.udf.CIQ("IQT46156517", "IQ_LASTSALEPRICE", D1)</f>
        <v>1298.821359</v>
      </c>
      <c r="E107" s="513">
        <f>_xll.ciqfunctions.udf.CIQ("IQT46156517", "IQ_LASTSALEPRICE", E1)</f>
        <v>1670.0055609999999</v>
      </c>
      <c r="F107" s="513">
        <f>_xll.ciqfunctions.udf.CIQ("IQT46156517", "IQ_LASTSALEPRICE", F1)</f>
        <v>2021.4005589999999</v>
      </c>
      <c r="G107" s="513">
        <f>_xll.ciqfunctions.udf.CIQ("IQT46156517", "IQ_LASTSALEPRICE", G1)</f>
        <v>1837.3647060000001</v>
      </c>
      <c r="H107" s="513">
        <f>_xll.ciqfunctions.udf.CIQ("IQT46156517", "IQ_LASTSALEPRICE", H1)</f>
        <v>1618.9788410000001</v>
      </c>
      <c r="I107" s="513">
        <f>_xll.ciqfunctions.udf.CIQ("IQT46156517", "IQ_LASTSALEPRICE", I1)</f>
        <v>1261.176271</v>
      </c>
      <c r="J107" s="513">
        <f>_xll.ciqfunctions.udf.CIQ("IQT46156517", "IQ_LASTSALEPRICE", J1)</f>
        <v>1622.9386380000001</v>
      </c>
      <c r="K107" s="513">
        <f>_xll.ciqfunctions.udf.CIQ("IQT46156517", "IQ_LASTSALEPRICE", K1)</f>
        <v>1799.547732</v>
      </c>
      <c r="L107" s="513">
        <f>_xll.ciqfunctions.udf.CIQ("IQT46156517", "IQ_LASTSALEPRICE", L1)</f>
        <v>1887.9409089999999</v>
      </c>
      <c r="M107" s="513">
        <f>_xll.ciqfunctions.udf.CIQ("IQT46156517", "IQ_LASTSALEPRICE", M1)</f>
        <v>2186.1274210000001</v>
      </c>
      <c r="N107" s="513">
        <f>_xll.ciqfunctions.udf.CIQ("IQT46156517", "IQ_LASTSALEPRICE", N1)</f>
        <v>2306.232497</v>
      </c>
      <c r="O107" s="513">
        <f>_xll.ciqfunctions.udf.CIQ("IQT46156517", "IQ_LASTSALEPRICE", O1)</f>
        <v>1452.9764729999999</v>
      </c>
      <c r="P107" s="513">
        <f>_xll.ciqfunctions.udf.CIQ("IQT46156517", "IQ_LASTSALEPRICE", P1)</f>
        <v>1837.4993019999999</v>
      </c>
      <c r="Q107" s="513">
        <f>_xll.ciqfunctions.udf.CIQ("IQT46156517", "IQ_LASTSALEPRICE", Q1)</f>
        <v>2114.2885190000002</v>
      </c>
      <c r="R107" s="513">
        <f>_xll.ciqfunctions.udf.CIQ("IQT46156517", "IQ_LASTSALEPRICE", R1)</f>
        <v>2158.937633</v>
      </c>
      <c r="S107" s="513">
        <f>_xll.ciqfunctions.udf.CIQ("IQT46156517", "IQ_LASTSALEPRICE", S1)</f>
        <v>2504.4430000000002</v>
      </c>
      <c r="T107" s="513">
        <f>_xll.ciqfunctions.udf.CIQ("IQT46156517", "IQ_LASTSALEPRICE", T1)</f>
        <v>3315.5852920000002</v>
      </c>
      <c r="U107" s="513">
        <f>_xll.ciqfunctions.udf.CIQ("IQT46156517", "IQ_LASTSALEPRICE", U1)</f>
        <v>3769.440239</v>
      </c>
      <c r="V107" s="513">
        <f>_xll.ciqfunctions.udf.CIQ("IQT46156517", "IQ_LASTSALEPRICE", V1)</f>
        <v>3821.6029950000002</v>
      </c>
      <c r="W107" s="513">
        <f>_xll.ciqfunctions.udf.CIQ("IQT46156517", "IQ_LASTSALEPRICE", W1)</f>
        <v>4278.6637369999999</v>
      </c>
      <c r="X107" s="513">
        <f>_xll.ciqfunctions.udf.CIQ("IQT46156517", "IQ_LASTSALEPRICE", X1)</f>
        <v>5212.7629710000001</v>
      </c>
      <c r="Y107" s="513">
        <f>_xll.ciqfunctions.udf.CIQ("IQT46156517", "IQ_LASTSALEPRICE", Y1)</f>
        <v>4984.217232</v>
      </c>
      <c r="Z107" s="513">
        <f>_xll.ciqfunctions.udf.CIQ("IQT46156517", "IQ_LASTSALEPRICE", Z1)</f>
        <v>6553.5688140000002</v>
      </c>
      <c r="AA107" s="513">
        <f>_xll.ciqfunctions.udf.CIQ("IQT46156517", "IQ_LASTSALEPRICE", AA1)</f>
        <v>7759.3454700000002</v>
      </c>
      <c r="AB107" s="513">
        <f>_xll.ciqfunctions.udf.CIQ("IQT46156517", "IQ_LASTSALEPRICE", AB1)</f>
        <v>9986.6979319999991</v>
      </c>
      <c r="AC107" s="513">
        <f>_xll.ciqfunctions.udf.CIQ("IQT46156517", "IQ_LASTSALEPRICE", AC1)</f>
        <v>8178.0205349999997</v>
      </c>
      <c r="AD107" s="513">
        <f>_xll.ciqfunctions.udf.CIQ("IQT46156517", "IQ_LASTSALEPRICE", AD1)</f>
        <v>10327.82811</v>
      </c>
      <c r="AE107" s="513">
        <f>_xll.ciqfunctions.udf.CIQ("IQT46156517", "IQ_LASTSALEPRICE", AE1)</f>
        <v>12911.821833</v>
      </c>
      <c r="AF107" s="513">
        <f>_xll.ciqfunctions.udf.CIQ("IQT46156517", "IQ_LASTSALEPRICE", AF1)</f>
        <v>13159.31</v>
      </c>
      <c r="AG107" s="513">
        <f>_xll.ciqfunctions.udf.CIQ("IQT46156517", "IQ_LASTSALEPRICE", AG1)</f>
        <v>13159.31</v>
      </c>
      <c r="AH107" s="513"/>
      <c r="AI107" s="513"/>
      <c r="AK107" s="120">
        <f t="shared" ref="AK107" si="316">IFERROR(($AE107/Z107)^(1/5)-1,"n/a")</f>
        <v>0.14525430284602447</v>
      </c>
      <c r="AL107" s="120">
        <f t="shared" ref="AL107" si="317">IFERROR(($AE107/U107)^(1/10)-1,"n/a")</f>
        <v>0.13102203535373369</v>
      </c>
      <c r="AM107" s="120">
        <f t="shared" ref="AM107" si="318">IFERROR(($AE107/P107)^(1/15)-1,"n/a")</f>
        <v>0.13880847227121862</v>
      </c>
      <c r="AN107" s="120">
        <f t="shared" ref="AN107" si="319">IFERROR(($AE107/K107)^(1/20)-1,"n/a")</f>
        <v>0.10354794840628023</v>
      </c>
    </row>
    <row r="108" spans="2:40" s="663" customFormat="1" ht="11.25" customHeight="1">
      <c r="B108" s="41" t="s">
        <v>249</v>
      </c>
      <c r="C108" s="6"/>
      <c r="D108" s="120" t="str">
        <f t="shared" ref="D108" si="320">IFERROR(D107/C107-1,"n/a")</f>
        <v>n/a</v>
      </c>
      <c r="E108" s="120">
        <f t="shared" ref="E108" si="321">IFERROR(E107/D107-1,"n/a")</f>
        <v>0.28578541569857263</v>
      </c>
      <c r="F108" s="120">
        <f t="shared" ref="F108" si="322">IFERROR(F107/E107-1,"n/a")</f>
        <v>0.21041546579616455</v>
      </c>
      <c r="G108" s="120">
        <f t="shared" ref="G108" si="323">IFERROR(G107/F107-1,"n/a")</f>
        <v>-9.104373310901015E-2</v>
      </c>
      <c r="H108" s="120">
        <f t="shared" ref="H108" si="324">IFERROR(H107/G107-1,"n/a")</f>
        <v>-0.11885820179676398</v>
      </c>
      <c r="I108" s="120">
        <f t="shared" ref="I108" si="325">IFERROR(I107/H107-1,"n/a")</f>
        <v>-0.22100509341987129</v>
      </c>
      <c r="J108" s="120">
        <f t="shared" ref="J108" si="326">IFERROR(J107/I107-1,"n/a")</f>
        <v>0.28684520579597872</v>
      </c>
      <c r="K108" s="120">
        <f t="shared" ref="K108" si="327">IFERROR(K107/J107-1,"n/a")</f>
        <v>0.10882056158182363</v>
      </c>
      <c r="L108" s="120">
        <f t="shared" ref="L108" si="328">IFERROR(L107/K107-1,"n/a")</f>
        <v>4.9119662361920557E-2</v>
      </c>
      <c r="M108" s="120">
        <f t="shared" ref="M108" si="329">IFERROR(M107/L107-1,"n/a")</f>
        <v>0.15794271450897424</v>
      </c>
      <c r="N108" s="120">
        <f t="shared" ref="N108" si="330">IFERROR(N107/M107-1,"n/a")</f>
        <v>5.4939650290402708E-2</v>
      </c>
      <c r="O108" s="120">
        <f t="shared" ref="O108" si="331">IFERROR(O107/N107-1,"n/a")</f>
        <v>-0.36997831966635408</v>
      </c>
      <c r="P108" s="120">
        <f t="shared" ref="P108" si="332">IFERROR(P107/O107-1,"n/a")</f>
        <v>0.26464491073696839</v>
      </c>
      <c r="Q108" s="120">
        <f t="shared" ref="Q108" si="333">IFERROR(Q107/P107-1,"n/a")</f>
        <v>0.15063364470328389</v>
      </c>
      <c r="R108" s="120">
        <f t="shared" ref="R108" si="334">IFERROR(R107/Q107-1,"n/a")</f>
        <v>2.1117796175291081E-2</v>
      </c>
      <c r="S108" s="120">
        <f t="shared" ref="S108" si="335">IFERROR(S107/R107-1,"n/a")</f>
        <v>0.16003489944260019</v>
      </c>
      <c r="T108" s="120">
        <f t="shared" ref="T108" si="336">IFERROR(T107/S107-1,"n/a")</f>
        <v>0.32388131492711159</v>
      </c>
      <c r="U108" s="120">
        <f t="shared" ref="U108" si="337">IFERROR(U107/T107-1,"n/a")</f>
        <v>0.13688531798445425</v>
      </c>
      <c r="V108" s="120">
        <f t="shared" ref="V108" si="338">IFERROR(V107/U107-1,"n/a")</f>
        <v>1.3838329484655354E-2</v>
      </c>
      <c r="W108" s="120">
        <f t="shared" ref="W108" si="339">IFERROR(W107/V107-1,"n/a")</f>
        <v>0.11959922121633149</v>
      </c>
      <c r="X108" s="120">
        <f t="shared" ref="X108" si="340">IFERROR(X107/W107-1,"n/a")</f>
        <v>0.21831564512123758</v>
      </c>
      <c r="Y108" s="120">
        <f t="shared" ref="Y108" si="341">IFERROR(Y107/X107-1,"n/a")</f>
        <v>-4.384349341634397E-2</v>
      </c>
      <c r="Z108" s="120">
        <f t="shared" ref="Z108" si="342">IFERROR(Z107/Y107-1,"n/a")</f>
        <v>0.31486420213074706</v>
      </c>
      <c r="AA108" s="120">
        <f t="shared" ref="AA108" si="343">IFERROR(AA107/Z107-1,"n/a")</f>
        <v>0.18398779202930937</v>
      </c>
      <c r="AB108" s="120">
        <f t="shared" ref="AB108" si="344">IFERROR(AB107/AA107-1,"n/a")</f>
        <v>0.28705416850063248</v>
      </c>
      <c r="AC108" s="120">
        <f t="shared" ref="AC108" si="345">IFERROR(AC107/AB107-1,"n/a")</f>
        <v>-0.18110865165997692</v>
      </c>
      <c r="AD108" s="120">
        <f t="shared" ref="AD108" si="346">IFERROR(AD107/AC107-1,"n/a")</f>
        <v>0.26287627498602273</v>
      </c>
      <c r="AE108" s="120">
        <f t="shared" ref="AE108:AG108" si="347">IFERROR(AE107/AD107-1,"n/a")</f>
        <v>0.25019720462795347</v>
      </c>
      <c r="AF108" s="120">
        <f t="shared" si="347"/>
        <v>1.9167563663825549E-2</v>
      </c>
      <c r="AG108" s="120">
        <f t="shared" si="347"/>
        <v>0</v>
      </c>
      <c r="AH108" s="120"/>
      <c r="AI108" s="120"/>
    </row>
    <row r="109" spans="2:40" s="663" customFormat="1" ht="11.25" customHeight="1">
      <c r="B109" s="659"/>
      <c r="C109" s="659"/>
      <c r="D109" s="120"/>
      <c r="E109" s="120"/>
      <c r="F109" s="120"/>
      <c r="G109" s="120"/>
      <c r="H109" s="120"/>
      <c r="I109" s="120"/>
      <c r="J109" s="120"/>
      <c r="K109" s="120"/>
      <c r="L109" s="120"/>
      <c r="M109" s="120"/>
      <c r="N109" s="120"/>
      <c r="O109" s="120"/>
      <c r="P109" s="120"/>
      <c r="Q109" s="120"/>
      <c r="R109" s="120"/>
      <c r="S109" s="120"/>
      <c r="T109" s="120"/>
      <c r="U109" s="120"/>
      <c r="V109" s="120"/>
      <c r="W109" s="120"/>
      <c r="X109" s="120"/>
      <c r="Y109" s="120"/>
      <c r="Z109" s="120"/>
      <c r="AA109" s="120"/>
      <c r="AB109" s="120"/>
      <c r="AC109" s="120"/>
      <c r="AD109" s="120"/>
      <c r="AE109" s="120"/>
      <c r="AF109" s="120"/>
      <c r="AG109" s="120"/>
      <c r="AH109" s="120"/>
      <c r="AI109" s="120"/>
    </row>
    <row r="110" spans="2:40" s="663" customFormat="1" ht="11.25" customHeight="1">
      <c r="B110" s="659" t="s">
        <v>716</v>
      </c>
      <c r="C110" s="659"/>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Z110" s="120"/>
      <c r="AA110" s="120"/>
      <c r="AB110" s="120"/>
      <c r="AC110" s="120"/>
      <c r="AD110" s="120"/>
      <c r="AE110" s="120"/>
      <c r="AF110" s="120"/>
      <c r="AG110" s="120"/>
      <c r="AH110" s="120"/>
      <c r="AI110" s="120"/>
    </row>
    <row r="111" spans="2:40" s="663" customFormat="1" ht="11.25" customHeight="1">
      <c r="B111" s="672" t="s">
        <v>717</v>
      </c>
      <c r="C111" s="659"/>
      <c r="D111" s="138">
        <f t="shared" ref="D111" si="348">+IFERROR((E103/D103)^(1/1)-1,"n/a ")</f>
        <v>-8.0803712327833677E-2</v>
      </c>
      <c r="E111" s="138">
        <f t="shared" ref="E111" si="349">+IFERROR((F103/E103)^(1/1)-1,"n/a ")</f>
        <v>1.8930990893270243</v>
      </c>
      <c r="F111" s="138">
        <f t="shared" ref="F111" si="350">+IFERROR((G103/F103)^(1/1)-1,"n/a ")</f>
        <v>-0.39065868917125934</v>
      </c>
      <c r="G111" s="138">
        <f t="shared" ref="G111" si="351">+IFERROR((H103/G103)^(1/1)-1,"n/a ")</f>
        <v>0.54088050719750935</v>
      </c>
      <c r="H111" s="138">
        <f t="shared" ref="H111" si="352">+IFERROR((I103/H103)^(1/1)-1,"n/a ")</f>
        <v>-0.46445713603840899</v>
      </c>
      <c r="I111" s="138">
        <f t="shared" ref="I111" si="353">+IFERROR((J103/I103)^(1/1)-1,"n/a ")</f>
        <v>0.60985912706650369</v>
      </c>
      <c r="J111" s="138">
        <f t="shared" ref="J111" si="354">+IFERROR((K103/J103)^(1/1)-1,"n/a ")</f>
        <v>-8.1718845100848925E-2</v>
      </c>
      <c r="K111" s="138">
        <f t="shared" ref="K111" si="355">+IFERROR((L103/K103)^(1/1)-1,"n/a ")</f>
        <v>0.34582454253513761</v>
      </c>
      <c r="L111" s="138">
        <f t="shared" ref="L111" si="356">+IFERROR((M103/L103)^(1/1)-1,"n/a ")</f>
        <v>0.16124542529505614</v>
      </c>
      <c r="M111" s="138">
        <f t="shared" ref="M111" si="357">+IFERROR((N103/M103)^(1/1)-1,"n/a ")</f>
        <v>-3.4937416710719593E-2</v>
      </c>
      <c r="N111" s="138">
        <f t="shared" ref="N111" si="358">+IFERROR((O103/N103)^(1/1)-1,"n/a ")</f>
        <v>-0.24036528913786037</v>
      </c>
      <c r="O111" s="138">
        <f t="shared" ref="O111" si="359">+IFERROR((P103/O103)^(1/1)-1,"n/a ")</f>
        <v>0.54291565154717025</v>
      </c>
      <c r="P111" s="138">
        <f t="shared" ref="P111" si="360">+IFERROR((Q103/P103)^(1/1)-1,"n/a ")</f>
        <v>0.15731656468275923</v>
      </c>
      <c r="Q111" s="138">
        <f t="shared" ref="Q111" si="361">+IFERROR((R103/Q103)^(1/1)-1,"n/a ")</f>
        <v>0.11368150694032031</v>
      </c>
      <c r="R111" s="138">
        <f t="shared" ref="R111" si="362">+IFERROR((S103/R103)^(1/1)-1,"n/a ")</f>
        <v>0.32695383542701117</v>
      </c>
      <c r="S111" s="138">
        <f t="shared" ref="S111" si="363">+IFERROR((T103/S103)^(1/1)-1,"n/a ")</f>
        <v>0.11811844505870539</v>
      </c>
      <c r="T111" s="138">
        <f t="shared" ref="T111" si="364">+IFERROR((U103/T103)^(1/1)-1,"n/a ")</f>
        <v>0.36652554134087234</v>
      </c>
      <c r="U111" s="138">
        <f t="shared" ref="U111" si="365">+IFERROR((V103/U103)^(1/1)-1,"n/a ")</f>
        <v>4.643669219155E-2</v>
      </c>
      <c r="V111" s="138">
        <f t="shared" ref="V111" si="366">+IFERROR((W103/V103)^(1/1)-1,"n/a ")</f>
        <v>0.31900452593761885</v>
      </c>
      <c r="W111" s="138">
        <f t="shared" ref="W111" si="367">+IFERROR((X103/W103)^(1/1)-1,"n/a ")</f>
        <v>0.30661156538089096</v>
      </c>
      <c r="X111" s="138">
        <f t="shared" ref="X111" si="368">+IFERROR((Y103/X103)^(1/1)-1,"n/a ")</f>
        <v>1.838204591131376E-2</v>
      </c>
      <c r="Y111" s="138">
        <f t="shared" ref="Y111" si="369">+IFERROR((Z103/Y103)^(1/1)-1,"n/a ")</f>
        <v>0.53929289973193772</v>
      </c>
      <c r="Z111" s="138">
        <f t="shared" ref="Z111" si="370">+IFERROR((AA103/Z103)^(1/1)-1,"n/a ")</f>
        <v>0.64667310380316412</v>
      </c>
      <c r="AA111" s="138">
        <f t="shared" ref="AA111" si="371">+IFERROR((AB103/AA103)^(1/1)-1,"n/a ")</f>
        <v>0.18069982823342068</v>
      </c>
      <c r="AB111" s="138">
        <f t="shared" ref="AB111" si="372">+IFERROR((AC103/AB103)^(1/1)-1,"n/a ")</f>
        <v>-0.25462691615879196</v>
      </c>
      <c r="AC111" s="138">
        <f t="shared" ref="AC111:AF111" si="373">+IFERROR((AD103/AC103)^(1/1)-1,"n/a ")</f>
        <v>0.35002984103263901</v>
      </c>
      <c r="AD111" s="138">
        <f t="shared" si="373"/>
        <v>0.84352970449081233</v>
      </c>
      <c r="AE111" s="138">
        <f t="shared" si="373"/>
        <v>-8.038930272164635E-2</v>
      </c>
      <c r="AF111" s="138">
        <f t="shared" si="373"/>
        <v>0</v>
      </c>
      <c r="AG111" s="120"/>
      <c r="AH111" s="120"/>
      <c r="AI111" s="120"/>
    </row>
    <row r="112" spans="2:40" s="663" customFormat="1" ht="11.25" customHeight="1">
      <c r="B112" s="672" t="s">
        <v>718</v>
      </c>
      <c r="C112" s="659"/>
      <c r="D112" s="138">
        <f t="shared" ref="D112" si="374">+IFERROR((G103/D103)^(1/3)-1,"n/a ")</f>
        <v>0.17456592528527648</v>
      </c>
      <c r="E112" s="138">
        <f t="shared" ref="E112" si="375">+IFERROR((H103/E103)^(1/3)-1,"n/a ")</f>
        <v>0.395289408071958</v>
      </c>
      <c r="F112" s="138">
        <f t="shared" ref="F112" si="376">+IFERROR((I103/F103)^(1/3)-1,"n/a ")</f>
        <v>-0.20480323095191011</v>
      </c>
      <c r="G112" s="138">
        <f t="shared" ref="G112" si="377">+IFERROR((J103/G103)^(1/3)-1,"n/a ")</f>
        <v>9.9302015035899194E-2</v>
      </c>
      <c r="H112" s="138">
        <f t="shared" ref="H112" si="378">+IFERROR((K103/H103)^(1/3)-1,"n/a ")</f>
        <v>-7.4905865048910614E-2</v>
      </c>
      <c r="I112" s="138">
        <f t="shared" ref="I112" si="379">+IFERROR((L103/I103)^(1/3)-1,"n/a ")</f>
        <v>0.25772008560279125</v>
      </c>
      <c r="J112" s="138">
        <f t="shared" ref="J112" si="380">+IFERROR((M103/J103)^(1/3)-1,"n/a ")</f>
        <v>0.12796609062720465</v>
      </c>
      <c r="K112" s="138">
        <f t="shared" ref="K112" si="381">+IFERROR((N103/K103)^(1/3)-1,"n/a ")</f>
        <v>0.1468042997401855</v>
      </c>
      <c r="L112" s="138">
        <f t="shared" ref="L112" si="382">+IFERROR((O103/L103)^(1/3)-1,"n/a ")</f>
        <v>-5.2247878938717296E-2</v>
      </c>
      <c r="M112" s="138">
        <f t="shared" ref="M112" si="383">+IFERROR((P103/M103)^(1/3)-1,"n/a ")</f>
        <v>4.1919472216339404E-2</v>
      </c>
      <c r="N112" s="138">
        <f t="shared" ref="N112" si="384">+IFERROR((Q103/N103)^(1/3)-1,"n/a ")</f>
        <v>0.106962864318499</v>
      </c>
      <c r="O112" s="138">
        <f t="shared" ref="O112" si="385">+IFERROR((R103/O103)^(1/3)-1,"n/a ")</f>
        <v>0.25753028803962263</v>
      </c>
      <c r="P112" s="138">
        <f t="shared" ref="P112" si="386">+IFERROR((S103/P103)^(1/3)-1,"n/a ")</f>
        <v>0.19588567531251289</v>
      </c>
      <c r="Q112" s="138">
        <f t="shared" ref="Q112" si="387">+IFERROR((T103/Q103)^(1/3)-1,"n/a ")</f>
        <v>0.18222882667602591</v>
      </c>
      <c r="R112" s="138">
        <f t="shared" ref="R112" si="388">+IFERROR((U103/R103)^(1/3)-1,"n/a ")</f>
        <v>0.26566992298825554</v>
      </c>
      <c r="S112" s="138">
        <f t="shared" ref="S112" si="389">+IFERROR((V103/S103)^(1/3)-1,"n/a ")</f>
        <v>0.1693365056797933</v>
      </c>
      <c r="T112" s="138">
        <f t="shared" ref="T112" si="390">+IFERROR((W103/T103)^(1/3)-1,"n/a ")</f>
        <v>0.23554622886013843</v>
      </c>
      <c r="U112" s="138">
        <f t="shared" ref="U112" si="391">+IFERROR((X103/U103)^(1/3)-1,"n/a ")</f>
        <v>0.21721860265637849</v>
      </c>
      <c r="V112" s="138">
        <f t="shared" ref="V112" si="392">+IFERROR((Y103/V103)^(1/3)-1,"n/a ")</f>
        <v>0.20624216637797921</v>
      </c>
      <c r="W112" s="138">
        <f t="shared" ref="W112" si="393">+IFERROR((Z103/W103)^(1/3)-1,"n/a ")</f>
        <v>0.26996816016506009</v>
      </c>
      <c r="X112" s="138">
        <f t="shared" ref="X112" si="394">+IFERROR((AA103/X103)^(1/3)-1,"n/a ")</f>
        <v>0.37176525129814775</v>
      </c>
      <c r="Y112" s="138">
        <f t="shared" ref="Y112" si="395">+IFERROR((AB103/Y103)^(1/3)-1,"n/a ")</f>
        <v>0.44108429764137203</v>
      </c>
      <c r="Z112" s="138">
        <f t="shared" ref="Z112" si="396">+IFERROR((AC103/Z103)^(1/3)-1,"n/a ")</f>
        <v>0.13163628931886606</v>
      </c>
      <c r="AA112" s="138">
        <f t="shared" ref="AA112:AD112" si="397">+IFERROR((AD103/AA103)^(1/3)-1,"n/a ")</f>
        <v>5.9137125371627963E-2</v>
      </c>
      <c r="AB112" s="138">
        <f t="shared" si="397"/>
        <v>0.22872795176211858</v>
      </c>
      <c r="AC112" s="138">
        <f t="shared" si="397"/>
        <v>0.31784957490478116</v>
      </c>
      <c r="AD112" s="138">
        <f t="shared" si="397"/>
        <v>0.19238924840237415</v>
      </c>
      <c r="AE112" s="120"/>
      <c r="AF112" s="120"/>
      <c r="AG112" s="120"/>
      <c r="AH112" s="120"/>
      <c r="AI112" s="120"/>
    </row>
    <row r="113" spans="2:35" s="663" customFormat="1" ht="11.25" customHeight="1">
      <c r="B113" s="672" t="s">
        <v>719</v>
      </c>
      <c r="C113" s="659"/>
      <c r="D113" s="138">
        <f t="shared" ref="D113" si="398">+IFERROR((I103/D103)^(1/5)-1,"n/a ")</f>
        <v>5.9837002540993778E-2</v>
      </c>
      <c r="E113" s="138">
        <f t="shared" ref="E113" si="399">+IFERROR((J103/E103)^(1/5)-1,"n/a ")</f>
        <v>0.18553669428309205</v>
      </c>
      <c r="F113" s="138">
        <f t="shared" ref="F113" si="400">+IFERROR((K103/F103)^(1/5)-1,"n/a ")</f>
        <v>-5.7595235132942513E-2</v>
      </c>
      <c r="G113" s="138">
        <f t="shared" ref="G113" si="401">+IFERROR((L103/G103)^(1/5)-1,"n/a ")</f>
        <v>0.10423888778501778</v>
      </c>
      <c r="H113" s="138">
        <f t="shared" ref="H113" si="402">+IFERROR((M103/H103)^(1/5)-1,"n/a ")</f>
        <v>4.3503832697902922E-2</v>
      </c>
      <c r="I113" s="138">
        <f t="shared" ref="I113" si="403">+IFERROR((N103/I103)^(1/5)-1,"n/a ")</f>
        <v>0.17394107048176544</v>
      </c>
      <c r="J113" s="138">
        <f t="shared" ref="J113" si="404">+IFERROR((O103/J103)^(1/5)-1,"n/a ")</f>
        <v>1.0205391787975415E-2</v>
      </c>
      <c r="K113" s="138">
        <f t="shared" ref="K113" si="405">+IFERROR((P103/K103)^(1/5)-1,"n/a ")</f>
        <v>0.12068351787374265</v>
      </c>
      <c r="L113" s="138">
        <f t="shared" ref="L113" si="406">+IFERROR((Q103/L103)^(1/5)-1,"n/a ")</f>
        <v>8.7365951258675967E-2</v>
      </c>
      <c r="M113" s="138">
        <f t="shared" ref="M113" si="407">+IFERROR((R103/M103)^(1/5)-1,"n/a ")</f>
        <v>7.8308747178630123E-2</v>
      </c>
      <c r="N113" s="138">
        <f t="shared" ref="N113" si="408">+IFERROR((S103/N103)^(1/5)-1,"n/a ")</f>
        <v>0.14922005290070262</v>
      </c>
      <c r="O113" s="138">
        <f t="shared" ref="O113" si="409">+IFERROR((T103/O103)^(1/5)-1,"n/a ")</f>
        <v>0.24159455001167585</v>
      </c>
      <c r="P113" s="138">
        <f t="shared" ref="P113" si="410">+IFERROR((U103/P103)^(1/5)-1,"n/a ")</f>
        <v>0.21181105838561076</v>
      </c>
      <c r="Q113" s="138">
        <f t="shared" ref="Q113" si="411">+IFERROR((V103/Q103)^(1/5)-1,"n/a ")</f>
        <v>0.18764616127507328</v>
      </c>
      <c r="R113" s="138">
        <f t="shared" ref="R113" si="412">+IFERROR((W103/R103)^(1/5)-1,"n/a ")</f>
        <v>0.22852535714458155</v>
      </c>
      <c r="S113" s="138">
        <f t="shared" ref="S113" si="413">+IFERROR((X103/S103)^(1/5)-1,"n/a ")</f>
        <v>0.22473537379315345</v>
      </c>
      <c r="T113" s="138">
        <f t="shared" ref="T113" si="414">+IFERROR((Y103/T103)^(1/5)-1,"n/a ")</f>
        <v>0.20206193857681942</v>
      </c>
      <c r="U113" s="138">
        <f t="shared" ref="U113" si="415">+IFERROR((Z103/U103)^(1/5)-1,"n/a ")</f>
        <v>0.23102691576254664</v>
      </c>
      <c r="V113" s="138">
        <f t="shared" ref="V113" si="416">+IFERROR((AA103/V103)^(1/5)-1,"n/a ")</f>
        <v>0.3478651211760202</v>
      </c>
      <c r="W113" s="138">
        <f t="shared" ref="W113" si="417">+IFERROR((AB103/W103)^(1/5)-1,"n/a ")</f>
        <v>0.31833286260172899</v>
      </c>
      <c r="X113" s="138">
        <f t="shared" ref="X113" si="418">+IFERROR((AC103/X103)^(1/5)-1,"n/a ")</f>
        <v>0.17833972624722394</v>
      </c>
      <c r="Y113" s="138">
        <f t="shared" ref="Y113" si="419">+IFERROR((AD103/Y103)^(1/5)-1,"n/a ")</f>
        <v>0.24668589658376239</v>
      </c>
      <c r="Z113" s="138">
        <f t="shared" ref="Z113" si="420">+IFERROR((AE103/Z103)^(1/5)-1,"n/a ")</f>
        <v>0.29247699324591969</v>
      </c>
      <c r="AA113" s="138">
        <f t="shared" ref="AA113:AB113" si="421">+IFERROR((AF103/AA103)^(1/5)-1,"n/a ")</f>
        <v>0.15032920425271046</v>
      </c>
      <c r="AB113" s="138">
        <f t="shared" si="421"/>
        <v>0.11274139800011374</v>
      </c>
      <c r="AC113" s="138"/>
      <c r="AD113" s="138"/>
      <c r="AE113" s="120"/>
      <c r="AF113" s="120"/>
      <c r="AG113" s="120"/>
      <c r="AH113" s="120"/>
      <c r="AI113" s="120"/>
    </row>
    <row r="114" spans="2:35" s="663" customFormat="1" ht="11.25" customHeight="1">
      <c r="B114" s="672" t="s">
        <v>720</v>
      </c>
      <c r="C114" s="659"/>
      <c r="D114" s="138">
        <f t="shared" ref="D114" si="422">+IFERROR((N103/D103)^(1/10)-1,"n/a ")</f>
        <v>0.1154309415195367</v>
      </c>
      <c r="E114" s="138">
        <f t="shared" ref="E114" si="423">+IFERROR((O103/E103)^(1/10)-1,"n/a ")</f>
        <v>9.4365368936385918E-2</v>
      </c>
      <c r="F114" s="138">
        <f t="shared" ref="F114" si="424">+IFERROR((P103/F103)^(1/10)-1,"n/a ")</f>
        <v>2.7685500117711648E-2</v>
      </c>
      <c r="G114" s="138">
        <f t="shared" ref="G114" si="425">+IFERROR((Q103/G103)^(1/10)-1,"n/a ")</f>
        <v>9.5769943297030924E-2</v>
      </c>
      <c r="H114" s="138">
        <f t="shared" ref="H114" si="426">+IFERROR((R103/H103)^(1/10)-1,"n/a ")</f>
        <v>6.0763550708910152E-2</v>
      </c>
      <c r="I114" s="138">
        <f t="shared" ref="I114" si="427">+IFERROR((S103/I103)^(1/10)-1,"n/a ")</f>
        <v>0.16151479505056754</v>
      </c>
      <c r="J114" s="138">
        <f t="shared" ref="J114" si="428">+IFERROR((T103/J103)^(1/10)-1,"n/a ")</f>
        <v>0.11993995769253618</v>
      </c>
      <c r="K114" s="138">
        <f t="shared" ref="K114" si="429">+IFERROR((U103/K103)^(1/10)-1,"n/a ")</f>
        <v>0.16535688950204852</v>
      </c>
      <c r="L114" s="138">
        <f t="shared" ref="L114" si="430">+IFERROR((V103/L103)^(1/10)-1,"n/a ")</f>
        <v>0.1364004566672723</v>
      </c>
      <c r="M114" s="138">
        <f t="shared" ref="M114" si="431">+IFERROR((W103/M103)^(1/10)-1,"n/a ")</f>
        <v>0.15096899990388657</v>
      </c>
      <c r="N114" s="138">
        <f t="shared" ref="N114" si="432">+IFERROR((X103/N103)^(1/10)-1,"n/a ")</f>
        <v>0.18637702736521722</v>
      </c>
      <c r="O114" s="138">
        <f t="shared" ref="O114" si="433">+IFERROR((Y103/O103)^(1/10)-1,"n/a ")</f>
        <v>0.22166834767601684</v>
      </c>
      <c r="P114" s="138">
        <f t="shared" ref="P114" si="434">+IFERROR((Z103/P103)^(1/10)-1,"n/a ")</f>
        <v>0.22138119753473595</v>
      </c>
      <c r="Q114" s="138">
        <f t="shared" ref="Q114" si="435">+IFERROR((AA103/Q103)^(1/10)-1,"n/a ")</f>
        <v>0.26522205050388759</v>
      </c>
      <c r="R114" s="138">
        <f t="shared" ref="R114" si="436">+IFERROR((AB103/R103)^(1/10)-1,"n/a ")</f>
        <v>0.27263716387005887</v>
      </c>
      <c r="S114" s="138">
        <f t="shared" ref="S114" si="437">+IFERROR((AC103/S103)^(1/10)-1,"n/a ")</f>
        <v>0.20131359148255523</v>
      </c>
      <c r="T114" s="138">
        <f t="shared" ref="T114" si="438">+IFERROR((AD103/T103)^(1/10)-1,"n/a ")</f>
        <v>0.22417060316111881</v>
      </c>
      <c r="U114" s="138">
        <f t="shared" ref="U114:W114" si="439">+IFERROR((AE103/U103)^(1/10)-1,"n/a ")</f>
        <v>0.26137780489810991</v>
      </c>
      <c r="V114" s="138">
        <f t="shared" si="439"/>
        <v>0.24518617575139912</v>
      </c>
      <c r="W114" s="138">
        <f t="shared" si="439"/>
        <v>0.21118270816625317</v>
      </c>
      <c r="X114" s="138"/>
      <c r="Y114" s="138"/>
      <c r="Z114" s="138"/>
      <c r="AA114" s="138"/>
      <c r="AB114" s="138"/>
      <c r="AC114" s="138"/>
      <c r="AD114" s="138"/>
      <c r="AE114" s="120"/>
      <c r="AF114" s="120"/>
      <c r="AG114" s="120"/>
      <c r="AH114" s="120"/>
      <c r="AI114" s="120"/>
    </row>
    <row r="116" spans="2:35" ht="11.25" customHeight="1">
      <c r="B116" s="306" t="s">
        <v>791</v>
      </c>
      <c r="C116" s="670"/>
    </row>
    <row r="118" spans="2:35" ht="11.25" customHeight="1">
      <c r="B118" s="659" t="s">
        <v>978</v>
      </c>
      <c r="D118" s="675">
        <f>+FX!AC14</f>
        <v>28.785945000000002</v>
      </c>
      <c r="E118" s="675">
        <f>+FX!AD14</f>
        <v>33.527068</v>
      </c>
      <c r="F118" s="675">
        <f>+FX!AE14</f>
        <v>32.318904000000003</v>
      </c>
      <c r="G118" s="675">
        <f>+FX!AF14</f>
        <v>31.266712999999999</v>
      </c>
      <c r="H118" s="675">
        <f>+FX!AG14</f>
        <v>33.833989000000003</v>
      </c>
      <c r="I118" s="675">
        <f>+FX!AH14</f>
        <v>34.538110000000003</v>
      </c>
      <c r="J118" s="675">
        <f>+FX!AI14</f>
        <v>34.402577999999998</v>
      </c>
      <c r="K118" s="675">
        <f>+FX!AJ14</f>
        <v>33.381672000000002</v>
      </c>
      <c r="L118" s="675">
        <f>+FX!AK14</f>
        <v>32.134466000000003</v>
      </c>
      <c r="M118" s="675">
        <f>+FX!AL14</f>
        <v>32.508702999999997</v>
      </c>
      <c r="N118" s="675">
        <f>+FX!AM14</f>
        <v>32.914285</v>
      </c>
      <c r="O118" s="675">
        <f>+FX!AN14</f>
        <v>31.54616</v>
      </c>
      <c r="P118" s="675">
        <f>+FX!AO14</f>
        <v>33.044998999999997</v>
      </c>
      <c r="Q118" s="675">
        <f>+FX!AP14</f>
        <v>31.540811000000001</v>
      </c>
      <c r="R118" s="675">
        <f>+FX!AQ14</f>
        <v>29.41929</v>
      </c>
      <c r="S118" s="675">
        <f>+FX!AR14</f>
        <v>29.577525000000001</v>
      </c>
      <c r="T118" s="675">
        <f>+FX!AS14</f>
        <v>29.703274</v>
      </c>
      <c r="U118" s="675">
        <f>+FX!AT14</f>
        <v>30.329552</v>
      </c>
      <c r="V118" s="675">
        <f>+FX!AU14</f>
        <v>31.787731999999998</v>
      </c>
      <c r="W118" s="675">
        <f>+FX!AV14</f>
        <v>32.271028999999999</v>
      </c>
      <c r="X118" s="675">
        <f>+FX!AW14</f>
        <v>30.433181000000001</v>
      </c>
      <c r="Y118" s="675">
        <f>+FX!AX14</f>
        <v>30.158078</v>
      </c>
      <c r="Z118" s="675">
        <f>+FX!AY14</f>
        <v>30.909054999999999</v>
      </c>
      <c r="AA118" s="675">
        <f>+FX!AZ14</f>
        <v>29.465765999999999</v>
      </c>
      <c r="AB118" s="675">
        <f>+FX!BA14</f>
        <v>27.950334000000002</v>
      </c>
      <c r="AC118" s="675">
        <f>+FX!BB14</f>
        <v>29.809685000000002</v>
      </c>
      <c r="AD118" s="675">
        <f>+FX!BC14</f>
        <v>31.170352999999999</v>
      </c>
      <c r="AE118" s="675">
        <f>+FX!BD14</f>
        <v>32.13555723369565</v>
      </c>
      <c r="AF118" s="675">
        <f>+FX!BE14</f>
        <v>32.652999999999999</v>
      </c>
      <c r="AG118" s="675">
        <f>+FX!BF14</f>
        <v>32.652999999999999</v>
      </c>
      <c r="AH118" s="675"/>
      <c r="AI118" s="675"/>
    </row>
    <row r="119" spans="2:35" ht="11.25" customHeight="1">
      <c r="B119" s="9" t="s">
        <v>249</v>
      </c>
      <c r="D119" s="120" t="str">
        <f t="shared" ref="D119" si="440">IFERROR(D118/C118-1,"n/a")</f>
        <v>n/a</v>
      </c>
      <c r="E119" s="120">
        <f t="shared" ref="E119" si="441">IFERROR(E118/D118-1,"n/a")</f>
        <v>0.1647027047401084</v>
      </c>
      <c r="F119" s="120">
        <f t="shared" ref="F119" si="442">IFERROR(F118/E118-1,"n/a")</f>
        <v>-3.6035480346805038E-2</v>
      </c>
      <c r="G119" s="120">
        <f t="shared" ref="G119" si="443">IFERROR(G118/F118-1,"n/a")</f>
        <v>-3.2556518624517805E-2</v>
      </c>
      <c r="H119" s="120">
        <f t="shared" ref="H119" si="444">IFERROR(H118/G118-1,"n/a")</f>
        <v>8.2108918836463651E-2</v>
      </c>
      <c r="I119" s="120">
        <f t="shared" ref="I119" si="445">IFERROR(I118/H118-1,"n/a")</f>
        <v>2.0811054824188879E-2</v>
      </c>
      <c r="J119" s="120">
        <f t="shared" ref="J119" si="446">IFERROR(J118/I118-1,"n/a")</f>
        <v>-3.9241290273267504E-3</v>
      </c>
      <c r="K119" s="120">
        <f t="shared" ref="K119" si="447">IFERROR(K118/J118-1,"n/a")</f>
        <v>-2.9675276079600632E-2</v>
      </c>
      <c r="L119" s="120">
        <f t="shared" ref="L119" si="448">IFERROR(L118/K118-1,"n/a")</f>
        <v>-3.7361999123351253E-2</v>
      </c>
      <c r="M119" s="120">
        <f t="shared" ref="M119" si="449">IFERROR(M118/L118-1,"n/a")</f>
        <v>1.1645969159717495E-2</v>
      </c>
      <c r="N119" s="120">
        <f t="shared" ref="N119" si="450">IFERROR(N118/M118-1,"n/a")</f>
        <v>1.2476105244801694E-2</v>
      </c>
      <c r="O119" s="120">
        <f t="shared" ref="O119" si="451">IFERROR(O118/N118-1,"n/a")</f>
        <v>-4.1566298645101973E-2</v>
      </c>
      <c r="P119" s="120">
        <f t="shared" ref="P119" si="452">IFERROR(P118/O118-1,"n/a")</f>
        <v>4.7512565713227817E-2</v>
      </c>
      <c r="Q119" s="120">
        <f t="shared" ref="Q119" si="453">IFERROR(Q118/P118-1,"n/a")</f>
        <v>-4.5519384037505772E-2</v>
      </c>
      <c r="R119" s="120">
        <f t="shared" ref="R119" si="454">IFERROR(R118/Q118-1,"n/a")</f>
        <v>-6.7262728279244399E-2</v>
      </c>
      <c r="S119" s="120">
        <f t="shared" ref="S119" si="455">IFERROR(S118/R118-1,"n/a")</f>
        <v>5.3786138278659745E-3</v>
      </c>
      <c r="T119" s="120">
        <f t="shared" ref="T119" si="456">IFERROR(T118/S118-1,"n/a")</f>
        <v>4.2515051546740956E-3</v>
      </c>
      <c r="U119" s="120">
        <f t="shared" ref="U119" si="457">IFERROR(U118/T118-1,"n/a")</f>
        <v>2.1084477084916564E-2</v>
      </c>
      <c r="V119" s="120">
        <f t="shared" ref="V119" si="458">IFERROR(V118/U118-1,"n/a")</f>
        <v>4.8077861486381268E-2</v>
      </c>
      <c r="W119" s="120">
        <f t="shared" ref="W119" si="459">IFERROR(W118/V118-1,"n/a")</f>
        <v>1.5203884316125515E-2</v>
      </c>
      <c r="X119" s="120">
        <f t="shared" ref="X119" si="460">IFERROR(X118/W118-1,"n/a")</f>
        <v>-5.6950399691314435E-2</v>
      </c>
      <c r="Y119" s="120">
        <f t="shared" ref="Y119" si="461">IFERROR(Y118/X118-1,"n/a")</f>
        <v>-9.0395742725678518E-3</v>
      </c>
      <c r="Z119" s="120">
        <f t="shared" ref="Z119" si="462">IFERROR(Z118/Y118-1,"n/a")</f>
        <v>2.4901354787927765E-2</v>
      </c>
      <c r="AA119" s="120">
        <f t="shared" ref="AA119" si="463">IFERROR(AA118/Z118-1,"n/a")</f>
        <v>-4.6694698365899567E-2</v>
      </c>
      <c r="AB119" s="120">
        <f t="shared" ref="AB119" si="464">IFERROR(AB118/AA118-1,"n/a")</f>
        <v>-5.1430259780112175E-2</v>
      </c>
      <c r="AC119" s="120">
        <f t="shared" ref="AC119" si="465">IFERROR(AC118/AB118-1,"n/a")</f>
        <v>6.6523391097938145E-2</v>
      </c>
      <c r="AD119" s="120">
        <f t="shared" ref="AD119" si="466">IFERROR(AD118/AC118-1,"n/a")</f>
        <v>4.5645165321270387E-2</v>
      </c>
      <c r="AE119" s="120">
        <f t="shared" ref="AE119" si="467">IFERROR(AE118/AD118-1,"n/a")</f>
        <v>3.0965457263049112E-2</v>
      </c>
      <c r="AF119" s="120">
        <f t="shared" ref="AF119" si="468">IFERROR(AF118/AE118-1,"n/a")</f>
        <v>1.6101876265639747E-2</v>
      </c>
      <c r="AG119" s="120">
        <f>IFERROR(AG118/AF118-1,"n/a")</f>
        <v>0</v>
      </c>
      <c r="AH119" s="120"/>
      <c r="AI119" s="120"/>
    </row>
    <row r="120" spans="2:35" ht="11.25" customHeight="1">
      <c r="B120" s="659" t="s">
        <v>979</v>
      </c>
      <c r="D120" s="675">
        <f>+FX!AC22</f>
        <v>32.78</v>
      </c>
      <c r="E120" s="675">
        <f>+FX!AD22</f>
        <v>32.78</v>
      </c>
      <c r="F120" s="675">
        <f>+FX!AE22</f>
        <v>32.78</v>
      </c>
      <c r="G120" s="675">
        <f>+FX!AF22</f>
        <v>32.78</v>
      </c>
      <c r="H120" s="675">
        <f>+FX!AG22</f>
        <v>32.78</v>
      </c>
      <c r="I120" s="675">
        <f>+FX!AH22</f>
        <v>32.78</v>
      </c>
      <c r="J120" s="675">
        <f>+FX!AI22</f>
        <v>32.78</v>
      </c>
      <c r="K120" s="675">
        <f>+FX!AJ22</f>
        <v>32.78</v>
      </c>
      <c r="L120" s="675">
        <f>+FX!AK22</f>
        <v>32.78</v>
      </c>
      <c r="M120" s="675">
        <f>+FX!AL22</f>
        <v>32.78</v>
      </c>
      <c r="N120" s="675">
        <f>+FX!AM22</f>
        <v>32.78</v>
      </c>
      <c r="O120" s="675">
        <f>+FX!AN22</f>
        <v>32.78</v>
      </c>
      <c r="P120" s="675">
        <f>+FX!AO22</f>
        <v>32.78</v>
      </c>
      <c r="Q120" s="675">
        <f>+FX!AP22</f>
        <v>32.78</v>
      </c>
      <c r="R120" s="675">
        <f>+FX!AQ22</f>
        <v>32.78</v>
      </c>
      <c r="S120" s="675">
        <f>+FX!AR22</f>
        <v>32.78</v>
      </c>
      <c r="T120" s="675">
        <f>+FX!AS22</f>
        <v>32.78</v>
      </c>
      <c r="U120" s="675">
        <f>+FX!AT22</f>
        <v>32.78</v>
      </c>
      <c r="V120" s="675">
        <f>+FX!AU22</f>
        <v>32.78</v>
      </c>
      <c r="W120" s="675">
        <f>+FX!AV22</f>
        <v>32.78</v>
      </c>
      <c r="X120" s="675">
        <f>+FX!AW22</f>
        <v>32.78</v>
      </c>
      <c r="Y120" s="675">
        <f>+FX!AX22</f>
        <v>32.78</v>
      </c>
      <c r="Z120" s="675">
        <f>+FX!AY22</f>
        <v>32.78</v>
      </c>
      <c r="AA120" s="675">
        <f>+FX!AZ22</f>
        <v>32.78</v>
      </c>
      <c r="AB120" s="675">
        <f>+FX!BA22</f>
        <v>32.78</v>
      </c>
      <c r="AC120" s="675">
        <f>+FX!BB22</f>
        <v>32.78</v>
      </c>
      <c r="AD120" s="675">
        <f>+FX!BC22</f>
        <v>32.78</v>
      </c>
      <c r="AE120" s="675">
        <f>+FX!BD22</f>
        <v>32.652999999999999</v>
      </c>
      <c r="AF120" s="675">
        <f>+FX!BE22</f>
        <v>32.652999999999999</v>
      </c>
      <c r="AG120" s="675">
        <f>+FX!BF22</f>
        <v>32.652999999999999</v>
      </c>
      <c r="AH120" s="675"/>
      <c r="AI120" s="675"/>
    </row>
    <row r="121" spans="2:35" ht="11.25" customHeight="1">
      <c r="B121" s="9" t="s">
        <v>249</v>
      </c>
      <c r="D121" s="120" t="str">
        <f t="shared" ref="D121" si="469">IFERROR(D120/C120-1,"n/a")</f>
        <v>n/a</v>
      </c>
      <c r="E121" s="120">
        <f t="shared" ref="E121" si="470">IFERROR(E120/D120-1,"n/a")</f>
        <v>0</v>
      </c>
      <c r="F121" s="120">
        <f t="shared" ref="F121" si="471">IFERROR(F120/E120-1,"n/a")</f>
        <v>0</v>
      </c>
      <c r="G121" s="120">
        <f t="shared" ref="G121" si="472">IFERROR(G120/F120-1,"n/a")</f>
        <v>0</v>
      </c>
      <c r="H121" s="120">
        <f t="shared" ref="H121" si="473">IFERROR(H120/G120-1,"n/a")</f>
        <v>0</v>
      </c>
      <c r="I121" s="120">
        <f t="shared" ref="I121" si="474">IFERROR(I120/H120-1,"n/a")</f>
        <v>0</v>
      </c>
      <c r="J121" s="120">
        <f t="shared" ref="J121" si="475">IFERROR(J120/I120-1,"n/a")</f>
        <v>0</v>
      </c>
      <c r="K121" s="120">
        <f t="shared" ref="K121" si="476">IFERROR(K120/J120-1,"n/a")</f>
        <v>0</v>
      </c>
      <c r="L121" s="120">
        <f t="shared" ref="L121" si="477">IFERROR(L120/K120-1,"n/a")</f>
        <v>0</v>
      </c>
      <c r="M121" s="120">
        <f t="shared" ref="M121" si="478">IFERROR(M120/L120-1,"n/a")</f>
        <v>0</v>
      </c>
      <c r="N121" s="120">
        <f t="shared" ref="N121" si="479">IFERROR(N120/M120-1,"n/a")</f>
        <v>0</v>
      </c>
      <c r="O121" s="120">
        <f t="shared" ref="O121" si="480">IFERROR(O120/N120-1,"n/a")</f>
        <v>0</v>
      </c>
      <c r="P121" s="120">
        <f t="shared" ref="P121" si="481">IFERROR(P120/O120-1,"n/a")</f>
        <v>0</v>
      </c>
      <c r="Q121" s="120">
        <f t="shared" ref="Q121" si="482">IFERROR(Q120/P120-1,"n/a")</f>
        <v>0</v>
      </c>
      <c r="R121" s="120">
        <f t="shared" ref="R121" si="483">IFERROR(R120/Q120-1,"n/a")</f>
        <v>0</v>
      </c>
      <c r="S121" s="120">
        <f t="shared" ref="S121" si="484">IFERROR(S120/R120-1,"n/a")</f>
        <v>0</v>
      </c>
      <c r="T121" s="120">
        <f t="shared" ref="T121" si="485">IFERROR(T120/S120-1,"n/a")</f>
        <v>0</v>
      </c>
      <c r="U121" s="120">
        <f t="shared" ref="U121" si="486">IFERROR(U120/T120-1,"n/a")</f>
        <v>0</v>
      </c>
      <c r="V121" s="120">
        <f t="shared" ref="V121" si="487">IFERROR(V120/U120-1,"n/a")</f>
        <v>0</v>
      </c>
      <c r="W121" s="120">
        <f t="shared" ref="W121" si="488">IFERROR(W120/V120-1,"n/a")</f>
        <v>0</v>
      </c>
      <c r="X121" s="120">
        <f t="shared" ref="X121" si="489">IFERROR(X120/W120-1,"n/a")</f>
        <v>0</v>
      </c>
      <c r="Y121" s="120">
        <f t="shared" ref="Y121" si="490">IFERROR(Y120/X120-1,"n/a")</f>
        <v>0</v>
      </c>
      <c r="Z121" s="120">
        <f t="shared" ref="Z121" si="491">IFERROR(Z120/Y120-1,"n/a")</f>
        <v>0</v>
      </c>
      <c r="AA121" s="120">
        <f t="shared" ref="AA121" si="492">IFERROR(AA120/Z120-1,"n/a")</f>
        <v>0</v>
      </c>
      <c r="AB121" s="120">
        <f t="shared" ref="AB121" si="493">IFERROR(AB120/AA120-1,"n/a")</f>
        <v>0</v>
      </c>
      <c r="AC121" s="120">
        <f t="shared" ref="AC121" si="494">IFERROR(AC120/AB120-1,"n/a")</f>
        <v>0</v>
      </c>
      <c r="AD121" s="120">
        <f t="shared" ref="AD121" si="495">IFERROR(AD120/AC120-1,"n/a")</f>
        <v>0</v>
      </c>
      <c r="AE121" s="120">
        <f t="shared" ref="AE121" si="496">IFERROR(AE120/AD120-1,"n/a")</f>
        <v>-3.8743136058573269E-3</v>
      </c>
      <c r="AF121" s="120">
        <f t="shared" ref="AF121:AG121" si="497">IFERROR(AF120/AE120-1,"n/a")</f>
        <v>0</v>
      </c>
      <c r="AG121" s="120">
        <f t="shared" si="497"/>
        <v>0</v>
      </c>
      <c r="AH121" s="120"/>
      <c r="AI121" s="120"/>
    </row>
    <row r="123" spans="2:35" s="676" customFormat="1" ht="11.25" customHeight="1">
      <c r="B123" s="293" t="s">
        <v>980</v>
      </c>
    </row>
    <row r="124" spans="2:35" ht="11.25" customHeight="1">
      <c r="B124" s="659" t="s">
        <v>983</v>
      </c>
    </row>
  </sheetData>
  <pageMargins left="0.3" right="0.3" top="0.3" bottom="0.5" header="0.3" footer="0.3"/>
  <pageSetup scale="38" orientation="landscape" r:id="rId1"/>
  <headerFooter>
    <oddFooter>Page &amp;P of &amp;N</oddFooter>
  </headerFooter>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16BEB-6AA0-4789-93C8-591020E80CCC}">
  <sheetPr>
    <tabColor theme="9" tint="0.39997558519241921"/>
    <pageSetUpPr fitToPage="1"/>
  </sheetPr>
  <dimension ref="B2:G13"/>
  <sheetViews>
    <sheetView view="pageBreakPreview" zoomScaleNormal="100" zoomScaleSheetLayoutView="100" workbookViewId="0">
      <selection activeCell="E120" sqref="E120"/>
    </sheetView>
  </sheetViews>
  <sheetFormatPr defaultColWidth="9.140625" defaultRowHeight="11.25" customHeight="1"/>
  <cols>
    <col min="1" max="1" width="2.7109375" style="2" customWidth="1"/>
    <col min="2" max="2" width="9.140625" style="2"/>
    <col min="3" max="3" width="15.7109375" style="2" customWidth="1"/>
    <col min="4" max="4" width="38.140625" style="2" bestFit="1" customWidth="1"/>
    <col min="5" max="5" width="35.7109375" style="2" customWidth="1"/>
    <col min="6" max="6" width="2.7109375" style="2" customWidth="1"/>
    <col min="7" max="7" width="8.140625" style="2" bestFit="1" customWidth="1"/>
    <col min="8" max="16384" width="9.140625" style="2"/>
  </cols>
  <sheetData>
    <row r="2" spans="2:7" ht="11.25" customHeight="1">
      <c r="B2" s="5" t="s">
        <v>114</v>
      </c>
      <c r="C2" s="5"/>
      <c r="D2" s="5"/>
      <c r="E2" s="62">
        <f ca="1">TODAY()</f>
        <v>45796</v>
      </c>
    </row>
    <row r="3" spans="2:7" ht="11.25" customHeight="1">
      <c r="B3" s="293" t="s">
        <v>333</v>
      </c>
      <c r="C3" s="293"/>
      <c r="D3" s="293"/>
      <c r="E3" s="293"/>
    </row>
    <row r="4" spans="2:7" ht="11.25" customHeight="1">
      <c r="B4" s="7"/>
    </row>
    <row r="6" spans="2:7" ht="13.5" customHeight="1">
      <c r="B6" s="8" t="s">
        <v>334</v>
      </c>
      <c r="C6" s="8" t="s">
        <v>335</v>
      </c>
      <c r="D6" s="8" t="s">
        <v>336</v>
      </c>
      <c r="E6" s="8" t="s">
        <v>333</v>
      </c>
      <c r="G6" s="8"/>
    </row>
    <row r="7" spans="2:7">
      <c r="B7" s="294">
        <v>45491</v>
      </c>
      <c r="C7" s="295" t="s">
        <v>355</v>
      </c>
      <c r="D7" s="30" t="s">
        <v>7</v>
      </c>
      <c r="E7" s="296" t="s">
        <v>358</v>
      </c>
      <c r="G7" s="297"/>
    </row>
    <row r="8" spans="2:7">
      <c r="B8" s="294">
        <v>45491</v>
      </c>
      <c r="C8" s="295" t="s">
        <v>355</v>
      </c>
      <c r="D8" s="30" t="s">
        <v>344</v>
      </c>
      <c r="E8" s="298" t="s">
        <v>356</v>
      </c>
      <c r="G8" s="297"/>
    </row>
    <row r="9" spans="2:7" ht="11.25" customHeight="1">
      <c r="B9" s="294">
        <v>45491</v>
      </c>
      <c r="C9" s="295" t="s">
        <v>355</v>
      </c>
      <c r="D9" s="2" t="s">
        <v>357</v>
      </c>
      <c r="E9" s="299" t="s">
        <v>359</v>
      </c>
    </row>
    <row r="10" spans="2:7">
      <c r="B10" s="294">
        <v>45491</v>
      </c>
      <c r="C10" s="295" t="s">
        <v>337</v>
      </c>
      <c r="D10" s="2" t="s">
        <v>363</v>
      </c>
      <c r="E10" s="299" t="s">
        <v>364</v>
      </c>
      <c r="G10" s="297"/>
    </row>
    <row r="11" spans="2:7">
      <c r="B11" s="294">
        <v>45491</v>
      </c>
      <c r="C11" s="295" t="s">
        <v>337</v>
      </c>
      <c r="D11" s="2" t="s">
        <v>370</v>
      </c>
      <c r="E11" s="299" t="s">
        <v>371</v>
      </c>
      <c r="G11" s="300"/>
    </row>
    <row r="12" spans="2:7" ht="11.25" customHeight="1">
      <c r="B12" s="294">
        <v>45491</v>
      </c>
      <c r="C12" s="295" t="s">
        <v>398</v>
      </c>
      <c r="D12" s="2" t="s">
        <v>339</v>
      </c>
      <c r="E12" s="299" t="s">
        <v>399</v>
      </c>
    </row>
    <row r="13" spans="2:7" ht="11.25" customHeight="1">
      <c r="B13" s="294">
        <v>44574</v>
      </c>
      <c r="C13" s="64" t="s">
        <v>338</v>
      </c>
      <c r="D13" s="2" t="s">
        <v>370</v>
      </c>
      <c r="E13" s="2" t="s">
        <v>435</v>
      </c>
    </row>
  </sheetData>
  <pageMargins left="0.3" right="0.3" top="0.3" bottom="0.5" header="0.3" footer="0.3"/>
  <pageSetup orientation="landscape" r:id="rId1"/>
  <headerFooter>
    <oddFoote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586D3-A9F4-46CB-BE53-20E0F9B05CAF}">
  <sheetPr>
    <tabColor theme="9" tint="0.39997558519241921"/>
    <pageSetUpPr fitToPage="1"/>
  </sheetPr>
  <dimension ref="B2:F19"/>
  <sheetViews>
    <sheetView view="pageBreakPreview" zoomScaleNormal="100" zoomScaleSheetLayoutView="100" workbookViewId="0">
      <selection activeCell="E120" sqref="E120"/>
    </sheetView>
  </sheetViews>
  <sheetFormatPr defaultColWidth="9.140625" defaultRowHeight="11.25" customHeight="1"/>
  <cols>
    <col min="1" max="1" width="2.7109375" style="2" customWidth="1"/>
    <col min="2" max="5" width="9.7109375" style="2" customWidth="1"/>
    <col min="6" max="6" width="150.7109375" style="2" customWidth="1"/>
    <col min="7" max="7" width="2.7109375" style="2" customWidth="1"/>
    <col min="8" max="16384" width="9.140625" style="2"/>
  </cols>
  <sheetData>
    <row r="2" spans="2:6" ht="11.25" customHeight="1">
      <c r="B2" s="5" t="s">
        <v>114</v>
      </c>
      <c r="C2" s="5"/>
      <c r="D2" s="5"/>
      <c r="E2" s="5"/>
      <c r="F2" s="62">
        <f ca="1">TODAY()</f>
        <v>45796</v>
      </c>
    </row>
    <row r="3" spans="2:6" ht="11.25" customHeight="1">
      <c r="B3" s="293" t="s">
        <v>340</v>
      </c>
      <c r="C3" s="293"/>
      <c r="D3" s="293"/>
      <c r="E3" s="293"/>
      <c r="F3" s="293"/>
    </row>
    <row r="4" spans="2:6" ht="11.25" customHeight="1">
      <c r="B4" s="7"/>
      <c r="D4" s="6"/>
    </row>
    <row r="6" spans="2:6" ht="13.5" customHeight="1">
      <c r="B6" s="8" t="s">
        <v>334</v>
      </c>
      <c r="C6" s="8" t="s">
        <v>341</v>
      </c>
      <c r="D6" s="8" t="s">
        <v>342</v>
      </c>
      <c r="E6" s="8" t="s">
        <v>43</v>
      </c>
      <c r="F6" s="8" t="s">
        <v>411</v>
      </c>
    </row>
    <row r="7" spans="2:6" ht="33.75">
      <c r="B7" s="302">
        <v>45491</v>
      </c>
      <c r="C7" s="301" t="s">
        <v>366</v>
      </c>
      <c r="D7" s="302" t="s">
        <v>361</v>
      </c>
      <c r="E7" s="301" t="s">
        <v>337</v>
      </c>
      <c r="F7" s="303" t="s">
        <v>367</v>
      </c>
    </row>
    <row r="8" spans="2:6" ht="45">
      <c r="B8" s="302">
        <v>45127</v>
      </c>
      <c r="C8" s="301" t="s">
        <v>370</v>
      </c>
      <c r="D8" s="302" t="s">
        <v>433</v>
      </c>
      <c r="E8" s="301" t="s">
        <v>338</v>
      </c>
      <c r="F8" s="303" t="s">
        <v>434</v>
      </c>
    </row>
    <row r="9" spans="2:6" ht="45">
      <c r="B9" s="302">
        <v>45491</v>
      </c>
      <c r="C9" s="301" t="s">
        <v>369</v>
      </c>
      <c r="D9" s="302" t="s">
        <v>361</v>
      </c>
      <c r="E9" s="301" t="s">
        <v>368</v>
      </c>
      <c r="F9" s="303" t="s">
        <v>395</v>
      </c>
    </row>
    <row r="10" spans="2:6" ht="33.75">
      <c r="B10" s="302">
        <v>45491</v>
      </c>
      <c r="C10" s="301" t="s">
        <v>344</v>
      </c>
      <c r="D10" s="302" t="s">
        <v>361</v>
      </c>
      <c r="E10" s="301" t="s">
        <v>355</v>
      </c>
      <c r="F10" s="303" t="s">
        <v>360</v>
      </c>
    </row>
    <row r="11" spans="2:6" ht="33.75">
      <c r="B11" s="302">
        <v>45491</v>
      </c>
      <c r="C11" s="301" t="s">
        <v>344</v>
      </c>
      <c r="D11" s="302" t="s">
        <v>361</v>
      </c>
      <c r="E11" s="301" t="s">
        <v>355</v>
      </c>
      <c r="F11" s="303" t="s">
        <v>362</v>
      </c>
    </row>
    <row r="12" spans="2:6" ht="33.75">
      <c r="B12" s="302">
        <v>45491</v>
      </c>
      <c r="C12" s="301" t="s">
        <v>344</v>
      </c>
      <c r="D12" s="302" t="s">
        <v>361</v>
      </c>
      <c r="E12" s="301" t="s">
        <v>338</v>
      </c>
      <c r="F12" s="303" t="s">
        <v>382</v>
      </c>
    </row>
    <row r="13" spans="2:6" ht="45">
      <c r="B13" s="302">
        <v>45491</v>
      </c>
      <c r="C13" s="301" t="s">
        <v>344</v>
      </c>
      <c r="D13" s="302" t="s">
        <v>361</v>
      </c>
      <c r="E13" s="301" t="s">
        <v>338</v>
      </c>
      <c r="F13" s="303" t="s">
        <v>383</v>
      </c>
    </row>
    <row r="14" spans="2:6" ht="33.75">
      <c r="B14" s="302">
        <v>45491</v>
      </c>
      <c r="C14" s="301" t="s">
        <v>344</v>
      </c>
      <c r="D14" s="302" t="s">
        <v>361</v>
      </c>
      <c r="E14" s="301" t="s">
        <v>338</v>
      </c>
      <c r="F14" s="303" t="s">
        <v>402</v>
      </c>
    </row>
    <row r="15" spans="2:6" ht="33.75">
      <c r="B15" s="302">
        <v>45491</v>
      </c>
      <c r="C15" s="301" t="s">
        <v>344</v>
      </c>
      <c r="D15" s="302" t="s">
        <v>361</v>
      </c>
      <c r="E15" s="301" t="s">
        <v>338</v>
      </c>
      <c r="F15" s="303" t="s">
        <v>465</v>
      </c>
    </row>
    <row r="16" spans="2:6" ht="33.75">
      <c r="B16" s="302">
        <v>44392</v>
      </c>
      <c r="C16" s="301" t="s">
        <v>405</v>
      </c>
      <c r="D16" s="302" t="s">
        <v>404</v>
      </c>
      <c r="E16" s="301" t="s">
        <v>338</v>
      </c>
      <c r="F16" s="303" t="s">
        <v>403</v>
      </c>
    </row>
    <row r="17" spans="2:6" ht="45" customHeight="1">
      <c r="B17" s="302">
        <v>44938</v>
      </c>
      <c r="C17" s="301" t="s">
        <v>339</v>
      </c>
      <c r="D17" s="302" t="s">
        <v>401</v>
      </c>
      <c r="E17" s="301" t="s">
        <v>338</v>
      </c>
      <c r="F17" s="303" t="s">
        <v>400</v>
      </c>
    </row>
    <row r="18" spans="2:6" ht="45">
      <c r="B18" s="302">
        <v>45491</v>
      </c>
      <c r="C18" s="301" t="s">
        <v>363</v>
      </c>
      <c r="D18" s="302" t="s">
        <v>361</v>
      </c>
      <c r="E18" s="301" t="s">
        <v>337</v>
      </c>
      <c r="F18" s="303" t="s">
        <v>390</v>
      </c>
    </row>
    <row r="19" spans="2:6" ht="33.75">
      <c r="B19" s="302">
        <v>45491</v>
      </c>
      <c r="C19" s="301" t="s">
        <v>363</v>
      </c>
      <c r="D19" s="302" t="s">
        <v>361</v>
      </c>
      <c r="E19" s="301" t="s">
        <v>337</v>
      </c>
      <c r="F19" s="303" t="s">
        <v>365</v>
      </c>
    </row>
  </sheetData>
  <pageMargins left="0.3" right="0.3" top="0.3" bottom="0.5" header="0.3" footer="0.3"/>
  <pageSetup scale="69" fitToHeight="4" orientation="landscape" r:id="rId1"/>
  <headerFooter>
    <oddFoote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D3918-8FCF-43C9-8FA5-9824D34E3C28}">
  <sheetPr>
    <tabColor theme="9" tint="0.39997558519241921"/>
    <pageSetUpPr fitToPage="1"/>
  </sheetPr>
  <dimension ref="B2:F15"/>
  <sheetViews>
    <sheetView view="pageBreakPreview" zoomScaleNormal="100" zoomScaleSheetLayoutView="100" workbookViewId="0"/>
  </sheetViews>
  <sheetFormatPr defaultColWidth="9.140625" defaultRowHeight="11.25" customHeight="1" outlineLevelCol="1"/>
  <cols>
    <col min="1" max="1" width="2.7109375" style="2" customWidth="1"/>
    <col min="2" max="4" width="9.7109375" style="2" customWidth="1"/>
    <col min="5" max="5" width="9.7109375" style="2" hidden="1" customWidth="1" outlineLevel="1"/>
    <col min="6" max="6" width="150.7109375" style="2" customWidth="1" collapsed="1"/>
    <col min="7" max="7" width="2.7109375" style="2" customWidth="1"/>
    <col min="8" max="16384" width="9.140625" style="2"/>
  </cols>
  <sheetData>
    <row r="2" spans="2:6" ht="11.25" customHeight="1">
      <c r="B2" s="5" t="s">
        <v>114</v>
      </c>
      <c r="C2" s="5"/>
      <c r="D2" s="5"/>
      <c r="E2" s="5"/>
      <c r="F2" s="62">
        <f ca="1">TODAY()</f>
        <v>45796</v>
      </c>
    </row>
    <row r="3" spans="2:6" ht="11.25" customHeight="1">
      <c r="B3" s="293" t="s">
        <v>397</v>
      </c>
      <c r="C3" s="293"/>
      <c r="D3" s="293"/>
      <c r="E3" s="293"/>
      <c r="F3" s="293"/>
    </row>
    <row r="4" spans="2:6" ht="11.25" customHeight="1">
      <c r="B4" s="7"/>
      <c r="D4" s="6"/>
    </row>
    <row r="6" spans="2:6" ht="13.5" customHeight="1">
      <c r="B6" s="8" t="s">
        <v>334</v>
      </c>
      <c r="C6" s="8" t="s">
        <v>341</v>
      </c>
      <c r="D6" s="8" t="s">
        <v>342</v>
      </c>
      <c r="E6" s="8" t="s">
        <v>43</v>
      </c>
      <c r="F6" s="8" t="s">
        <v>411</v>
      </c>
    </row>
    <row r="7" spans="2:6" ht="33.75">
      <c r="B7" s="302">
        <v>45491</v>
      </c>
      <c r="C7" s="301" t="s">
        <v>373</v>
      </c>
      <c r="D7" s="302" t="s">
        <v>361</v>
      </c>
      <c r="E7" s="301" t="s">
        <v>375</v>
      </c>
      <c r="F7" s="303" t="s">
        <v>372</v>
      </c>
    </row>
    <row r="8" spans="2:6" ht="33.75">
      <c r="B8" s="302">
        <v>45491</v>
      </c>
      <c r="C8" s="301" t="s">
        <v>343</v>
      </c>
      <c r="D8" s="302" t="s">
        <v>361</v>
      </c>
      <c r="E8" s="301" t="s">
        <v>375</v>
      </c>
      <c r="F8" s="303" t="s">
        <v>374</v>
      </c>
    </row>
    <row r="9" spans="2:6" ht="45">
      <c r="B9" s="302">
        <v>45491</v>
      </c>
      <c r="C9" s="301" t="s">
        <v>376</v>
      </c>
      <c r="D9" s="302" t="s">
        <v>361</v>
      </c>
      <c r="E9" s="301" t="s">
        <v>375</v>
      </c>
      <c r="F9" s="303" t="s">
        <v>396</v>
      </c>
    </row>
    <row r="10" spans="2:6" ht="56.25">
      <c r="B10" s="302">
        <v>45491</v>
      </c>
      <c r="C10" s="301" t="s">
        <v>377</v>
      </c>
      <c r="D10" s="302" t="s">
        <v>361</v>
      </c>
      <c r="E10" s="301" t="s">
        <v>375</v>
      </c>
      <c r="F10" s="303" t="s">
        <v>378</v>
      </c>
    </row>
    <row r="11" spans="2:6" ht="33.75">
      <c r="B11" s="302">
        <v>45491</v>
      </c>
      <c r="C11" s="301" t="s">
        <v>379</v>
      </c>
      <c r="D11" s="302" t="s">
        <v>361</v>
      </c>
      <c r="E11" s="301" t="s">
        <v>375</v>
      </c>
      <c r="F11" s="303" t="s">
        <v>380</v>
      </c>
    </row>
    <row r="12" spans="2:6" ht="45">
      <c r="B12" s="302">
        <v>45491</v>
      </c>
      <c r="C12" s="301" t="s">
        <v>344</v>
      </c>
      <c r="D12" s="302" t="s">
        <v>361</v>
      </c>
      <c r="E12" s="301" t="s">
        <v>375</v>
      </c>
      <c r="F12" s="303" t="s">
        <v>381</v>
      </c>
    </row>
    <row r="13" spans="2:6" ht="78.75">
      <c r="B13" s="302">
        <v>45491</v>
      </c>
      <c r="C13" s="301" t="s">
        <v>385</v>
      </c>
      <c r="D13" s="302" t="s">
        <v>361</v>
      </c>
      <c r="E13" s="301" t="s">
        <v>375</v>
      </c>
      <c r="F13" s="303" t="s">
        <v>384</v>
      </c>
    </row>
    <row r="14" spans="2:6" ht="33.75">
      <c r="B14" s="302">
        <v>45491</v>
      </c>
      <c r="C14" s="301" t="s">
        <v>387</v>
      </c>
      <c r="D14" s="302" t="s">
        <v>361</v>
      </c>
      <c r="E14" s="301" t="s">
        <v>375</v>
      </c>
      <c r="F14" s="303" t="s">
        <v>386</v>
      </c>
    </row>
    <row r="15" spans="2:6" ht="33.75">
      <c r="B15" s="302">
        <v>45491</v>
      </c>
      <c r="C15" s="301" t="s">
        <v>388</v>
      </c>
      <c r="D15" s="302" t="s">
        <v>361</v>
      </c>
      <c r="E15" s="301" t="s">
        <v>375</v>
      </c>
      <c r="F15" s="303" t="s">
        <v>389</v>
      </c>
    </row>
  </sheetData>
  <pageMargins left="0.3" right="0.3" top="0.3" bottom="0.5" header="0.3" footer="0.3"/>
  <pageSetup scale="73" fitToHeight="4" orientation="landscape" r:id="rId1"/>
  <headerFooter>
    <oddFoote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4F6CA-9BAF-4B4A-8015-630B565B0914}">
  <sheetPr>
    <tabColor theme="9" tint="0.39997558519241921"/>
    <pageSetUpPr fitToPage="1"/>
  </sheetPr>
  <dimension ref="A1:U38"/>
  <sheetViews>
    <sheetView view="pageBreakPreview" zoomScaleNormal="100" zoomScaleSheetLayoutView="100" workbookViewId="0">
      <selection activeCell="E120" sqref="E120"/>
    </sheetView>
  </sheetViews>
  <sheetFormatPr defaultColWidth="9.140625" defaultRowHeight="11.25" customHeight="1" outlineLevelCol="1"/>
  <cols>
    <col min="1" max="1" width="2.7109375" style="2" customWidth="1"/>
    <col min="2" max="2" width="22.140625" style="2" customWidth="1"/>
    <col min="3" max="3" width="2.42578125" style="2" customWidth="1"/>
    <col min="4" max="7" width="9" style="2" hidden="1" customWidth="1" outlineLevel="1"/>
    <col min="8" max="8" width="9" style="2" bestFit="1" customWidth="1" collapsed="1"/>
    <col min="9" max="15" width="9" style="2" bestFit="1" customWidth="1"/>
    <col min="16" max="16" width="2.7109375" style="2" customWidth="1"/>
    <col min="17" max="17" width="9" style="2" hidden="1" customWidth="1" outlineLevel="1"/>
    <col min="18" max="18" width="9" style="2" bestFit="1" customWidth="1" collapsed="1"/>
    <col min="19" max="19" width="9" style="2" bestFit="1" customWidth="1"/>
    <col min="20" max="20" width="9.140625" style="2"/>
    <col min="21" max="21" width="9.85546875" style="2" bestFit="1" customWidth="1"/>
    <col min="22" max="16384" width="9.140625" style="2"/>
  </cols>
  <sheetData>
    <row r="1" spans="1:20" ht="11.25" customHeight="1">
      <c r="H1" s="64"/>
      <c r="I1" s="64"/>
      <c r="J1" s="64"/>
      <c r="K1" s="64"/>
      <c r="L1" s="64" t="s">
        <v>345</v>
      </c>
      <c r="M1" s="64" t="s">
        <v>346</v>
      </c>
      <c r="N1" s="64" t="s">
        <v>347</v>
      </c>
      <c r="O1" s="64" t="s">
        <v>348</v>
      </c>
      <c r="P1" s="64"/>
      <c r="Q1" s="64"/>
      <c r="R1" s="64"/>
      <c r="S1" s="90" t="s">
        <v>42</v>
      </c>
      <c r="T1" s="634" t="s">
        <v>77</v>
      </c>
    </row>
    <row r="2" spans="1:20" ht="11.25" customHeight="1">
      <c r="A2" s="2" t="s">
        <v>292</v>
      </c>
      <c r="B2" s="5" t="s">
        <v>114</v>
      </c>
      <c r="T2" s="62">
        <f ca="1">TODAY()</f>
        <v>45796</v>
      </c>
    </row>
    <row r="3" spans="1:20" ht="11.25" customHeight="1">
      <c r="B3" s="304" t="s">
        <v>349</v>
      </c>
      <c r="C3" s="305"/>
      <c r="D3" s="305"/>
      <c r="E3" s="305"/>
      <c r="F3" s="305"/>
      <c r="G3" s="305"/>
      <c r="H3" s="305"/>
      <c r="I3" s="305"/>
      <c r="J3" s="305"/>
      <c r="K3" s="305"/>
      <c r="L3" s="305"/>
      <c r="M3" s="305"/>
      <c r="N3" s="305"/>
      <c r="O3" s="305"/>
      <c r="P3" s="305"/>
      <c r="Q3" s="305"/>
      <c r="R3" s="305"/>
      <c r="S3" s="305"/>
      <c r="T3" s="305"/>
    </row>
    <row r="4" spans="1:20" ht="11.25" customHeight="1">
      <c r="B4" s="7" t="s">
        <v>111</v>
      </c>
    </row>
    <row r="5" spans="1:20" ht="11.25" customHeight="1">
      <c r="B5" s="6"/>
    </row>
    <row r="6" spans="1:20" ht="13.5" customHeight="1">
      <c r="D6" s="22" t="s">
        <v>78</v>
      </c>
      <c r="E6" s="23"/>
      <c r="F6" s="23"/>
      <c r="G6" s="23"/>
      <c r="H6" s="22" t="s">
        <v>78</v>
      </c>
      <c r="I6" s="23"/>
      <c r="J6" s="23"/>
      <c r="K6" s="23"/>
      <c r="L6" s="23"/>
      <c r="M6" s="23"/>
      <c r="N6" s="23"/>
      <c r="O6" s="23"/>
      <c r="Q6" s="22"/>
      <c r="R6" s="22" t="s">
        <v>98</v>
      </c>
      <c r="S6" s="3"/>
      <c r="T6" s="3"/>
    </row>
    <row r="7" spans="1:20" ht="13.5" customHeight="1">
      <c r="B7" s="198" t="s">
        <v>108</v>
      </c>
      <c r="D7" s="8" t="s">
        <v>87</v>
      </c>
      <c r="E7" s="8" t="s">
        <v>88</v>
      </c>
      <c r="F7" s="8" t="s">
        <v>89</v>
      </c>
      <c r="G7" s="8" t="s">
        <v>90</v>
      </c>
      <c r="H7" s="8" t="s">
        <v>91</v>
      </c>
      <c r="I7" s="8" t="s">
        <v>92</v>
      </c>
      <c r="J7" s="8" t="s">
        <v>93</v>
      </c>
      <c r="K7" s="8" t="s">
        <v>97</v>
      </c>
      <c r="L7" s="8" t="s">
        <v>113</v>
      </c>
      <c r="M7" s="8" t="s">
        <v>353</v>
      </c>
      <c r="N7" s="8" t="s">
        <v>95</v>
      </c>
      <c r="O7" s="8" t="s">
        <v>96</v>
      </c>
      <c r="Q7" s="8" t="s">
        <v>5</v>
      </c>
      <c r="R7" s="8" t="s">
        <v>68</v>
      </c>
      <c r="S7" s="8" t="s">
        <v>6</v>
      </c>
      <c r="T7" s="8" t="s">
        <v>22</v>
      </c>
    </row>
    <row r="9" spans="1:20" ht="11.25" customHeight="1">
      <c r="B9" s="306" t="s">
        <v>350</v>
      </c>
      <c r="C9" s="10"/>
    </row>
    <row r="10" spans="1:20" ht="11.25" customHeight="1">
      <c r="B10" s="5"/>
      <c r="L10" s="6"/>
      <c r="S10" s="6"/>
    </row>
    <row r="11" spans="1:20" ht="11.25" customHeight="1">
      <c r="B11" s="2" t="s">
        <v>351</v>
      </c>
      <c r="D11" s="49">
        <f>'Historical Financials'!L16</f>
        <v>491.07587300000006</v>
      </c>
      <c r="E11" s="49">
        <f>'Historical Financials'!M16</f>
        <v>534.14080800000011</v>
      </c>
      <c r="F11" s="49">
        <f>'Historical Financials'!N16</f>
        <v>613.14274299999988</v>
      </c>
      <c r="G11" s="49">
        <f>'Historical Financials'!O16</f>
        <v>625.53186800000003</v>
      </c>
      <c r="H11" s="49">
        <f>'Historical Financials'!P16</f>
        <v>508.63297299999999</v>
      </c>
      <c r="I11" s="49">
        <f>'Historical Financials'!Q16</f>
        <v>480.84125399999999</v>
      </c>
      <c r="J11" s="49">
        <f>'Historical Financials'!R16</f>
        <v>546.73275799999999</v>
      </c>
      <c r="K11" s="49">
        <f>'Historical Financials'!S16</f>
        <v>625.52901499999996</v>
      </c>
      <c r="L11" s="49">
        <f>'Historical Financials'!T16</f>
        <v>592.64420100000007</v>
      </c>
      <c r="M11" s="49">
        <f>'Historical Financials'!U16</f>
        <v>673.51017699999989</v>
      </c>
      <c r="N11" s="49">
        <f>'Historical Financials'!V16</f>
        <v>759.69200000000001</v>
      </c>
      <c r="O11" s="49">
        <f ca="1">'Historical Financials'!W16</f>
        <v>861.14380817135782</v>
      </c>
      <c r="Q11" s="49">
        <f>'Historical Financials'!BB16</f>
        <v>2263.8912920000002</v>
      </c>
      <c r="R11" s="49">
        <f>'Historical Financials'!BC16</f>
        <v>2161.7359999999999</v>
      </c>
      <c r="S11" s="49">
        <f ca="1">'Historical Financials'!BD16</f>
        <v>2886.9901861713583</v>
      </c>
      <c r="T11" s="49">
        <f ca="1">'Historical Financials'!BE16</f>
        <v>3553.2848535556295</v>
      </c>
    </row>
    <row r="12" spans="1:20" ht="11.25" customHeight="1">
      <c r="B12" s="9" t="s">
        <v>58</v>
      </c>
      <c r="D12" s="307">
        <f>'Historical Financials'!L17</f>
        <v>0.35502762435817536</v>
      </c>
      <c r="E12" s="307">
        <f>'Historical Financials'!M17</f>
        <v>0.43530245708823267</v>
      </c>
      <c r="F12" s="307">
        <f>'Historical Financials'!N17</f>
        <v>0.47862681795267537</v>
      </c>
      <c r="G12" s="307">
        <f>'Historical Financials'!O17</f>
        <v>0.42753796004323319</v>
      </c>
      <c r="H12" s="307">
        <f>'Historical Financials'!P17</f>
        <v>3.5752316424635167E-2</v>
      </c>
      <c r="I12" s="307">
        <f>'Historical Financials'!Q17</f>
        <v>-9.9785586874688081E-2</v>
      </c>
      <c r="J12" s="307">
        <f>'Historical Financials'!R17</f>
        <v>-0.10831080650986336</v>
      </c>
      <c r="K12" s="307">
        <f>'Historical Financials'!S17</f>
        <v>-4.5609187093731407E-6</v>
      </c>
      <c r="L12" s="307">
        <f>'Historical Financials'!T17</f>
        <v>0.16517062884163436</v>
      </c>
      <c r="M12" s="307">
        <f>'Historical Financials'!U17</f>
        <v>0.40069133294457271</v>
      </c>
      <c r="N12" s="307">
        <f>'Historical Financials'!V17</f>
        <v>0.38951249743846517</v>
      </c>
      <c r="O12" s="307">
        <f ca="1">'Historical Financials'!W17</f>
        <v>0.3766648509044106</v>
      </c>
      <c r="Q12" s="307">
        <f>'Historical Financials'!BB17</f>
        <v>0.42614958232879618</v>
      </c>
      <c r="R12" s="307">
        <f>'Historical Financials'!BC17</f>
        <v>-4.5123762064455342E-2</v>
      </c>
      <c r="S12" s="307">
        <f ca="1">'Historical Financials'!BD17</f>
        <v>0.33549618740279041</v>
      </c>
      <c r="T12" s="307">
        <f ca="1">'Historical Financials'!BE17</f>
        <v>0.23079214836815631</v>
      </c>
    </row>
    <row r="14" spans="1:20" ht="11.25" customHeight="1">
      <c r="B14" s="2" t="s">
        <v>250</v>
      </c>
      <c r="D14" s="49">
        <f>'Historical Financials'!L50</f>
        <v>223.78987300000006</v>
      </c>
      <c r="E14" s="49">
        <f>'Historical Financials'!M50</f>
        <v>262.12380800000011</v>
      </c>
      <c r="F14" s="49">
        <f>'Historical Financials'!N50</f>
        <v>310.32474299999984</v>
      </c>
      <c r="G14" s="49">
        <f>'Historical Financials'!O50</f>
        <v>325.04086800000005</v>
      </c>
      <c r="H14" s="49">
        <f>'Historical Financials'!P50</f>
        <v>231.23797299999995</v>
      </c>
      <c r="I14" s="49">
        <f>'Historical Financials'!Q50</f>
        <v>201.95825399999998</v>
      </c>
      <c r="J14" s="49">
        <f>'Historical Financials'!R50</f>
        <v>228.06475799999996</v>
      </c>
      <c r="K14" s="49">
        <f>'Historical Financials'!S50</f>
        <v>260.20501499999995</v>
      </c>
      <c r="L14" s="49">
        <f>'Historical Financials'!T50</f>
        <v>249.01820100000006</v>
      </c>
      <c r="M14" s="49">
        <f>'Historical Financials'!U50</f>
        <v>286.55617699999993</v>
      </c>
      <c r="N14" s="49">
        <f>'Historical Financials'!V50</f>
        <v>360.76600000000002</v>
      </c>
      <c r="O14" s="49">
        <f ca="1">'Historical Financials'!W50</f>
        <v>409.04330888139492</v>
      </c>
      <c r="Q14" s="49">
        <f>'Historical Financials'!BB50</f>
        <v>1121.2792920000002</v>
      </c>
      <c r="R14" s="49">
        <f>'Historical Financials'!BC50</f>
        <v>921.46599999999989</v>
      </c>
      <c r="S14" s="49">
        <f ca="1">'Historical Financials'!BD50</f>
        <v>1305.3836868813955</v>
      </c>
      <c r="T14" s="49">
        <f ca="1">'Historical Financials'!BE50</f>
        <v>1613.9419060153559</v>
      </c>
    </row>
    <row r="15" spans="1:20" ht="11.25" customHeight="1">
      <c r="B15" s="9" t="s">
        <v>58</v>
      </c>
      <c r="D15" s="307">
        <f>'Historical Financials'!L51</f>
        <v>0.48659827473725437</v>
      </c>
      <c r="E15" s="307">
        <f>'Historical Financials'!M51</f>
        <v>0.79947131789972548</v>
      </c>
      <c r="F15" s="307">
        <f>'Historical Financials'!N51</f>
        <v>0.814728719483373</v>
      </c>
      <c r="G15" s="307">
        <f>'Historical Financials'!O51</f>
        <v>0.77839233477745839</v>
      </c>
      <c r="H15" s="307">
        <f>'Historical Financials'!P51</f>
        <v>3.3281666860769388E-2</v>
      </c>
      <c r="I15" s="307">
        <f>'Historical Financials'!Q51</f>
        <v>-0.22953105427188092</v>
      </c>
      <c r="J15" s="307">
        <f>'Historical Financials'!R51</f>
        <v>-0.26507710666177831</v>
      </c>
      <c r="K15" s="307">
        <f>'Historical Financials'!S51</f>
        <v>-0.19946984943444124</v>
      </c>
      <c r="L15" s="307">
        <f>'Historical Financials'!T51</f>
        <v>7.6891471453955917E-2</v>
      </c>
      <c r="M15" s="307">
        <f>'Historical Financials'!U51</f>
        <v>0.41888816784878702</v>
      </c>
      <c r="N15" s="307">
        <f>'Historical Financials'!V51</f>
        <v>0.58185772832118188</v>
      </c>
      <c r="O15" s="307">
        <f ca="1">'Historical Financials'!W51</f>
        <v>0.57200394035985425</v>
      </c>
      <c r="P15" s="308"/>
      <c r="Q15" s="307">
        <f>'Historical Financials'!BB51</f>
        <v>0.72509539228296083</v>
      </c>
      <c r="R15" s="307">
        <f>'Historical Financials'!BC51</f>
        <v>-0.17820117915813627</v>
      </c>
      <c r="S15" s="307">
        <f ca="1">'Historical Financials'!BD51</f>
        <v>0.41663793008249428</v>
      </c>
      <c r="T15" s="307">
        <f ca="1">'Historical Financials'!BE51</f>
        <v>0.23637358290505084</v>
      </c>
    </row>
    <row r="16" spans="1:20" ht="11.25" customHeight="1">
      <c r="B16" s="9" t="s">
        <v>17</v>
      </c>
      <c r="D16" s="313">
        <f>D14/D11</f>
        <v>0.45571343514162022</v>
      </c>
      <c r="E16" s="313">
        <f t="shared" ref="E16:S16" si="0">E14/E11</f>
        <v>0.4907391535604223</v>
      </c>
      <c r="F16" s="313">
        <f t="shared" si="0"/>
        <v>0.50612152968105817</v>
      </c>
      <c r="G16" s="313">
        <f t="shared" si="0"/>
        <v>0.51962319528059608</v>
      </c>
      <c r="H16" s="313">
        <f t="shared" si="0"/>
        <v>0.45462639127801879</v>
      </c>
      <c r="I16" s="313">
        <f t="shared" si="0"/>
        <v>0.4200102472904706</v>
      </c>
      <c r="J16" s="313">
        <f t="shared" si="0"/>
        <v>0.41714119862559973</v>
      </c>
      <c r="K16" s="313">
        <f t="shared" si="0"/>
        <v>0.41597593198774313</v>
      </c>
      <c r="L16" s="313">
        <f t="shared" si="0"/>
        <v>0.42018162091153244</v>
      </c>
      <c r="M16" s="313">
        <f t="shared" si="0"/>
        <v>0.42546673648852673</v>
      </c>
      <c r="N16" s="313">
        <f t="shared" si="0"/>
        <v>0.47488455847896255</v>
      </c>
      <c r="O16" s="313">
        <f t="shared" ca="1" si="0"/>
        <v>0.47499999999999998</v>
      </c>
      <c r="P16" s="308"/>
      <c r="Q16" s="313">
        <f t="shared" si="0"/>
        <v>0.49528848666996861</v>
      </c>
      <c r="R16" s="313">
        <f t="shared" si="0"/>
        <v>0.42626204124833</v>
      </c>
      <c r="S16" s="313">
        <f t="shared" ca="1" si="0"/>
        <v>0.45216076352949336</v>
      </c>
      <c r="T16" s="313">
        <f t="shared" ref="T16" ca="1" si="1">T14/T11</f>
        <v>0.45421123623127174</v>
      </c>
    </row>
    <row r="17" spans="1:21" ht="11.25" customHeight="1">
      <c r="B17" s="9"/>
      <c r="D17" s="313"/>
      <c r="E17" s="313"/>
      <c r="F17" s="313"/>
      <c r="G17" s="313"/>
      <c r="H17" s="313"/>
      <c r="I17" s="313"/>
      <c r="J17" s="313"/>
      <c r="K17" s="313"/>
      <c r="L17" s="313"/>
      <c r="M17" s="313"/>
      <c r="N17" s="313"/>
      <c r="O17" s="313"/>
      <c r="P17" s="308"/>
      <c r="Q17" s="313"/>
      <c r="R17" s="313"/>
      <c r="S17" s="313"/>
      <c r="T17" s="313"/>
    </row>
    <row r="18" spans="1:21" ht="11.25" customHeight="1">
      <c r="B18" s="408" t="s">
        <v>530</v>
      </c>
      <c r="C18" s="6"/>
      <c r="D18" s="6"/>
      <c r="E18" s="6"/>
      <c r="F18" s="6"/>
      <c r="G18" s="6"/>
      <c r="H18" s="6"/>
      <c r="I18" s="6"/>
      <c r="J18" s="6"/>
      <c r="K18" s="6"/>
      <c r="L18" s="6"/>
      <c r="M18" s="6"/>
      <c r="N18" s="6"/>
      <c r="O18" s="6"/>
      <c r="P18" s="6"/>
      <c r="Q18" s="6"/>
      <c r="R18" s="6"/>
      <c r="S18" s="6"/>
      <c r="T18" s="6"/>
    </row>
    <row r="19" spans="1:21" ht="11.25" customHeight="1">
      <c r="B19" s="9" t="s">
        <v>351</v>
      </c>
      <c r="C19" s="6"/>
      <c r="D19" s="406">
        <f>D11/FX!L$14</f>
        <v>17.533289286708897</v>
      </c>
      <c r="E19" s="406">
        <f>E11/FX!M$14</f>
        <v>18.139747432909036</v>
      </c>
      <c r="F19" s="406">
        <f>F11/FX!N$14</f>
        <v>20.17090759137794</v>
      </c>
      <c r="G19" s="406">
        <f>G11/FX!O$14</f>
        <v>19.956885369693872</v>
      </c>
      <c r="H19" s="406">
        <f>H11/FX!P$14</f>
        <v>16.72006670104917</v>
      </c>
      <c r="I19" s="406">
        <f>I11/FX!Q$14</f>
        <v>15.650011087185703</v>
      </c>
      <c r="J19" s="406">
        <f>J11/FX!R$14</f>
        <v>17.249189988143982</v>
      </c>
      <c r="K19" s="406">
        <f>K11/FX!S$14</f>
        <v>19.659004379056167</v>
      </c>
      <c r="L19" s="406">
        <f>L11/FX!T$14</f>
        <v>18.837246315687498</v>
      </c>
      <c r="M19" s="406">
        <f>M11/FX!U$14</f>
        <v>20.804900460789916</v>
      </c>
      <c r="N19" s="406">
        <f>N11/FX!V$14</f>
        <v>23.518863320777733</v>
      </c>
      <c r="O19" s="406">
        <f ca="1">O11/FX!W$14</f>
        <v>26.57287739703014</v>
      </c>
      <c r="P19" s="6"/>
      <c r="Q19" s="406">
        <f>Q11/FX!BB$14</f>
        <v>75.944824375031132</v>
      </c>
      <c r="R19" s="406">
        <f>R11/FX!BC$14</f>
        <v>69.352310511209154</v>
      </c>
      <c r="S19" s="406">
        <f ca="1">S11/FX!BD$14</f>
        <v>89.837875384473264</v>
      </c>
      <c r="T19" s="406">
        <f ca="1">T11/FX!BE$14</f>
        <v>108.81955267680243</v>
      </c>
      <c r="U19" s="58"/>
    </row>
    <row r="20" spans="1:21" ht="11.25" customHeight="1">
      <c r="B20" s="41" t="s">
        <v>58</v>
      </c>
      <c r="C20" s="6"/>
      <c r="D20" s="6"/>
      <c r="E20" s="6"/>
      <c r="F20" s="6"/>
      <c r="G20" s="6"/>
      <c r="H20" s="43">
        <f>H19/D19-1</f>
        <v>-4.638163281068941E-2</v>
      </c>
      <c r="I20" s="43">
        <f t="shared" ref="I20:O20" si="2">I19/E19-1</f>
        <v>-0.13725308772527156</v>
      </c>
      <c r="J20" s="43">
        <f t="shared" si="2"/>
        <v>-0.14484809818289224</v>
      </c>
      <c r="K20" s="43">
        <f t="shared" si="2"/>
        <v>-1.4926226468688353E-2</v>
      </c>
      <c r="L20" s="43">
        <f t="shared" si="2"/>
        <v>0.12662506989314082</v>
      </c>
      <c r="M20" s="43">
        <f t="shared" si="2"/>
        <v>0.32938566911464107</v>
      </c>
      <c r="N20" s="43">
        <f t="shared" si="2"/>
        <v>0.36347639146783894</v>
      </c>
      <c r="O20" s="43">
        <f t="shared" ca="1" si="2"/>
        <v>0.35168988645934207</v>
      </c>
      <c r="P20" s="6"/>
      <c r="Q20" s="43"/>
      <c r="R20" s="43">
        <f>R19/Q19-1</f>
        <v>-8.680662465248179E-2</v>
      </c>
      <c r="S20" s="43">
        <f ca="1">S19/R19-1</f>
        <v>0.29538402862516167</v>
      </c>
      <c r="T20" s="43">
        <f ca="1">T19/S19-1</f>
        <v>0.21128813666946744</v>
      </c>
    </row>
    <row r="21" spans="1:21" ht="11.25" customHeight="1">
      <c r="B21" s="9"/>
      <c r="C21" s="6"/>
      <c r="D21" s="6"/>
      <c r="E21" s="6"/>
      <c r="F21" s="6"/>
      <c r="G21" s="6"/>
      <c r="H21" s="6"/>
      <c r="I21" s="6"/>
      <c r="J21" s="6"/>
      <c r="K21" s="6"/>
      <c r="L21" s="6"/>
      <c r="M21" s="6"/>
      <c r="N21" s="6"/>
      <c r="O21" s="6"/>
      <c r="P21" s="6"/>
      <c r="Q21" s="6"/>
      <c r="R21" s="6"/>
      <c r="S21" s="6"/>
      <c r="T21" s="6"/>
    </row>
    <row r="22" spans="1:21" ht="11.25" customHeight="1">
      <c r="B22" s="9" t="s">
        <v>250</v>
      </c>
      <c r="C22" s="6"/>
      <c r="D22" s="406">
        <f>D14/FX!L$14</f>
        <v>7.9901554901778793</v>
      </c>
      <c r="E22" s="406">
        <f>E14/FX!M$14</f>
        <v>8.9018843010256248</v>
      </c>
      <c r="F22" s="406">
        <f>F14/FX!N$14</f>
        <v>10.20893060520347</v>
      </c>
      <c r="G22" s="406">
        <f>G14/FX!O$14</f>
        <v>10.37006054364891</v>
      </c>
      <c r="H22" s="406">
        <f>H14/FX!P$14</f>
        <v>7.6013835862257526</v>
      </c>
      <c r="I22" s="406">
        <f>I14/FX!Q$14</f>
        <v>6.5731650268274739</v>
      </c>
      <c r="J22" s="406">
        <f>J14/FX!R$14</f>
        <v>7.1953477869750753</v>
      </c>
      <c r="K22" s="406">
        <f>K14/FX!S$14</f>
        <v>8.1776726685290129</v>
      </c>
      <c r="L22" s="406">
        <f>L14/FX!T$14</f>
        <v>7.915064690435365</v>
      </c>
      <c r="M22" s="406">
        <f>M14/FX!U$14</f>
        <v>8.8517931020209311</v>
      </c>
      <c r="N22" s="406">
        <f>N14/FX!V$14</f>
        <v>11.1687450240146</v>
      </c>
      <c r="O22" s="406">
        <f ca="1">O14/FX!W$14</f>
        <v>12.622116763589315</v>
      </c>
      <c r="P22" s="6"/>
      <c r="Q22" s="406">
        <f>Q14/FX!BB$14</f>
        <v>37.61459713512572</v>
      </c>
      <c r="R22" s="406">
        <f>R14/FX!BC$14</f>
        <v>29.562257443796032</v>
      </c>
      <c r="S22" s="406">
        <f ca="1">S14/FX!BD$14</f>
        <v>40.621162327710913</v>
      </c>
      <c r="T22" s="406">
        <f ca="1">T14/FX!BE$14</f>
        <v>49.427063547464428</v>
      </c>
    </row>
    <row r="23" spans="1:21" ht="11.25" customHeight="1">
      <c r="B23" s="41" t="s">
        <v>58</v>
      </c>
      <c r="C23" s="6"/>
      <c r="D23" s="6"/>
      <c r="E23" s="6"/>
      <c r="F23" s="6"/>
      <c r="G23" s="6"/>
      <c r="H23" s="43">
        <f>H22/D22-1</f>
        <v>-4.865636274913987E-2</v>
      </c>
      <c r="I23" s="43">
        <f t="shared" ref="I23" si="3">I22/E22-1</f>
        <v>-0.26159846561135924</v>
      </c>
      <c r="J23" s="43">
        <f t="shared" ref="J23" si="4">J22/F22-1</f>
        <v>-0.29519084170210519</v>
      </c>
      <c r="K23" s="43">
        <f t="shared" ref="K23" si="5">K22/G22-1</f>
        <v>-0.21141514708538645</v>
      </c>
      <c r="L23" s="43">
        <f t="shared" ref="L23" si="6">L22/H22-1</f>
        <v>4.1266316934462477E-2</v>
      </c>
      <c r="M23" s="43">
        <f t="shared" ref="M23" si="7">M22/I22-1</f>
        <v>0.3466561490383322</v>
      </c>
      <c r="N23" s="43">
        <f t="shared" ref="N23" si="8">N22/J22-1</f>
        <v>0.5522175375917362</v>
      </c>
      <c r="O23" s="43">
        <f t="shared" ref="O23" ca="1" si="9">O22/K22-1</f>
        <v>0.54348520357929186</v>
      </c>
      <c r="P23" s="6"/>
      <c r="Q23" s="43"/>
      <c r="R23" s="43">
        <f>R22/Q22-1</f>
        <v>-0.21407486201175219</v>
      </c>
      <c r="S23" s="43">
        <f ca="1">S22/R22-1</f>
        <v>0.37408864681393661</v>
      </c>
      <c r="T23" s="43">
        <f ca="1">T22/S22-1</f>
        <v>0.21678112380714198</v>
      </c>
    </row>
    <row r="24" spans="1:21" ht="11.25" customHeight="1">
      <c r="B24" s="41" t="s">
        <v>17</v>
      </c>
      <c r="C24" s="6"/>
      <c r="D24" s="407">
        <f>D22/D19</f>
        <v>0.45571343514162022</v>
      </c>
      <c r="E24" s="407">
        <f t="shared" ref="E24:S24" si="10">E22/E19</f>
        <v>0.49073915356042236</v>
      </c>
      <c r="F24" s="407">
        <f t="shared" si="10"/>
        <v>0.50612152968105806</v>
      </c>
      <c r="G24" s="407">
        <f t="shared" si="10"/>
        <v>0.51962319528059608</v>
      </c>
      <c r="H24" s="407">
        <f t="shared" si="10"/>
        <v>0.45462639127801879</v>
      </c>
      <c r="I24" s="407">
        <f t="shared" si="10"/>
        <v>0.4200102472904706</v>
      </c>
      <c r="J24" s="407">
        <f t="shared" si="10"/>
        <v>0.41714119862559973</v>
      </c>
      <c r="K24" s="407">
        <f t="shared" si="10"/>
        <v>0.41597593198774313</v>
      </c>
      <c r="L24" s="407">
        <f t="shared" si="10"/>
        <v>0.42018162091153244</v>
      </c>
      <c r="M24" s="407">
        <f t="shared" si="10"/>
        <v>0.42546673648852668</v>
      </c>
      <c r="N24" s="407">
        <f t="shared" si="10"/>
        <v>0.47488455847896249</v>
      </c>
      <c r="O24" s="407">
        <f t="shared" ca="1" si="10"/>
        <v>0.47499999999999992</v>
      </c>
      <c r="P24" s="6"/>
      <c r="Q24" s="407">
        <f t="shared" si="10"/>
        <v>0.49528848666996872</v>
      </c>
      <c r="R24" s="407">
        <f t="shared" si="10"/>
        <v>0.42626204124833006</v>
      </c>
      <c r="S24" s="407">
        <f t="shared" ca="1" si="10"/>
        <v>0.45216076352949341</v>
      </c>
      <c r="T24" s="407">
        <f t="shared" ref="T24" ca="1" si="11">T22/T19</f>
        <v>0.45421123623127174</v>
      </c>
    </row>
    <row r="26" spans="1:21" ht="11.25" customHeight="1">
      <c r="B26" s="306" t="s">
        <v>352</v>
      </c>
      <c r="C26" s="10"/>
    </row>
    <row r="27" spans="1:21" ht="11.25" customHeight="1">
      <c r="B27" s="5"/>
      <c r="L27" s="6"/>
      <c r="S27" s="6"/>
      <c r="T27" s="6"/>
    </row>
    <row r="28" spans="1:21" ht="11.25" customHeight="1">
      <c r="A28" s="2" t="s">
        <v>293</v>
      </c>
      <c r="B28" s="2" t="str">
        <f>B11</f>
        <v>Sales</v>
      </c>
      <c r="D28" s="19">
        <f t="shared" ref="D28:M28" si="12">+D11</f>
        <v>491.07587300000006</v>
      </c>
      <c r="E28" s="19">
        <f t="shared" si="12"/>
        <v>534.14080800000011</v>
      </c>
      <c r="F28" s="19">
        <f t="shared" si="12"/>
        <v>613.14274299999988</v>
      </c>
      <c r="G28" s="19">
        <f t="shared" si="12"/>
        <v>625.53186800000003</v>
      </c>
      <c r="H28" s="19">
        <f t="shared" si="12"/>
        <v>508.63297299999999</v>
      </c>
      <c r="I28" s="19">
        <f t="shared" si="12"/>
        <v>480.84125399999999</v>
      </c>
      <c r="J28" s="19">
        <f t="shared" si="12"/>
        <v>546.73275799999999</v>
      </c>
      <c r="K28" s="19">
        <f t="shared" si="12"/>
        <v>625.52901499999996</v>
      </c>
      <c r="L28" s="19">
        <f t="shared" si="12"/>
        <v>592.64420100000007</v>
      </c>
      <c r="M28" s="19">
        <f t="shared" si="12"/>
        <v>673.51017699999989</v>
      </c>
      <c r="N28" s="309">
        <f>_xll.VAData($A$2,N$1,$A28, "vaactuals.consensus", "CD", "IMPL","","")/1000</f>
        <v>759.69214299999999</v>
      </c>
      <c r="O28" s="309">
        <f>_xll.VAData($A$2,O$1,$A28, "vaactuals.consensus", "CD", "IMPL","","")/1000</f>
        <v>868.4611779999999</v>
      </c>
      <c r="Q28" s="19">
        <f>+Q11</f>
        <v>2263.8912920000002</v>
      </c>
      <c r="R28" s="19">
        <f>SUM(H28:K28)</f>
        <v>2161.7359999999999</v>
      </c>
      <c r="S28" s="309">
        <f>_xll.VAData($A$2,S$1,$A28, "vaactuals.consensus", "CD", "IMPL","","")/1000</f>
        <v>2894.3077000000003</v>
      </c>
      <c r="T28" s="309">
        <f>_xll.VAData($A$2,T$1,$A28, "vaactuals.consensus", "CD", "IMPL","","")/1000</f>
        <v>3670.0190106823843</v>
      </c>
    </row>
    <row r="29" spans="1:21" ht="11.25" customHeight="1">
      <c r="B29" s="9" t="s">
        <v>58</v>
      </c>
      <c r="D29" s="43">
        <f t="shared" ref="D29:M29" si="13">D12</f>
        <v>0.35502762435817536</v>
      </c>
      <c r="E29" s="43">
        <f t="shared" si="13"/>
        <v>0.43530245708823267</v>
      </c>
      <c r="F29" s="43">
        <f t="shared" si="13"/>
        <v>0.47862681795267537</v>
      </c>
      <c r="G29" s="43">
        <f t="shared" si="13"/>
        <v>0.42753796004323319</v>
      </c>
      <c r="H29" s="43">
        <f t="shared" si="13"/>
        <v>3.5752316424635167E-2</v>
      </c>
      <c r="I29" s="43">
        <f t="shared" si="13"/>
        <v>-9.9785586874688081E-2</v>
      </c>
      <c r="J29" s="43">
        <f t="shared" si="13"/>
        <v>-0.10831080650986336</v>
      </c>
      <c r="K29" s="43">
        <f t="shared" si="13"/>
        <v>-4.5609187093731407E-6</v>
      </c>
      <c r="L29" s="43">
        <f t="shared" si="13"/>
        <v>0.16517062884163436</v>
      </c>
      <c r="M29" s="43">
        <f t="shared" si="13"/>
        <v>0.40069133294457271</v>
      </c>
      <c r="N29" s="43">
        <f t="shared" ref="N29:O29" si="14">N28/J28-1</f>
        <v>0.38951275899220961</v>
      </c>
      <c r="O29" s="43">
        <f t="shared" si="14"/>
        <v>0.38836274125509584</v>
      </c>
      <c r="Q29" s="43">
        <f>Q12</f>
        <v>0.42614958232879618</v>
      </c>
      <c r="R29" s="43">
        <f>R12</f>
        <v>-4.5123762064455342E-2</v>
      </c>
      <c r="S29" s="310">
        <f>+S28/R28-1</f>
        <v>0.33888120473545347</v>
      </c>
      <c r="T29" s="310">
        <f>+T28/S28-1</f>
        <v>0.26801273087943756</v>
      </c>
    </row>
    <row r="31" spans="1:21" ht="11.25" customHeight="1">
      <c r="A31" s="18" t="s">
        <v>296</v>
      </c>
      <c r="B31" s="2" t="s">
        <v>250</v>
      </c>
      <c r="D31" s="19">
        <f t="shared" ref="D31:M31" si="15">+D14</f>
        <v>223.78987300000006</v>
      </c>
      <c r="E31" s="19">
        <f t="shared" si="15"/>
        <v>262.12380800000011</v>
      </c>
      <c r="F31" s="19">
        <f t="shared" si="15"/>
        <v>310.32474299999984</v>
      </c>
      <c r="G31" s="19">
        <f t="shared" si="15"/>
        <v>325.04086800000005</v>
      </c>
      <c r="H31" s="19">
        <f t="shared" si="15"/>
        <v>231.23797299999995</v>
      </c>
      <c r="I31" s="19">
        <f t="shared" si="15"/>
        <v>201.95825399999998</v>
      </c>
      <c r="J31" s="19">
        <f t="shared" si="15"/>
        <v>228.06475799999996</v>
      </c>
      <c r="K31" s="19">
        <f t="shared" si="15"/>
        <v>260.20501499999995</v>
      </c>
      <c r="L31" s="19">
        <f t="shared" si="15"/>
        <v>249.01820100000006</v>
      </c>
      <c r="M31" s="19">
        <f t="shared" si="15"/>
        <v>286.55617699999993</v>
      </c>
      <c r="N31" s="309">
        <f>_xll.VAData($A$2,N$1,$A31, "vaactuals.consensus", "CD", "IMPL","","")/1000</f>
        <v>360.76628899999997</v>
      </c>
      <c r="O31" s="309">
        <f>_xll.VAData($A$2,O$1,$A31, "vaactuals.consensus", "CD", "IMPL","","")/1000</f>
        <v>425.71291300000001</v>
      </c>
      <c r="Q31" s="19">
        <f>+Q14</f>
        <v>1121.2792920000002</v>
      </c>
      <c r="R31" s="19">
        <f>SUM(H31:K31)</f>
        <v>921.46599999999989</v>
      </c>
      <c r="S31" s="309">
        <f>_xll.VAData($A$2,S$1,$A31, "vaactuals.consensus", "CD", "IMPL","","")/1000</f>
        <v>1322.05305</v>
      </c>
      <c r="T31" s="309">
        <f>_xll.VAData($A$2,T$1,$A31, "vaactuals.consensus", "CD", "IMPL","","")/1000</f>
        <v>1755.7221274762885</v>
      </c>
    </row>
    <row r="32" spans="1:21" ht="11.25" customHeight="1">
      <c r="B32" s="9" t="s">
        <v>58</v>
      </c>
      <c r="D32" s="310">
        <f t="shared" ref="D32:M32" si="16">D15</f>
        <v>0.48659827473725437</v>
      </c>
      <c r="E32" s="310">
        <f t="shared" si="16"/>
        <v>0.79947131789972548</v>
      </c>
      <c r="F32" s="310">
        <f t="shared" si="16"/>
        <v>0.814728719483373</v>
      </c>
      <c r="G32" s="310">
        <f t="shared" si="16"/>
        <v>0.77839233477745839</v>
      </c>
      <c r="H32" s="310">
        <f t="shared" si="16"/>
        <v>3.3281666860769388E-2</v>
      </c>
      <c r="I32" s="310">
        <f t="shared" si="16"/>
        <v>-0.22953105427188092</v>
      </c>
      <c r="J32" s="310">
        <f t="shared" si="16"/>
        <v>-0.26507710666177831</v>
      </c>
      <c r="K32" s="310">
        <f t="shared" si="16"/>
        <v>-0.19946984943444124</v>
      </c>
      <c r="L32" s="310">
        <f t="shared" si="16"/>
        <v>7.6891471453955917E-2</v>
      </c>
      <c r="M32" s="310">
        <f t="shared" si="16"/>
        <v>0.41888816784878702</v>
      </c>
      <c r="N32" s="310">
        <f t="shared" ref="N32:O32" si="17">N31/J31-1</f>
        <v>0.58185899550512765</v>
      </c>
      <c r="O32" s="310">
        <f t="shared" si="17"/>
        <v>0.63606728717353933</v>
      </c>
      <c r="Q32" s="310">
        <f>Q15</f>
        <v>0.72509539228296083</v>
      </c>
      <c r="R32" s="310">
        <f>R15</f>
        <v>-0.17820117915813627</v>
      </c>
      <c r="S32" s="310">
        <f>+S31/R31-1</f>
        <v>0.43472797694109189</v>
      </c>
      <c r="T32" s="310">
        <f>+T31/S31-1</f>
        <v>0.32802698611548786</v>
      </c>
    </row>
    <row r="33" spans="1:20" ht="11.25" customHeight="1">
      <c r="B33" s="9" t="s">
        <v>17</v>
      </c>
      <c r="D33" s="310">
        <f>+IFERROR(D31/D28,"n/a")</f>
        <v>0.45571343514162022</v>
      </c>
      <c r="E33" s="310">
        <f t="shared" ref="E33:S33" si="18">+IFERROR(E31/E28,"n/a")</f>
        <v>0.4907391535604223</v>
      </c>
      <c r="F33" s="310">
        <f t="shared" si="18"/>
        <v>0.50612152968105817</v>
      </c>
      <c r="G33" s="310">
        <f t="shared" si="18"/>
        <v>0.51962319528059608</v>
      </c>
      <c r="H33" s="310">
        <f t="shared" si="18"/>
        <v>0.45462639127801879</v>
      </c>
      <c r="I33" s="310">
        <f t="shared" si="18"/>
        <v>0.4200102472904706</v>
      </c>
      <c r="J33" s="310">
        <f t="shared" si="18"/>
        <v>0.41714119862559973</v>
      </c>
      <c r="K33" s="310">
        <f t="shared" si="18"/>
        <v>0.41597593198774313</v>
      </c>
      <c r="L33" s="310">
        <f t="shared" ref="L33:M33" si="19">+IFERROR(L31/L28,"n/a")</f>
        <v>0.42018162091153244</v>
      </c>
      <c r="M33" s="310">
        <f t="shared" si="19"/>
        <v>0.42546673648852673</v>
      </c>
      <c r="N33" s="310">
        <f t="shared" si="18"/>
        <v>0.47488484950672971</v>
      </c>
      <c r="O33" s="310">
        <f t="shared" si="18"/>
        <v>0.49019222019847164</v>
      </c>
      <c r="Q33" s="310">
        <f t="shared" si="18"/>
        <v>0.49528848666996861</v>
      </c>
      <c r="R33" s="310">
        <f t="shared" si="18"/>
        <v>0.42626204124833</v>
      </c>
      <c r="S33" s="310">
        <f t="shared" si="18"/>
        <v>0.45677695222246062</v>
      </c>
      <c r="T33" s="310">
        <f t="shared" ref="T33" si="20">+IFERROR(T31/T28,"n/a")</f>
        <v>0.47839592175568557</v>
      </c>
    </row>
    <row r="34" spans="1:20" ht="11.25" customHeight="1">
      <c r="A34" s="18"/>
    </row>
    <row r="35" spans="1:20" ht="11.25" customHeight="1">
      <c r="A35" s="18"/>
      <c r="B35" s="306" t="s">
        <v>349</v>
      </c>
      <c r="C35" s="10"/>
    </row>
    <row r="36" spans="1:20" ht="11.25" customHeight="1">
      <c r="A36" s="18"/>
      <c r="B36" s="5"/>
    </row>
    <row r="37" spans="1:20" ht="11.25" customHeight="1">
      <c r="A37" s="18"/>
      <c r="B37" s="2" t="str">
        <f>B11</f>
        <v>Sales</v>
      </c>
      <c r="D37" s="311">
        <f t="shared" ref="D37:O37" si="21">+D11/D28-1</f>
        <v>0</v>
      </c>
      <c r="E37" s="311">
        <f t="shared" si="21"/>
        <v>0</v>
      </c>
      <c r="F37" s="311">
        <f t="shared" si="21"/>
        <v>0</v>
      </c>
      <c r="G37" s="311">
        <f t="shared" si="21"/>
        <v>0</v>
      </c>
      <c r="H37" s="312">
        <f t="shared" si="21"/>
        <v>0</v>
      </c>
      <c r="I37" s="312">
        <f t="shared" si="21"/>
        <v>0</v>
      </c>
      <c r="J37" s="312">
        <f t="shared" si="21"/>
        <v>0</v>
      </c>
      <c r="K37" s="312">
        <f t="shared" si="21"/>
        <v>0</v>
      </c>
      <c r="L37" s="312">
        <f t="shared" si="21"/>
        <v>0</v>
      </c>
      <c r="M37" s="312">
        <f t="shared" si="21"/>
        <v>0</v>
      </c>
      <c r="N37" s="312">
        <f t="shared" si="21"/>
        <v>-1.8823414360547019E-7</v>
      </c>
      <c r="O37" s="312">
        <f t="shared" ca="1" si="21"/>
        <v>-8.4256729189593482E-3</v>
      </c>
      <c r="P37" s="312"/>
      <c r="Q37" s="312">
        <f>+Q11/Q28-1</f>
        <v>0</v>
      </c>
      <c r="R37" s="312">
        <f>+R11/R28-1</f>
        <v>0</v>
      </c>
      <c r="S37" s="312">
        <f ca="1">+S11/S28-1</f>
        <v>-2.5282432232902607E-3</v>
      </c>
      <c r="T37" s="312">
        <f ca="1">+T11/T28-1</f>
        <v>-3.1807507478019859E-2</v>
      </c>
    </row>
    <row r="38" spans="1:20" ht="11.25" customHeight="1">
      <c r="A38" s="18"/>
      <c r="B38" s="2" t="str">
        <f>B14</f>
        <v>Operating Income</v>
      </c>
      <c r="D38" s="311">
        <f t="shared" ref="D38:O38" si="22">+D14/D31-1</f>
        <v>0</v>
      </c>
      <c r="E38" s="311">
        <f t="shared" si="22"/>
        <v>0</v>
      </c>
      <c r="F38" s="311">
        <f t="shared" si="22"/>
        <v>0</v>
      </c>
      <c r="G38" s="311">
        <f t="shared" si="22"/>
        <v>0</v>
      </c>
      <c r="H38" s="312">
        <f t="shared" si="22"/>
        <v>0</v>
      </c>
      <c r="I38" s="312">
        <f t="shared" si="22"/>
        <v>0</v>
      </c>
      <c r="J38" s="312">
        <f t="shared" si="22"/>
        <v>0</v>
      </c>
      <c r="K38" s="312">
        <f t="shared" si="22"/>
        <v>0</v>
      </c>
      <c r="L38" s="312">
        <f t="shared" si="22"/>
        <v>0</v>
      </c>
      <c r="M38" s="312">
        <f t="shared" si="22"/>
        <v>0</v>
      </c>
      <c r="N38" s="312">
        <f t="shared" si="22"/>
        <v>-8.0107263000783746E-7</v>
      </c>
      <c r="O38" s="312">
        <f t="shared" ca="1" si="22"/>
        <v>-3.9156914459404946E-2</v>
      </c>
      <c r="P38" s="312"/>
      <c r="Q38" s="312">
        <f>+Q14/Q31-1</f>
        <v>0</v>
      </c>
      <c r="R38" s="312">
        <f>+R14/R31-1</f>
        <v>0</v>
      </c>
      <c r="S38" s="312">
        <f ca="1">+S14/S31-1</f>
        <v>-1.2608694574400392E-2</v>
      </c>
      <c r="T38" s="312">
        <f ca="1">+T14/T31-1</f>
        <v>-8.0753223555216191E-2</v>
      </c>
    </row>
  </sheetData>
  <pageMargins left="0.3" right="0.3" top="0.3" bottom="0.5" header="0.3" footer="0.3"/>
  <pageSetup orientation="landscape" r:id="rId1"/>
  <headerFooter>
    <oddFooter>Page &amp;P of &amp;N</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BFFC1-D09A-45EA-8E35-20F33EB858FF}">
  <sheetPr>
    <tabColor theme="1" tint="0.34998626667073579"/>
    <pageSetUpPr fitToPage="1"/>
  </sheetPr>
  <dimension ref="A1:X100"/>
  <sheetViews>
    <sheetView view="pageBreakPreview" zoomScale="85" zoomScaleNormal="100" zoomScaleSheetLayoutView="85" workbookViewId="0">
      <pane xSplit="6" ySplit="10" topLeftCell="G64" activePane="bottomRight" state="frozen"/>
      <selection pane="topRight"/>
      <selection pane="bottomLeft"/>
      <selection pane="bottomRight" activeCell="G87" sqref="G87"/>
    </sheetView>
  </sheetViews>
  <sheetFormatPr defaultColWidth="9.140625" defaultRowHeight="11.25"/>
  <cols>
    <col min="1" max="2" width="9.140625" style="6"/>
    <col min="3" max="3" width="9.5703125" style="6" customWidth="1"/>
    <col min="4" max="4" width="2.7109375" style="2" customWidth="1"/>
    <col min="5" max="5" width="22.140625" style="2" customWidth="1"/>
    <col min="6" max="6" width="2.42578125" style="2" customWidth="1"/>
    <col min="7" max="21" width="10" style="2" bestFit="1" customWidth="1"/>
    <col min="22" max="22" width="2.7109375" style="2" customWidth="1"/>
    <col min="23" max="16384" width="9.140625" style="2"/>
  </cols>
  <sheetData>
    <row r="1" spans="1:21" s="6" customFormat="1">
      <c r="E1" s="52" t="s">
        <v>558</v>
      </c>
      <c r="G1" s="409" t="s">
        <v>571</v>
      </c>
      <c r="H1" s="409" t="s">
        <v>582</v>
      </c>
      <c r="I1" s="409" t="s">
        <v>583</v>
      </c>
      <c r="J1" s="409" t="s">
        <v>584</v>
      </c>
      <c r="K1" s="409" t="s">
        <v>592</v>
      </c>
      <c r="L1" s="409" t="s">
        <v>589</v>
      </c>
      <c r="M1" s="409" t="s">
        <v>591</v>
      </c>
      <c r="N1" s="409" t="s">
        <v>554</v>
      </c>
      <c r="O1" s="409" t="s">
        <v>553</v>
      </c>
      <c r="P1" s="409" t="s">
        <v>594</v>
      </c>
      <c r="Q1" s="409" t="s">
        <v>578</v>
      </c>
      <c r="R1" s="409" t="s">
        <v>551</v>
      </c>
      <c r="S1" s="409" t="s">
        <v>550</v>
      </c>
      <c r="T1" s="409" t="s">
        <v>577</v>
      </c>
      <c r="U1" s="409" t="s">
        <v>552</v>
      </c>
    </row>
    <row r="2" spans="1:21" s="6" customFormat="1">
      <c r="E2" s="52" t="s">
        <v>557</v>
      </c>
      <c r="G2" s="417" t="s">
        <v>292</v>
      </c>
      <c r="H2" s="409" t="s">
        <v>582</v>
      </c>
      <c r="I2" s="409" t="s">
        <v>585</v>
      </c>
      <c r="J2" s="409" t="s">
        <v>584</v>
      </c>
      <c r="K2" s="409" t="s">
        <v>592</v>
      </c>
      <c r="L2" s="417" t="s">
        <v>589</v>
      </c>
      <c r="M2" s="417" t="s">
        <v>591</v>
      </c>
      <c r="N2" s="417" t="s">
        <v>554</v>
      </c>
      <c r="O2" s="417" t="s">
        <v>553</v>
      </c>
      <c r="P2" s="417" t="s">
        <v>594</v>
      </c>
      <c r="Q2" s="417" t="s">
        <v>943</v>
      </c>
      <c r="R2" s="417" t="s">
        <v>573</v>
      </c>
      <c r="S2" s="417" t="s">
        <v>550</v>
      </c>
      <c r="T2" s="417" t="s">
        <v>576</v>
      </c>
      <c r="U2" s="417" t="s">
        <v>552</v>
      </c>
    </row>
    <row r="3" spans="1:21">
      <c r="N3" s="2" cm="1">
        <f t="array" aca="1" ref="N3" ca="1">_xll.VAData(N$2,$C16,$B16,"consensus.vaactuals","SD","IMPL",$U$4)</f>
        <v>1929.8579999999999</v>
      </c>
    </row>
    <row r="4" spans="1:21">
      <c r="E4" s="5" t="s">
        <v>114</v>
      </c>
      <c r="U4" s="414">
        <f ca="1">TODAY()</f>
        <v>45796</v>
      </c>
    </row>
    <row r="5" spans="1:21">
      <c r="E5" s="5" t="s">
        <v>538</v>
      </c>
    </row>
    <row r="6" spans="1:21">
      <c r="E6" s="7" t="s">
        <v>601</v>
      </c>
      <c r="F6" s="270"/>
      <c r="G6" s="270"/>
      <c r="H6" s="270"/>
      <c r="I6" s="270"/>
      <c r="J6" s="270"/>
      <c r="K6" s="270"/>
      <c r="L6" s="270"/>
      <c r="M6" s="270"/>
      <c r="N6" s="270"/>
      <c r="O6" s="270"/>
      <c r="P6" s="270"/>
      <c r="Q6" s="270"/>
      <c r="R6" s="270"/>
      <c r="S6" s="270"/>
      <c r="T6" s="270"/>
      <c r="U6" s="270"/>
    </row>
    <row r="8" spans="1:21" ht="13.5">
      <c r="H8" s="420" t="s">
        <v>634</v>
      </c>
      <c r="I8" s="420"/>
      <c r="J8" s="420"/>
      <c r="K8" s="420"/>
      <c r="L8" s="420" t="s">
        <v>624</v>
      </c>
      <c r="M8" s="23"/>
      <c r="N8" s="22"/>
      <c r="O8" s="22"/>
      <c r="P8" s="22"/>
      <c r="Q8" s="22"/>
      <c r="R8" s="420" t="s">
        <v>597</v>
      </c>
      <c r="S8" s="3"/>
      <c r="T8" s="420" t="s">
        <v>598</v>
      </c>
      <c r="U8" s="3"/>
    </row>
    <row r="9" spans="1:21">
      <c r="E9" s="52"/>
      <c r="G9" s="421" t="s">
        <v>114</v>
      </c>
      <c r="H9" s="421" t="s">
        <v>579</v>
      </c>
      <c r="I9" s="421" t="s">
        <v>580</v>
      </c>
      <c r="J9" s="421" t="s">
        <v>581</v>
      </c>
      <c r="K9" s="421" t="s">
        <v>593</v>
      </c>
      <c r="L9" s="421" t="s">
        <v>586</v>
      </c>
      <c r="M9" s="421" t="s">
        <v>608</v>
      </c>
      <c r="N9" s="421" t="s">
        <v>588</v>
      </c>
      <c r="O9" s="421" t="s">
        <v>587</v>
      </c>
      <c r="P9" s="421" t="s">
        <v>596</v>
      </c>
      <c r="Q9" s="421" t="s">
        <v>607</v>
      </c>
      <c r="R9" s="421" t="s">
        <v>574</v>
      </c>
      <c r="S9" s="421" t="s">
        <v>559</v>
      </c>
      <c r="T9" s="421" t="s">
        <v>609</v>
      </c>
      <c r="U9" s="421" t="s">
        <v>575</v>
      </c>
    </row>
    <row r="10" spans="1:21" s="6" customFormat="1" ht="13.5" customHeight="1">
      <c r="A10" s="6" t="s">
        <v>934</v>
      </c>
      <c r="B10" s="376" t="s">
        <v>51</v>
      </c>
      <c r="C10" s="39" t="s">
        <v>935</v>
      </c>
      <c r="D10" s="64"/>
      <c r="E10" s="52"/>
      <c r="G10" s="419" t="str" cm="1">
        <f t="array" ref="G10">_xll.ciqfunctions.udf.CIQ(G$1, $A10, $C10)</f>
        <v>TWD</v>
      </c>
      <c r="H10" s="419" t="str" cm="1">
        <f t="array" ref="H10">_xll.ciqfunctions.udf.CIQ(H$1, $A10, $C10)</f>
        <v>USD</v>
      </c>
      <c r="I10" s="419" t="str" cm="1">
        <f t="array" ref="I10">_xll.ciqfunctions.udf.CIQ(I$1, $A10, $C10)</f>
        <v>USD</v>
      </c>
      <c r="J10" s="419" t="str" cm="1">
        <f t="array" ref="J10">_xll.ciqfunctions.udf.CIQ(J$1, $A10, $C10)</f>
        <v>USD</v>
      </c>
      <c r="K10" s="419" t="str" cm="1">
        <f t="array" ref="K10">_xll.ciqfunctions.udf.CIQ(K$1, $A10, $C10)</f>
        <v>USD</v>
      </c>
      <c r="L10" s="419" t="str" cm="1">
        <f t="array" ref="L10">_xll.ciqfunctions.udf.CIQ(L$1, $A10, $C10)</f>
        <v>USD</v>
      </c>
      <c r="M10" s="419" t="str" cm="1">
        <f t="array" ref="M10">_xll.ciqfunctions.udf.CIQ(M$1, $A10, $C10)</f>
        <v>USD</v>
      </c>
      <c r="N10" s="419" t="str" cm="1">
        <f t="array" ref="N10">_xll.ciqfunctions.udf.CIQ(N$1, $A10, $C10)</f>
        <v>USD</v>
      </c>
      <c r="O10" s="419" t="str" cm="1">
        <f t="array" ref="O10">_xll.ciqfunctions.udf.CIQ(O$1, $A10, $C10)</f>
        <v>USD</v>
      </c>
      <c r="P10" s="419" t="str" cm="1">
        <f t="array" ref="P10">_xll.ciqfunctions.udf.CIQ(P$1, $A10, $C10)</f>
        <v>USD</v>
      </c>
      <c r="Q10" s="419" t="str" cm="1">
        <f t="array" ref="Q10">_xll.ciqfunctions.udf.CIQ(Q$1, $A10, $C10)</f>
        <v>USD</v>
      </c>
      <c r="R10" s="419" t="str" cm="1">
        <f t="array" ref="R10">_xll.ciqfunctions.udf.CIQ(R$1, $A10, $C10)</f>
        <v>AUD</v>
      </c>
      <c r="S10" s="419" t="str" cm="1">
        <f t="array" ref="S10">_xll.ciqfunctions.udf.CIQ(S$1, $A10, $C10)</f>
        <v>USD</v>
      </c>
      <c r="T10" s="419" t="str" cm="1">
        <f t="array" ref="T10">_xll.ciqfunctions.udf.CIQ(T$1, $A10, $C10)</f>
        <v>USD</v>
      </c>
      <c r="U10" s="419" t="str" cm="1">
        <f t="array" ref="U10">_xll.ciqfunctions.udf.CIQ(U$1, $A10, $C10)</f>
        <v>USD</v>
      </c>
    </row>
    <row r="11" spans="1:21" ht="11.25" customHeight="1">
      <c r="G11" s="8"/>
      <c r="S11" s="409"/>
    </row>
    <row r="12" spans="1:21" ht="11.25" customHeight="1">
      <c r="E12" s="213" t="s">
        <v>630</v>
      </c>
      <c r="G12" s="8"/>
    </row>
    <row r="13" spans="1:21" ht="11.25" customHeight="1">
      <c r="E13" s="213"/>
      <c r="G13" s="8"/>
      <c r="Q13" s="435"/>
    </row>
    <row r="14" spans="1:21">
      <c r="A14" s="376" t="s">
        <v>560</v>
      </c>
      <c r="B14" s="376" t="s">
        <v>51</v>
      </c>
      <c r="C14" s="39" t="s">
        <v>556</v>
      </c>
      <c r="D14" s="64"/>
      <c r="E14" s="2" t="s">
        <v>7</v>
      </c>
      <c r="G14" s="416">
        <f ca="1">IFERROR(_xll.VisibleAlpha.UDF.VAData(G$2,$C14,$A14,"consensus.vaactuals","SD","IMPL",$U$4)/1,"n/a")</f>
        <v>2894307.7</v>
      </c>
      <c r="H14" s="416">
        <f ca="1">IFERROR(_xll.VisibleAlpha.UDF.VAData(H$2,$C14,$A14,"consensus.vaactuals","SD","IMPL",$U$4)/1,"n/a")</f>
        <v>350018</v>
      </c>
      <c r="I14" s="416">
        <f ca="1">IFERROR(_xll.VisibleAlpha.UDF.VAData(I$2,$C14,$A14,"consensus.vaactuals","SD","IMPL",$U$4)/1,"n/a")</f>
        <v>164500</v>
      </c>
      <c r="J14" s="416">
        <f ca="1">IFERROR(_xll.VisibleAlpha.UDF.VAData(J$2,$C14,$A14,"consensus.vaactuals","SD","IMPL",$U$4)/1,"n/a")</f>
        <v>261802</v>
      </c>
      <c r="K14" s="416">
        <f ca="1">IFERROR(_xll.VisibleAlpha.UDF.VAData(K$2,$C14,$A14,"consensus.vaactuals","SD","IMPL",$U$4)/1,"n/a")</f>
        <v>637959</v>
      </c>
      <c r="L14" s="416">
        <f ca="1">IFERROR(_xll.VisibleAlpha.UDF.VAData(L$2,$C14,$A14,"consensus.vaactuals","SD","IMPL",$U$4)/1,"n/a")</f>
        <v>258805</v>
      </c>
      <c r="M14" s="416">
        <f ca="1">IFERROR(_xll.VisibleAlpha.UDF.VAData(M$2,$C14,$A14,"consensus.vaactuals","SD","IMPL",$U$4)/1,"n/a")</f>
        <v>159514</v>
      </c>
      <c r="N14" s="416">
        <f ca="1">IFERROR(_xll.VisibleAlpha.UDF.VAData(N$2,$C14,$A14,"consensus.vaactuals","SD","IMPL",$U$4)/1,"n/a")</f>
        <v>11313.852999999999</v>
      </c>
      <c r="O14" s="416">
        <f ca="1">IFERROR(_xll.VisibleAlpha.UDF.VAData(O$2,$C14,$A14,"consensus.vaactuals","SD","IMPL",$U$4)/1,"n/a")</f>
        <v>680985</v>
      </c>
      <c r="P14" s="416">
        <f ca="1">IFERROR(_xll.VisibleAlpha.UDF.VAData(P$2,$C14,$A14,"consensus.vaactuals","SD","IMPL",$U$4)/1,"n/a")</f>
        <v>15548.156000000001</v>
      </c>
      <c r="Q14" s="416" t="str">
        <f ca="1">IFERROR(_xll.VisibleAlpha.UDF.VAData(Q$2,$C14,$A14,"consensus.vaactuals","SD","IMPL",$U$4)/1,"n/a")</f>
        <v>n/a</v>
      </c>
      <c r="R14" s="416">
        <f ca="1">IFERROR(_xll.VisibleAlpha.UDF.VAData(R$2,$C14,$A14,"consensus.vaactuals","SD","IMPL",$U$4)/1,"n/a")</f>
        <v>206.91200000000001</v>
      </c>
      <c r="S14" s="416">
        <f ca="1">IFERROR(_xll.VisibleAlpha.UDF.VAData(S$2,$C14,$A14,"consensus.vaactuals","SD","IMPL",$U$4)/1,"n/a")</f>
        <v>8748</v>
      </c>
      <c r="T14" s="416">
        <f ca="1">IFERROR(_xll.VisibleAlpha.UDF.VAData(T$2,$C14,$A14,"consensus.vaactuals","SD","IMPL",$U$4)/1,"n/a")</f>
        <v>10066</v>
      </c>
      <c r="U14" s="416">
        <f ca="1">IFERROR(_xll.VisibleAlpha.UDF.VAData(U$2,$C14,$A14,"consensus.vaactuals","SD","IMPL",$U$4)/1,"n/a")</f>
        <v>8157</v>
      </c>
    </row>
    <row r="15" spans="1:21">
      <c r="E15" s="65"/>
    </row>
    <row r="16" spans="1:21">
      <c r="A16" s="376" t="s">
        <v>555</v>
      </c>
      <c r="B16" s="376" t="s">
        <v>296</v>
      </c>
      <c r="C16" s="39" t="s">
        <v>556</v>
      </c>
      <c r="D16" s="64"/>
      <c r="E16" s="2" t="s">
        <v>606</v>
      </c>
      <c r="G16" s="416">
        <f ca="1">IFERROR(_xll.VisibleAlpha.UDF.VAData(G$2,$C16,$A16,"consensus.vaactuals","SD","IMPL",$U$4)/1,IFERROR(_xll.VisibleAlpha.UDF.VAData(G$2,$C16,$B16,"consensus.vaactuals","SD","IMPL",$U$4)/1,"n/a"))</f>
        <v>1322053.05</v>
      </c>
      <c r="H16" s="416">
        <f ca="1">IFERROR(_xll.VisibleAlpha.UDF.VAData(H$2,$C16,$A16,"consensus.vaactuals","SD","IMPL",$U$4)/1,IFERROR(_xll.VisibleAlpha.UDF.VAData(H$2,$C16,$B16,"consensus.vaactuals","SD","IMPL",$U$4)/1,"n/a"))</f>
        <v>112390</v>
      </c>
      <c r="I16" s="416">
        <f ca="1">IFERROR(_xll.VisibleAlpha.UDF.VAData(I$2,$C16,$A16,"consensus.vaactuals","SD","IMPL",$U$4)/1,IFERROR(_xll.VisibleAlpha.UDF.VAData(I$2,$C16,$B16,"consensus.vaactuals","SD","IMPL",$U$4)/1,"n/a"))</f>
        <v>69380</v>
      </c>
      <c r="J16" s="416">
        <f ca="1">IFERROR(_xll.VisibleAlpha.UDF.VAData(J$2,$C16,$A16,"consensus.vaactuals","SD","IMPL",$U$4)/1,IFERROR(_xll.VisibleAlpha.UDF.VAData(J$2,$C16,$B16,"consensus.vaactuals","SD","IMPL",$U$4)/1,"n/a"))</f>
        <v>117711</v>
      </c>
      <c r="K16" s="416">
        <f ca="1">IFERROR(_xll.VisibleAlpha.UDF.VAData(K$2,$C16,$A16,"consensus.vaactuals","SD","IMPL",$U$4)/1,IFERROR(_xll.VisibleAlpha.UDF.VAData(K$2,$C16,$B16,"consensus.vaactuals","SD","IMPL",$U$4)/1,"n/a"))</f>
        <v>68593</v>
      </c>
      <c r="L16" s="416">
        <f ca="1">IFERROR(_xll.VisibleAlpha.UDF.VAData(L$2,$C16,$A16,"consensus.vaactuals","SD","IMPL",$U$4)/1,IFERROR(_xll.VisibleAlpha.UDF.VAData(L$2,$C16,$B16,"consensus.vaactuals","SD","IMPL",$U$4)/1,"n/a"))</f>
        <v>9497</v>
      </c>
      <c r="M16" s="416">
        <f ca="1">IFERROR(_xll.VisibleAlpha.UDF.VAData(M$2,$C16,$A16,"consensus.vaactuals","SD","IMPL",$U$4)/1,IFERROR(_xll.VisibleAlpha.UDF.VAData(M$2,$C16,$B16,"consensus.vaactuals","SD","IMPL",$U$4)/1,"n/a"))</f>
        <v>21951</v>
      </c>
      <c r="N16" s="416" cm="1">
        <f t="array" ref="N16">_xll.VAData("CMG", "FY-2024", "Operating income/(loss)", "Consensus", "SD", "IMPL","","")</f>
        <v>1932.3233499999999</v>
      </c>
      <c r="O16" s="416">
        <f ca="1">IFERROR(_xll.VisibleAlpha.UDF.VAData(O$2,$C16,$A16,"consensus.vaactuals","SD","IMPL",$U$4)/1,IFERROR(_xll.VisibleAlpha.UDF.VAData(O$2,$C16,$B16,"consensus.vaactuals","SD","IMPL",$U$4)/1,"n/a"))</f>
        <v>29348</v>
      </c>
      <c r="P16" s="416">
        <f ca="1">IFERROR(_xll.VisibleAlpha.UDF.VAData(P$2,$C16,$A16,"consensus.vaactuals","SD","IMPL",$U$4)/1,IFERROR(_xll.VisibleAlpha.UDF.VAData(P$2,$C16,$B16,"consensus.vaactuals","SD","IMPL",$U$4)/1,"n/a"))</f>
        <v>767.50800000000004</v>
      </c>
      <c r="Q16" s="416" t="str">
        <f ca="1">IFERROR(_xll.VisibleAlpha.UDF.VAData(Q$2,$C16,$A16,"consensus.vaactuals","SD","IMPL",$U$4)/1,IFERROR(_xll.VisibleAlpha.UDF.VAData(Q$2,$C16,$B16,"consensus.vaactuals","SD","IMPL",$U$4)/1,"n/a"))</f>
        <v>n/a</v>
      </c>
      <c r="R16" s="416">
        <f ca="1">IFERROR(_xll.VisibleAlpha.UDF.VAData(R$2,$C16,$A16,"consensus.vaactuals","SD","IMPL",$U$4)/1,IFERROR(_xll.VisibleAlpha.UDF.VAData(R$2,$C16,$B16,"consensus.vaactuals","SD","IMPL",$U$4)/1,"n/a"))</f>
        <v>-0.378</v>
      </c>
      <c r="S16" s="416">
        <f ca="1">IFERROR(_xll.VisibleAlpha.UDF.VAData(S$2,$C16,$A16,"consensus.vaactuals","SD","IMPL",$U$4)/1,IFERROR(_xll.VisibleAlpha.UDF.VAData(S$2,$C16,$B16,"consensus.vaactuals","SD","IMPL",$U$4)/1,"n/a"))</f>
        <v>1328</v>
      </c>
      <c r="T16" s="416">
        <f ca="1">IFERROR(_xll.VisibleAlpha.UDF.VAData(T$2,$C16,$A16,"consensus.vaactuals","SD","IMPL",$U$4)/1,IFERROR(_xll.VisibleAlpha.UDF.VAData(T$2,$C16,$B16,"consensus.vaactuals","SD","IMPL",$U$4)/1,"n/a"))</f>
        <v>1463</v>
      </c>
      <c r="U16" s="416">
        <f ca="1">IFERROR(_xll.VisibleAlpha.UDF.VAData(U$2,$C16,$A16,"consensus.vaactuals","SD","IMPL",$U$4)/1,IFERROR(_xll.VisibleAlpha.UDF.VAData(U$2,$C16,$B16,"consensus.vaactuals","SD","IMPL",$U$4)/1,"n/a"))</f>
        <v>3718</v>
      </c>
    </row>
    <row r="17" spans="1:21">
      <c r="E17" s="9" t="s">
        <v>539</v>
      </c>
      <c r="G17" s="43">
        <f ca="1">G16/G14</f>
        <v>0.45677695222246062</v>
      </c>
      <c r="H17" s="43">
        <f t="shared" ref="H17:U17" ca="1" si="0">H16/H14</f>
        <v>0.32109777211457696</v>
      </c>
      <c r="I17" s="43">
        <f t="shared" ca="1" si="0"/>
        <v>0.4217629179331307</v>
      </c>
      <c r="J17" s="43">
        <f t="shared" ca="1" si="0"/>
        <v>0.4496184139158601</v>
      </c>
      <c r="K17" s="43">
        <f t="shared" ca="1" si="0"/>
        <v>0.1075194487420038</v>
      </c>
      <c r="L17" s="43">
        <f t="shared" ca="1" si="0"/>
        <v>3.6695581615502022E-2</v>
      </c>
      <c r="M17" s="43">
        <f t="shared" ca="1" si="0"/>
        <v>0.1376117456774954</v>
      </c>
      <c r="N17" s="43">
        <f t="shared" ca="1" si="0"/>
        <v>0.17079268662939143</v>
      </c>
      <c r="O17" s="43">
        <f t="shared" ca="1" si="0"/>
        <v>4.3096397130626962E-2</v>
      </c>
      <c r="P17" s="43">
        <f t="shared" ca="1" si="0"/>
        <v>4.9363281407775947E-2</v>
      </c>
      <c r="Q17" s="43" t="e">
        <f t="shared" ca="1" si="0"/>
        <v>#VALUE!</v>
      </c>
      <c r="R17" s="43">
        <f t="shared" ca="1" si="0"/>
        <v>-1.8268635941849675E-3</v>
      </c>
      <c r="S17" s="43">
        <f t="shared" ca="1" si="0"/>
        <v>0.1518061271147691</v>
      </c>
      <c r="T17" s="43">
        <f t="shared" ca="1" si="0"/>
        <v>0.14534075104311545</v>
      </c>
      <c r="U17" s="43">
        <f t="shared" ca="1" si="0"/>
        <v>0.45580483020718399</v>
      </c>
    </row>
    <row r="18" spans="1:21">
      <c r="E18" s="9"/>
      <c r="G18" s="43"/>
      <c r="H18" s="43"/>
      <c r="I18" s="43"/>
      <c r="J18" s="43"/>
      <c r="K18" s="43"/>
      <c r="L18" s="43"/>
      <c r="M18" s="43"/>
      <c r="N18" s="43"/>
      <c r="O18" s="43"/>
      <c r="P18" s="43"/>
      <c r="Q18" s="43"/>
      <c r="R18" s="43"/>
      <c r="S18" s="43"/>
      <c r="T18" s="43"/>
      <c r="U18" s="43"/>
    </row>
    <row r="19" spans="1:21">
      <c r="E19" s="147" t="s">
        <v>520</v>
      </c>
      <c r="F19" s="147"/>
      <c r="G19" s="412">
        <f ca="1">G16</f>
        <v>1322053.05</v>
      </c>
      <c r="H19" s="412">
        <f t="shared" ref="H19:U19" ca="1" si="1">H16</f>
        <v>112390</v>
      </c>
      <c r="I19" s="412">
        <f t="shared" ca="1" si="1"/>
        <v>69380</v>
      </c>
      <c r="J19" s="412">
        <f t="shared" ca="1" si="1"/>
        <v>117711</v>
      </c>
      <c r="K19" s="412">
        <f t="shared" ca="1" si="1"/>
        <v>68593</v>
      </c>
      <c r="L19" s="412">
        <f t="shared" ca="1" si="1"/>
        <v>9497</v>
      </c>
      <c r="M19" s="412">
        <f t="shared" ca="1" si="1"/>
        <v>21951</v>
      </c>
      <c r="N19" s="412">
        <f t="shared" si="1"/>
        <v>1932.3233499999999</v>
      </c>
      <c r="O19" s="412">
        <f t="shared" ca="1" si="1"/>
        <v>29348</v>
      </c>
      <c r="P19" s="412">
        <f t="shared" ca="1" si="1"/>
        <v>767.50800000000004</v>
      </c>
      <c r="Q19" s="412" t="str">
        <f t="shared" ca="1" si="1"/>
        <v>n/a</v>
      </c>
      <c r="R19" s="412">
        <f t="shared" ca="1" si="1"/>
        <v>-0.378</v>
      </c>
      <c r="S19" s="412">
        <f t="shared" ca="1" si="1"/>
        <v>1328</v>
      </c>
      <c r="T19" s="412">
        <f t="shared" ca="1" si="1"/>
        <v>1463</v>
      </c>
      <c r="U19" s="412">
        <f t="shared" ca="1" si="1"/>
        <v>3718</v>
      </c>
    </row>
    <row r="20" spans="1:21">
      <c r="E20" s="5"/>
      <c r="F20" s="5"/>
      <c r="G20" s="578"/>
      <c r="H20" s="578"/>
      <c r="I20" s="578"/>
      <c r="J20" s="578"/>
      <c r="K20" s="578"/>
      <c r="L20" s="578"/>
      <c r="M20" s="578"/>
      <c r="N20" s="578"/>
      <c r="O20" s="578"/>
      <c r="P20" s="578"/>
      <c r="Q20" s="578"/>
      <c r="R20" s="578"/>
      <c r="S20" s="578"/>
      <c r="T20" s="578"/>
      <c r="U20" s="578"/>
    </row>
    <row r="21" spans="1:21">
      <c r="E21" s="32" t="s">
        <v>35</v>
      </c>
      <c r="F21" s="5"/>
      <c r="G21" s="578"/>
      <c r="H21" s="578"/>
      <c r="I21" s="578"/>
      <c r="J21" s="578"/>
      <c r="K21" s="578"/>
      <c r="L21" s="578"/>
      <c r="M21" s="578"/>
      <c r="N21" s="578"/>
      <c r="O21" s="578"/>
      <c r="P21" s="578"/>
      <c r="Q21" s="578"/>
      <c r="R21" s="578"/>
      <c r="S21" s="578"/>
      <c r="T21" s="578"/>
      <c r="U21" s="578"/>
    </row>
    <row r="22" spans="1:21" ht="13.5">
      <c r="A22" s="6" t="s">
        <v>939</v>
      </c>
      <c r="B22" s="6" t="s">
        <v>945</v>
      </c>
      <c r="C22" s="39" t="s">
        <v>556</v>
      </c>
      <c r="E22" s="9" t="s">
        <v>72</v>
      </c>
      <c r="F22" s="5"/>
      <c r="G22" s="600">
        <f ca="1">IFERROR(_xll.VisibleAlpha.UDF.VAData(G$2,$C22,$A22,"consensus.vaactuals","SD","IMPL",$U$4)/1,IFERROR(_xll.VisibleAlpha.UDF.VAData(G$2,$C22,$B22,"consensus.vaactuals","SD","IMPL",$U$4)/1,"n/a"))</f>
        <v>662796.63500000001</v>
      </c>
      <c r="H22" s="600">
        <f ca="1">IFERROR(_xll.VisibleAlpha.UDF.VAData(H$2,$C22,$A22,"consensus.vaactuals","SD","IMPL",$U$4)/1,IFERROR(_xll.VisibleAlpha.UDF.VAData(H$2,$C22,$B22,"consensus.vaactuals","SD","IMPL",$U$4)/1,"n/a"))</f>
        <v>15311</v>
      </c>
      <c r="I22" s="600">
        <f ca="1">IFERROR(_xll.VisibleAlpha.UDF.VAData(I$2,$C22,$A22,"consensus.vaactuals","SD","IMPL",$U$4)/1,IFERROR(_xll.VisibleAlpha.UDF.VAData(I$2,$C22,$B22,"consensus.vaactuals","SD","IMPL",$U$4)/1,"n/a"))</f>
        <v>15498</v>
      </c>
      <c r="J22" s="600">
        <f ca="1">IFERROR(_xll.VisibleAlpha.UDF.VAData(J$2,$C22,$A22,"consensus.vaactuals","SD","IMPL",$U$4)/1,IFERROR(_xll.VisibleAlpha.UDF.VAData(J$2,$C22,$B22,"consensus.vaactuals","SD","IMPL",$U$4)/1,"n/a"))</f>
        <v>26617</v>
      </c>
      <c r="K22" s="600">
        <f ca="1">IFERROR(_xll.VisibleAlpha.UDF.VAData(K$2,$C22,$A22,"consensus.vaactuals","SD","IMPL",$U$4)/1,IFERROR(_xll.VisibleAlpha.UDF.VAData(K$2,$C22,$B22,"consensus.vaactuals","SD","IMPL",$U$4)/1,"n/a"))</f>
        <v>52795</v>
      </c>
      <c r="L22" s="600">
        <f ca="1">IFERROR(_xll.VisibleAlpha.UDF.VAData(L$2,$C22,$A22,"consensus.vaactuals","SD","IMPL",$U$4)/1,IFERROR(_xll.VisibleAlpha.UDF.VAData(L$2,$C22,$B22,"consensus.vaactuals","SD","IMPL",$U$4)/1,"n/a"))</f>
        <v>2284</v>
      </c>
      <c r="M22" s="600">
        <f ca="1">IFERROR(_xll.VisibleAlpha.UDF.VAData(M$2,$C22,$A22,"consensus.vaactuals","SD","IMPL",$U$4)/1,IFERROR(_xll.VisibleAlpha.UDF.VAData(M$2,$C22,$B22,"consensus.vaactuals","SD","IMPL",$U$4)/1,"n/a"))</f>
        <v>3761</v>
      </c>
      <c r="N22" s="600">
        <f ca="1">IFERROR(_xll.VisibleAlpha.UDF.VAData(N$2,$C22,$A22,"consensus.vaactuals","SD","IMPL",$U$4)/1,IFERROR(_xll.VisibleAlpha.UDF.VAData(N$2,$C22,$B22,"consensus.vaactuals","SD","IMPL",$U$4)/1,"n/a"))</f>
        <v>335.03</v>
      </c>
      <c r="O22" s="600">
        <f ca="1">IFERROR(_xll.VisibleAlpha.UDF.VAData(O$2,$C22,$A22,"consensus.vaactuals","SD","IMPL",$U$4)/1,IFERROR(_xll.VisibleAlpha.UDF.VAData(O$2,$C22,$B22,"consensus.vaactuals","SD","IMPL",$U$4)/1,"n/a"))</f>
        <v>12973</v>
      </c>
      <c r="P22" s="600">
        <f ca="1">IFERROR(_xll.VisibleAlpha.UDF.VAData(P$2,$C22,$A22,"consensus.vaactuals","SD","IMPL",$U$4)/1,IFERROR(_xll.VisibleAlpha.UDF.VAData(P$2,$C22,$B22,"consensus.vaactuals","SD","IMPL",$U$4)/1,"n/a"))</f>
        <v>388.548</v>
      </c>
      <c r="Q22" s="600" t="str">
        <f ca="1">IFERROR(_xll.VisibleAlpha.UDF.VAData(Q$2,$C22,$A22,"consensus.vaactuals","SD","IMPL",$U$4)/1,IFERROR(_xll.VisibleAlpha.UDF.VAData(Q$2,$C22,$B22,"consensus.vaactuals","SD","IMPL",$U$4)/1,"n/a"))</f>
        <v>n/a</v>
      </c>
      <c r="R22" s="600">
        <f ca="1">IFERROR(_xll.VisibleAlpha.UDF.VAData(R$2,$C22,$A22,"consensus.vaactuals","SD","IMPL",$U$4)/1,IFERROR(_xll.VisibleAlpha.UDF.VAData(R$2,$C22,$B22,"consensus.vaactuals","SD","IMPL",$U$4)/1,"n/a"))</f>
        <v>36.709000000000003</v>
      </c>
      <c r="S22" s="600">
        <f ca="1">IFERROR(_xll.VisibleAlpha.UDF.VAData(S$2,$C22,$A22,"consensus.vaactuals","SD","IMPL",$U$4)/1,IFERROR(_xll.VisibleAlpha.UDF.VAData(S$2,$C22,$B22,"consensus.vaactuals","SD","IMPL",$U$4)/1,"n/a"))</f>
        <v>2011</v>
      </c>
      <c r="T22" s="600">
        <f ca="1">IFERROR(_xll.VisibleAlpha.UDF.VAData(T$2,$C22,$A22,"consensus.vaactuals","SD","IMPL",$U$4)/1,IFERROR(_xll.VisibleAlpha.UDF.VAData(T$2,$C22,$B22,"consensus.vaactuals","SD","IMPL",$U$4)/1,"n/a"))</f>
        <v>1226</v>
      </c>
      <c r="U22" s="600">
        <f ca="1">IFERROR(_xll.VisibleAlpha.UDF.VAData(U$2,$C22,$A22,"consensus.vaactuals","SD","IMPL",$U$4)/1,IFERROR(_xll.VisibleAlpha.UDF.VAData(U$2,$C22,$B22,"consensus.vaactuals","SD","IMPL",$U$4)/1,"n/a"))</f>
        <v>369</v>
      </c>
    </row>
    <row r="23" spans="1:21">
      <c r="E23" s="41" t="s">
        <v>940</v>
      </c>
      <c r="F23" s="5"/>
      <c r="G23" s="601">
        <f ca="1">+IFERROR(G19+G22,"n/a")</f>
        <v>1984849.6850000001</v>
      </c>
      <c r="H23" s="601">
        <f t="shared" ref="H23:U23" ca="1" si="2">+IFERROR(H19+H22,"n/a")</f>
        <v>127701</v>
      </c>
      <c r="I23" s="601">
        <f t="shared" ca="1" si="2"/>
        <v>84878</v>
      </c>
      <c r="J23" s="601">
        <f t="shared" ca="1" si="2"/>
        <v>144328</v>
      </c>
      <c r="K23" s="601">
        <f t="shared" ca="1" si="2"/>
        <v>121388</v>
      </c>
      <c r="L23" s="601">
        <f t="shared" ca="1" si="2"/>
        <v>11781</v>
      </c>
      <c r="M23" s="601">
        <f t="shared" ca="1" si="2"/>
        <v>25712</v>
      </c>
      <c r="N23" s="601">
        <f t="shared" ca="1" si="2"/>
        <v>2267.3533499999999</v>
      </c>
      <c r="O23" s="601">
        <f t="shared" ca="1" si="2"/>
        <v>42321</v>
      </c>
      <c r="P23" s="601">
        <f t="shared" ca="1" si="2"/>
        <v>1156.056</v>
      </c>
      <c r="Q23" s="601" t="str">
        <f t="shared" ca="1" si="2"/>
        <v>n/a</v>
      </c>
      <c r="R23" s="601">
        <f t="shared" ca="1" si="2"/>
        <v>36.331000000000003</v>
      </c>
      <c r="S23" s="601">
        <f t="shared" ca="1" si="2"/>
        <v>3339</v>
      </c>
      <c r="T23" s="601">
        <f t="shared" ca="1" si="2"/>
        <v>2689</v>
      </c>
      <c r="U23" s="601">
        <f t="shared" ca="1" si="2"/>
        <v>4087</v>
      </c>
    </row>
    <row r="24" spans="1:21">
      <c r="Q24" s="58"/>
    </row>
    <row r="25" spans="1:21">
      <c r="E25" s="65" t="s">
        <v>633</v>
      </c>
    </row>
    <row r="26" spans="1:21">
      <c r="E26" s="65"/>
    </row>
    <row r="27" spans="1:21">
      <c r="E27" s="25" t="s">
        <v>547</v>
      </c>
      <c r="Q27" s="39"/>
    </row>
    <row r="28" spans="1:21">
      <c r="A28" s="376" t="s">
        <v>561</v>
      </c>
      <c r="B28" s="376" t="s">
        <v>51</v>
      </c>
      <c r="C28" s="39" t="s">
        <v>590</v>
      </c>
      <c r="E28" s="2" t="s">
        <v>540</v>
      </c>
      <c r="G28" s="416">
        <f ca="1">IFERROR(_xll.VisibleAlpha.UDF.VAData(G$2,$C28,$A28,"consensus.vaactuals","SD","IMPL",$U$4)/1,"n/a")</f>
        <v>210210.41899999999</v>
      </c>
      <c r="H28" s="416">
        <f ca="1">IFERROR(_xll.VisibleAlpha.UDF.VAData(H$2,$C28,$A28,"consensus.vaactuals","SD","IMPL",$U$4)/1,"n/a")</f>
        <v>47087</v>
      </c>
      <c r="I28" s="416">
        <f ca="1">IFERROR(_xll.VisibleAlpha.UDF.VAData(I$2,$C28,$A28,"consensus.vaactuals","SD","IMPL",$U$4)/1,"n/a")</f>
        <v>14505</v>
      </c>
      <c r="J28" s="416">
        <f ca="1">IFERROR(_xll.VisibleAlpha.UDF.VAData(J$2,$C28,$A28,"consensus.vaactuals","SD","IMPL",$U$4)/1,"n/a")</f>
        <v>56924</v>
      </c>
      <c r="K28" s="416">
        <f ca="1">IFERROR(_xll.VisibleAlpha.UDF.VAData(K$2,$C28,$A28,"consensus.vaactuals","SD","IMPL",$U$4)/1,"n/a")</f>
        <v>50106</v>
      </c>
      <c r="L28" s="416">
        <f ca="1">IFERROR(_xll.VisibleAlpha.UDF.VAData(L$2,$C28,$A28,"consensus.vaactuals","SD","IMPL",$U$4)/1,"n/a")</f>
        <v>2583</v>
      </c>
      <c r="M28" s="416">
        <f ca="1">IFERROR(_xll.VisibleAlpha.UDF.VAData(M$2,$C28,$A28,"consensus.vaactuals","SD","IMPL",$U$4)/1,"n/a")</f>
        <v>5503</v>
      </c>
      <c r="N28" s="416">
        <f ca="1">IFERROR(_xll.VisibleAlpha.UDF.VAData(N$2,$C28,$A28,"consensus.vaactuals","SD","IMPL",$U$4)/1,"n/a")</f>
        <v>169.071</v>
      </c>
      <c r="O28" s="416">
        <f ca="1">IFERROR(_xll.VisibleAlpha.UDF.VAData(O$2,$C28,$A28,"consensus.vaactuals","SD","IMPL",$U$4)/1,"n/a")</f>
        <v>8650</v>
      </c>
      <c r="P28" s="416">
        <f ca="1">IFERROR(_xll.VisibleAlpha.UDF.VAData(P$2,$C28,$A28,"consensus.vaactuals","SD","IMPL",$U$4)/1,"n/a")</f>
        <v>164.92599999999999</v>
      </c>
      <c r="Q28" s="416" t="str">
        <f ca="1">IFERROR(_xll.VisibleAlpha.UDF.VAData(Q$2,$C28,$A28,"consensus.vaactuals","SD","IMPL",$U$4)/1,"n/a")</f>
        <v>n/a</v>
      </c>
      <c r="R28" s="416">
        <f ca="1">IFERROR(_xll.VisibleAlpha.UDF.VAData(R$2,$C28,$A28,"consensus.vaactuals","SD","IMPL",$U$4)/1,"n/a")</f>
        <v>23.021999999999998</v>
      </c>
      <c r="S28" s="416">
        <f ca="1">IFERROR(_xll.VisibleAlpha.UDF.VAData(S$2,$C28,$A28,"consensus.vaactuals","SD","IMPL",$U$4)/1,"n/a")</f>
        <v>1124</v>
      </c>
      <c r="T28" s="416">
        <f ca="1">IFERROR(_xll.VisibleAlpha.UDF.VAData(T$2,$C28,$A28,"consensus.vaactuals","SD","IMPL",$U$4)/1,"n/a")</f>
        <v>1546</v>
      </c>
      <c r="U28" s="416">
        <f ca="1">IFERROR(_xll.VisibleAlpha.UDF.VAData(U$2,$C28,$A28,"consensus.vaactuals","SD","IMPL",$U$4)/1,"n/a")</f>
        <v>1300</v>
      </c>
    </row>
    <row r="29" spans="1:21">
      <c r="A29" s="154" t="s">
        <v>572</v>
      </c>
      <c r="B29" s="376" t="s">
        <v>51</v>
      </c>
      <c r="C29" s="39" t="s">
        <v>590</v>
      </c>
      <c r="E29" s="2" t="s">
        <v>541</v>
      </c>
      <c r="G29" s="416">
        <f ca="1">IFERROR(_xll.VisibleAlpha.UDF.VAData(G$2,$C29,$A29,"consensus.vaactuals","SD","IMPL",$U$4)/1,"n/a")</f>
        <v>272490.587</v>
      </c>
      <c r="H29" s="416" t="str">
        <f ca="1">IFERROR(_xll.VisibleAlpha.UDF.VAData(H$2,$C29,$A29,"consensus.vaactuals","SD","IMPL",$U$4)/1,"n/a")</f>
        <v>n/a</v>
      </c>
      <c r="I29" s="416" t="str">
        <f ca="1">IFERROR(_xll.VisibleAlpha.UDF.VAData(I$2,$C29,$A29,"consensus.vaactuals","SD","IMPL",$U$4)/1,"n/a")</f>
        <v>n/a</v>
      </c>
      <c r="J29" s="416">
        <f ca="1">IFERROR(_xll.VisibleAlpha.UDF.VAData(J$2,$C29,$A29,"consensus.vaactuals","SD","IMPL",$U$4)/1,"n/a")</f>
        <v>1246</v>
      </c>
      <c r="K29" s="416">
        <f ca="1">IFERROR(_xll.VisibleAlpha.UDF.VAData(K$2,$C29,$A29,"consensus.vaactuals","SD","IMPL",$U$4)/1,"n/a")</f>
        <v>34109</v>
      </c>
      <c r="L29" s="416">
        <f ca="1">IFERROR(_xll.VisibleAlpha.UDF.VAData(L$2,$C29,$A29,"consensus.vaactuals","SD","IMPL",$U$4)/1,"n/a")</f>
        <v>17430</v>
      </c>
      <c r="M29" s="416">
        <f ca="1">IFERROR(_xll.VisibleAlpha.UDF.VAData(M$2,$C29,$A29,"consensus.vaactuals","SD","IMPL",$U$4)/1,"n/a")</f>
        <v>23060</v>
      </c>
      <c r="N29" s="416">
        <f ca="1">IFERROR(_xll.VisibleAlpha.UDF.VAData(N$2,$C29,$A29,"consensus.vaactuals","SD","IMPL",$U$4)/1,"n/a")</f>
        <v>35.56</v>
      </c>
      <c r="O29" s="416">
        <f ca="1">IFERROR(_xll.VisibleAlpha.UDF.VAData(O$2,$C29,$A29,"consensus.vaactuals","SD","IMPL",$U$4)/1,"n/a")</f>
        <v>55611</v>
      </c>
      <c r="P29" s="416">
        <f ca="1">IFERROR(_xll.VisibleAlpha.UDF.VAData(P$2,$C29,$A29,"consensus.vaactuals","SD","IMPL",$U$4)/1,"n/a")</f>
        <v>452.017</v>
      </c>
      <c r="Q29" s="416" t="str">
        <f ca="1">IFERROR(_xll.VisibleAlpha.UDF.VAData(Q$2,$C29,$A29,"consensus.vaactuals","SD","IMPL",$U$4)/1,"n/a")</f>
        <v>n/a</v>
      </c>
      <c r="R29" s="416" t="str">
        <f ca="1">IFERROR(_xll.VisibleAlpha.UDF.VAData(R$2,$C29,$A29,"consensus.vaactuals","SD","IMPL",$U$4)/1,"n/a")</f>
        <v>n/a</v>
      </c>
      <c r="S29" s="416" t="str">
        <f ca="1">IFERROR(_xll.VisibleAlpha.UDF.VAData(S$2,$C29,$A29,"consensus.vaactuals","SD","IMPL",$U$4)/1,"n/a")</f>
        <v>n/a</v>
      </c>
      <c r="T29" s="416">
        <f ca="1">IFERROR(_xll.VisibleAlpha.UDF.VAData(T$2,$C29,$A29,"consensus.vaactuals","SD","IMPL",$U$4)/1,"n/a")</f>
        <v>60</v>
      </c>
      <c r="U29" s="416">
        <f ca="1">IFERROR(_xll.VisibleAlpha.UDF.VAData(U$2,$C29,$A29,"consensus.vaactuals","SD","IMPL",$U$4)/1,"n/a")</f>
        <v>1878</v>
      </c>
    </row>
    <row r="30" spans="1:21" ht="13.5">
      <c r="A30" s="376" t="s">
        <v>562</v>
      </c>
      <c r="B30" s="376" t="s">
        <v>51</v>
      </c>
      <c r="C30" s="39" t="s">
        <v>590</v>
      </c>
      <c r="E30" s="2" t="s">
        <v>207</v>
      </c>
      <c r="G30" s="418">
        <f ca="1">IFERROR(_xll.VisibleAlpha.UDF.VAData(G$2,$C30,$A30,"consensus.vaactuals","SD","IMPL",$U$4)/1,"n/a")</f>
        <v>60321.469999999703</v>
      </c>
      <c r="H30" s="418">
        <f ca="1">IFERROR(_xll.VisibleAlpha.UDF.VAData(H$2,$C30,$A30,"consensus.vaactuals","SD","IMPL",$U$4)/1,"n/a")</f>
        <v>14183</v>
      </c>
      <c r="I30" s="418">
        <f ca="1">IFERROR(_xll.VisibleAlpha.UDF.VAData(I$2,$C30,$A30,"consensus.vaactuals","SD","IMPL",$U$4)/1,"n/a")</f>
        <v>3846</v>
      </c>
      <c r="J30" s="418">
        <f ca="1">IFERROR(_xll.VisibleAlpha.UDF.VAData(J$2,$C30,$A30,"consensus.vaactuals","SD","IMPL",$U$4)/1,"n/a")</f>
        <v>26021</v>
      </c>
      <c r="K30" s="418" t="str">
        <f ca="1">IFERROR(_xll.VisibleAlpha.UDF.VAData(K$2,$C30,$A30,"consensus.vaactuals","SD","IMPL",$U$4)/1,"n/a")</f>
        <v>n/a</v>
      </c>
      <c r="L30" s="418">
        <f ca="1">IFERROR(_xll.VisibleAlpha.UDF.VAData(L$2,$C30,$A30,"consensus.vaactuals","SD","IMPL",$U$4)/1,"n/a")</f>
        <v>1776</v>
      </c>
      <c r="M30" s="418">
        <f ca="1">IFERROR(_xll.VisibleAlpha.UDF.VAData(M$2,$C30,$A30,"consensus.vaactuals","SD","IMPL",$U$4)/1,"n/a")</f>
        <v>2097</v>
      </c>
      <c r="N30" s="418">
        <f ca="1">IFERROR(_xll.VisibleAlpha.UDF.VAData(N$2,$C30,$A30,"consensus.vaactuals","SD","IMPL",$U$4)/1,"n/a")</f>
        <v>91.852000000000004</v>
      </c>
      <c r="O30" s="418">
        <f ca="1">IFERROR(_xll.VisibleAlpha.UDF.VAData(O$2,$C30,$A30,"consensus.vaactuals","SD","IMPL",$U$4)/1,"n/a")</f>
        <v>3438</v>
      </c>
      <c r="P30" s="418">
        <f ca="1">IFERROR(_xll.VisibleAlpha.UDF.VAData(P$2,$C30,$A30,"consensus.vaactuals","SD","IMPL",$U$4)/1,"n/a")</f>
        <v>33.070999999999998</v>
      </c>
      <c r="Q30" s="418" t="str">
        <f ca="1">IFERROR(_xll.VisibleAlpha.UDF.VAData(Q$2,$C30,$A30,"consensus.vaactuals","SD","IMPL",$U$4)/1,"n/a")</f>
        <v>n/a</v>
      </c>
      <c r="R30" s="418">
        <f ca="1">IFERROR(_xll.VisibleAlpha.UDF.VAData(R$2,$C30,$A30,"consensus.vaactuals","SD","IMPL",$U$4)/1,"n/a")</f>
        <v>9.6850000000000005</v>
      </c>
      <c r="S30" s="418">
        <f ca="1">IFERROR(_xll.VisibleAlpha.UDF.VAData(S$2,$C30,$A30,"consensus.vaactuals","SD","IMPL",$U$4)/1,"n/a")</f>
        <v>612</v>
      </c>
      <c r="T30" s="418">
        <f ca="1">IFERROR(_xll.VisibleAlpha.UDF.VAData(T$2,$C30,$A30,"consensus.vaactuals","SD","IMPL",$U$4)/1,"n/a")</f>
        <v>618</v>
      </c>
      <c r="U30" s="418">
        <f ca="1">IFERROR(_xll.VisibleAlpha.UDF.VAData(U$2,$C30,$A30,"consensus.vaactuals","SD","IMPL",$U$4)/1,"n/a")</f>
        <v>523</v>
      </c>
    </row>
    <row r="31" spans="1:21">
      <c r="B31" s="376"/>
      <c r="E31" s="12" t="s">
        <v>208</v>
      </c>
      <c r="G31" s="53">
        <f ca="1">SUM(G28:G30)</f>
        <v>543022.47599999967</v>
      </c>
      <c r="H31" s="53">
        <f t="shared" ref="H31:U31" ca="1" si="3">SUM(H28:H30)</f>
        <v>61270</v>
      </c>
      <c r="I31" s="53">
        <f t="shared" ca="1" si="3"/>
        <v>18351</v>
      </c>
      <c r="J31" s="53">
        <f t="shared" ca="1" si="3"/>
        <v>84191</v>
      </c>
      <c r="K31" s="53">
        <f t="shared" ca="1" si="3"/>
        <v>84215</v>
      </c>
      <c r="L31" s="53">
        <f t="shared" ca="1" si="3"/>
        <v>21789</v>
      </c>
      <c r="M31" s="53">
        <f t="shared" ca="1" si="3"/>
        <v>30660</v>
      </c>
      <c r="N31" s="53">
        <f t="shared" ca="1" si="3"/>
        <v>296.483</v>
      </c>
      <c r="O31" s="53">
        <f t="shared" ca="1" si="3"/>
        <v>67699</v>
      </c>
      <c r="P31" s="53">
        <f t="shared" ca="1" si="3"/>
        <v>650.01400000000001</v>
      </c>
      <c r="Q31" s="53">
        <f t="shared" ca="1" si="3"/>
        <v>0</v>
      </c>
      <c r="R31" s="53">
        <f t="shared" ca="1" si="3"/>
        <v>32.707000000000001</v>
      </c>
      <c r="S31" s="53">
        <f t="shared" ca="1" si="3"/>
        <v>1736</v>
      </c>
      <c r="T31" s="53">
        <f t="shared" ca="1" si="3"/>
        <v>2224</v>
      </c>
      <c r="U31" s="53">
        <f t="shared" ca="1" si="3"/>
        <v>3701</v>
      </c>
    </row>
    <row r="32" spans="1:21">
      <c r="B32" s="376"/>
      <c r="G32" s="14"/>
    </row>
    <row r="33" spans="1:21">
      <c r="A33" s="376" t="s">
        <v>563</v>
      </c>
      <c r="B33" s="376" t="s">
        <v>51</v>
      </c>
      <c r="C33" s="39" t="s">
        <v>590</v>
      </c>
      <c r="E33" s="2" t="s">
        <v>543</v>
      </c>
      <c r="G33" s="416">
        <f ca="1">IFERROR(_xll.VisibleAlpha.UDF.VAData(G$2,$C33,$A33,"consensus.vaactuals","SD","IMPL",$U$4)/1,"n/a")</f>
        <v>63947.072</v>
      </c>
      <c r="H33" s="416">
        <f ca="1">IFERROR(_xll.VisibleAlpha.UDF.VAData(H$2,$C33,$A33,"consensus.vaactuals","SD","IMPL",$U$4)/1,"n/a")</f>
        <v>6092</v>
      </c>
      <c r="I33" s="416">
        <f ca="1">IFERROR(_xll.VisibleAlpha.UDF.VAData(I$2,$C33,$A33,"consensus.vaactuals","SD","IMPL",$U$4)/1,"n/a")</f>
        <v>3173</v>
      </c>
      <c r="J33" s="416">
        <f ca="1">IFERROR(_xll.VisibleAlpha.UDF.VAData(J$2,$C33,$A33,"consensus.vaactuals","SD","IMPL",$U$4)/1,"n/a")</f>
        <v>21996</v>
      </c>
      <c r="K33" s="416">
        <f ca="1">IFERROR(_xll.VisibleAlpha.UDF.VAData(K$2,$C33,$A33,"consensus.vaactuals","SD","IMPL",$U$4)/1,"n/a")</f>
        <v>81817</v>
      </c>
      <c r="L33" s="416">
        <f ca="1">IFERROR(_xll.VisibleAlpha.UDF.VAData(L$2,$C33,$A33,"consensus.vaactuals","SD","IMPL",$U$4)/1,"n/a")</f>
        <v>18844</v>
      </c>
      <c r="M33" s="416">
        <f ca="1">IFERROR(_xll.VisibleAlpha.UDF.VAData(M$2,$C33,$A33,"consensus.vaactuals","SD","IMPL",$U$4)/1,"n/a")</f>
        <v>13206</v>
      </c>
      <c r="N33" s="416">
        <f ca="1">IFERROR(_xll.VisibleAlpha.UDF.VAData(N$2,$C33,$A33,"consensus.vaactuals","SD","IMPL",$U$4)/1,"n/a")</f>
        <v>203.48</v>
      </c>
      <c r="O33" s="416">
        <f ca="1">IFERROR(_xll.VisibleAlpha.UDF.VAData(O$2,$C33,$A33,"consensus.vaactuals","SD","IMPL",$U$4)/1,"n/a")</f>
        <v>56716</v>
      </c>
      <c r="P33" s="416">
        <f ca="1">IFERROR(_xll.VisibleAlpha.UDF.VAData(P$2,$C33,$A33,"consensus.vaactuals","SD","IMPL",$U$4)/1,"n/a")</f>
        <v>597.11199999999997</v>
      </c>
      <c r="Q33" s="416" t="str">
        <f ca="1">IFERROR(_xll.VisibleAlpha.UDF.VAData(Q$2,$C33,$A33,"consensus.vaactuals","SD","IMPL",$U$4)/1,"n/a")</f>
        <v>n/a</v>
      </c>
      <c r="R33" s="416">
        <f ca="1">IFERROR(_xll.VisibleAlpha.UDF.VAData(R$2,$C33,$A33,"consensus.vaactuals","SD","IMPL",$U$4)/1,"n/a")</f>
        <v>31.027000000000001</v>
      </c>
      <c r="S33" s="416">
        <f ca="1">IFERROR(_xll.VisibleAlpha.UDF.VAData(S$2,$C33,$A33,"consensus.vaactuals","SD","IMPL",$U$4)/1,"n/a")</f>
        <v>1139</v>
      </c>
      <c r="T33" s="416">
        <f ca="1">IFERROR(_xll.VisibleAlpha.UDF.VAData(T$2,$C33,$A33,"consensus.vaactuals","SD","IMPL",$U$4)/1,"n/a")</f>
        <v>1308</v>
      </c>
      <c r="U33" s="416">
        <f ca="1">IFERROR(_xll.VisibleAlpha.UDF.VAData(U$2,$C33,$A33,"consensus.vaactuals","SD","IMPL",$U$4)/1,"n/a")</f>
        <v>320</v>
      </c>
    </row>
    <row r="34" spans="1:21">
      <c r="A34" s="376" t="s">
        <v>564</v>
      </c>
      <c r="B34" s="376" t="s">
        <v>51</v>
      </c>
      <c r="C34" s="39" t="s">
        <v>590</v>
      </c>
      <c r="E34" s="2" t="s">
        <v>544</v>
      </c>
      <c r="G34" s="49">
        <f>'Historical Financials'!U416*1000</f>
        <v>630549</v>
      </c>
      <c r="H34" s="416">
        <f ca="1">IFERROR(_xll.VisibleAlpha.UDF.VAData(H$2,$C34,$A34,"consensus.vaactuals","SD","IMPL",$U$4)/1,"n/a")</f>
        <v>67570</v>
      </c>
      <c r="I34" s="416">
        <f ca="1">IFERROR(_xll.VisibleAlpha.UDF.VAData(I$2,$C34,$A34,"consensus.vaactuals","SD","IMPL",$U$4)/1,"n/a")</f>
        <v>21914</v>
      </c>
      <c r="J34" s="416">
        <f ca="1">IFERROR(_xll.VisibleAlpha.UDF.VAData(J$2,$C34,$A34,"consensus.vaactuals","SD","IMPL",$U$4)/1,"n/a")</f>
        <v>12564</v>
      </c>
      <c r="K34" s="416">
        <f ca="1">IFERROR(_xll.VisibleAlpha.UDF.VAData(K$2,$C34,$A34,"consensus.vaactuals","SD","IMPL",$U$4)/1,"n/a")</f>
        <v>60351</v>
      </c>
      <c r="L34" s="416">
        <f ca="1">IFERROR(_xll.VisibleAlpha.UDF.VAData(L$2,$C34,$A34,"consensus.vaactuals","SD","IMPL",$U$4)/1,"n/a")</f>
        <v>6704</v>
      </c>
      <c r="M34" s="416" t="str">
        <f ca="1">IFERROR(_xll.VisibleAlpha.UDF.VAData(M$2,$C34,$A34,"consensus.vaactuals","SD","IMPL",$U$4)/1,"n/a")</f>
        <v>n/a</v>
      </c>
      <c r="N34" s="416">
        <f ca="1">IFERROR(_xll.VisibleAlpha.UDF.VAData(N$2,$C34,$A34,"consensus.vaactuals","SD","IMPL",$U$4)/1,"n/a")</f>
        <v>393.041</v>
      </c>
      <c r="O34" s="416">
        <f ca="1">IFERROR(_xll.VisibleAlpha.UDF.VAData(O$2,$C34,$A34,"consensus.vaactuals","SD","IMPL",$U$4)/1,"n/a")</f>
        <v>30999</v>
      </c>
      <c r="P34" s="416">
        <f ca="1">IFERROR(_xll.VisibleAlpha.UDF.VAData(P$2,$C34,$A34,"consensus.vaactuals","SD","IMPL",$U$4)/1,"n/a")</f>
        <v>294.233</v>
      </c>
      <c r="Q34" s="416" t="str">
        <f ca="1">IFERROR(_xll.VisibleAlpha.UDF.VAData(Q$2,$C34,$A34,"consensus.vaactuals","SD","IMPL",$U$4)/1,"n/a")</f>
        <v>n/a</v>
      </c>
      <c r="R34" s="416" t="str">
        <f ca="1">IFERROR(_xll.VisibleAlpha.UDF.VAData(R$2,$C34,$A34,"consensus.vaactuals","SD","IMPL",$U$4)/1,"n/a")</f>
        <v>n/a</v>
      </c>
      <c r="S34" s="416">
        <f ca="1">IFERROR(_xll.VisibleAlpha.UDF.VAData(S$2,$C34,$A34,"consensus.vaactuals","SD","IMPL",$U$4)/1,"n/a")</f>
        <v>420</v>
      </c>
      <c r="T34" s="416">
        <f ca="1">IFERROR(_xll.VisibleAlpha.UDF.VAData(T$2,$C34,$A34,"consensus.vaactuals","SD","IMPL",$U$4)/1,"n/a")</f>
        <v>277</v>
      </c>
      <c r="U34" s="416">
        <f ca="1">IFERROR(_xll.VisibleAlpha.UDF.VAData(U$2,$C34,$A34,"consensus.vaactuals","SD","IMPL",$U$4)/1,"n/a")</f>
        <v>1003</v>
      </c>
    </row>
    <row r="35" spans="1:21" ht="13.5">
      <c r="A35" s="376" t="s">
        <v>565</v>
      </c>
      <c r="B35" s="376" t="s">
        <v>51</v>
      </c>
      <c r="C35" s="39" t="s">
        <v>590</v>
      </c>
      <c r="E35" s="2" t="s">
        <v>545</v>
      </c>
      <c r="G35" s="411" t="s">
        <v>548</v>
      </c>
      <c r="H35" s="418">
        <f ca="1">IFERROR(_xll.VisibleAlpha.UDF.VAData(H$2,$C35,$A35,"consensus.vaactuals","SD","IMPL",$U$4)/1,"n/a")</f>
        <v>4251</v>
      </c>
      <c r="I35" s="418">
        <f ca="1">IFERROR(_xll.VisibleAlpha.UDF.VAData(I$2,$C35,$A35,"consensus.vaactuals","SD","IMPL",$U$4)/1,"n/a")</f>
        <v>675</v>
      </c>
      <c r="J35" s="418">
        <f ca="1">IFERROR(_xll.VisibleAlpha.UDF.VAData(J$2,$C35,$A35,"consensus.vaactuals","SD","IMPL",$U$4)/1,"n/a")</f>
        <v>81784</v>
      </c>
      <c r="K35" s="418">
        <f ca="1">IFERROR(_xll.VisibleAlpha.UDF.VAData(K$2,$C35,$A35,"consensus.vaactuals","SD","IMPL",$U$4)/1,"n/a")</f>
        <v>16004</v>
      </c>
      <c r="L35" s="418">
        <f ca="1">IFERROR(_xll.VisibleAlpha.UDF.VAData(L$2,$C35,$A35,"consensus.vaactuals","SD","IMPL",$U$4)/1,"n/a")</f>
        <v>8736</v>
      </c>
      <c r="M35" s="418">
        <f ca="1">IFERROR(_xll.VisibleAlpha.UDF.VAData(M$2,$C35,$A35,"consensus.vaactuals","SD","IMPL",$U$4)/1,"n/a")</f>
        <v>9809</v>
      </c>
      <c r="N35" s="418">
        <f ca="1">IFERROR(_xll.VisibleAlpha.UDF.VAData(N$2,$C35,$A35,"consensus.vaactuals","SD","IMPL",$U$4)/1,"n/a")</f>
        <v>182.33099999999999</v>
      </c>
      <c r="O35" s="418">
        <f ca="1">IFERROR(_xll.VisibleAlpha.UDF.VAData(O$2,$C35,$A35,"consensus.vaactuals","SD","IMPL",$U$4)/1,"n/a")</f>
        <v>576</v>
      </c>
      <c r="P35" s="418">
        <f ca="1">IFERROR(_xll.VisibleAlpha.UDF.VAData(P$2,$C35,$A35,"consensus.vaactuals","SD","IMPL",$U$4)/1,"n/a")</f>
        <v>32.588999999999999</v>
      </c>
      <c r="Q35" s="418" t="str">
        <f ca="1">IFERROR(_xll.VisibleAlpha.UDF.VAData(Q$2,$C35,$A35,"consensus.vaactuals","SD","IMPL",$U$4)/1,"n/a")</f>
        <v>n/a</v>
      </c>
      <c r="R35" s="418">
        <f ca="1">IFERROR(_xll.VisibleAlpha.UDF.VAData(R$2,$C35,$A35,"consensus.vaactuals","SD","IMPL",$U$4)/1,"n/a")</f>
        <v>6.4880000000000004</v>
      </c>
      <c r="S35" s="418">
        <f ca="1">IFERROR(_xll.VisibleAlpha.UDF.VAData(S$2,$C35,$A35,"consensus.vaactuals","SD","IMPL",$U$4)/1,"n/a")</f>
        <v>230</v>
      </c>
      <c r="T35" s="418">
        <f ca="1">IFERROR(_xll.VisibleAlpha.UDF.VAData(T$2,$C35,$A35,"consensus.vaactuals","SD","IMPL",$U$4)/1,"n/a")</f>
        <v>2215</v>
      </c>
      <c r="U35" s="418" t="str">
        <f ca="1">IFERROR(_xll.VisibleAlpha.UDF.VAData(U$2,$C35,$A35,"consensus.vaactuals","SD","IMPL",$U$4)/1,"n/a")</f>
        <v>n/a</v>
      </c>
    </row>
    <row r="36" spans="1:21">
      <c r="E36" s="12" t="s">
        <v>217</v>
      </c>
      <c r="G36" s="53">
        <f ca="1">SUM(G33:G35)</f>
        <v>694496.07200000004</v>
      </c>
      <c r="H36" s="53">
        <f t="shared" ref="H36:U36" ca="1" si="4">SUM(H33:H35)</f>
        <v>77913</v>
      </c>
      <c r="I36" s="53">
        <f t="shared" ca="1" si="4"/>
        <v>25762</v>
      </c>
      <c r="J36" s="53">
        <f t="shared" ca="1" si="4"/>
        <v>116344</v>
      </c>
      <c r="K36" s="53">
        <f t="shared" ca="1" si="4"/>
        <v>158172</v>
      </c>
      <c r="L36" s="53">
        <f t="shared" ca="1" si="4"/>
        <v>34284</v>
      </c>
      <c r="M36" s="53">
        <f t="shared" ca="1" si="4"/>
        <v>23015</v>
      </c>
      <c r="N36" s="53">
        <f t="shared" ca="1" si="4"/>
        <v>778.85199999999998</v>
      </c>
      <c r="O36" s="53">
        <f t="shared" ca="1" si="4"/>
        <v>88291</v>
      </c>
      <c r="P36" s="53">
        <f t="shared" ca="1" si="4"/>
        <v>923.93399999999997</v>
      </c>
      <c r="Q36" s="53">
        <f t="shared" ref="Q36" ca="1" si="5">SUM(Q33:Q35)</f>
        <v>0</v>
      </c>
      <c r="R36" s="53">
        <f t="shared" ca="1" si="4"/>
        <v>37.515000000000001</v>
      </c>
      <c r="S36" s="53">
        <f t="shared" ca="1" si="4"/>
        <v>1789</v>
      </c>
      <c r="T36" s="53">
        <f t="shared" ca="1" si="4"/>
        <v>3800</v>
      </c>
      <c r="U36" s="53">
        <f t="shared" ca="1" si="4"/>
        <v>1323</v>
      </c>
    </row>
    <row r="37" spans="1:21">
      <c r="G37" s="14"/>
    </row>
    <row r="38" spans="1:21" s="5" customFormat="1">
      <c r="A38" s="413"/>
      <c r="B38" s="413"/>
      <c r="C38" s="413"/>
      <c r="E38" s="5" t="s">
        <v>547</v>
      </c>
      <c r="G38" s="92">
        <f ca="1">G31-G36</f>
        <v>-151473.59600000037</v>
      </c>
      <c r="H38" s="92">
        <f t="shared" ref="H38:U38" ca="1" si="6">H31-H36</f>
        <v>-16643</v>
      </c>
      <c r="I38" s="92">
        <f t="shared" ca="1" si="6"/>
        <v>-7411</v>
      </c>
      <c r="J38" s="92">
        <f t="shared" ca="1" si="6"/>
        <v>-32153</v>
      </c>
      <c r="K38" s="92">
        <f t="shared" ca="1" si="6"/>
        <v>-73957</v>
      </c>
      <c r="L38" s="92">
        <f t="shared" ca="1" si="6"/>
        <v>-12495</v>
      </c>
      <c r="M38" s="92">
        <f t="shared" ca="1" si="6"/>
        <v>7645</v>
      </c>
      <c r="N38" s="92">
        <f t="shared" ca="1" si="6"/>
        <v>-482.36899999999997</v>
      </c>
      <c r="O38" s="92">
        <f t="shared" ca="1" si="6"/>
        <v>-20592</v>
      </c>
      <c r="P38" s="92">
        <f t="shared" ca="1" si="6"/>
        <v>-273.91999999999996</v>
      </c>
      <c r="Q38" s="92">
        <f t="shared" ca="1" si="6"/>
        <v>0</v>
      </c>
      <c r="R38" s="92">
        <f t="shared" ca="1" si="6"/>
        <v>-4.8079999999999998</v>
      </c>
      <c r="S38" s="92">
        <f t="shared" ca="1" si="6"/>
        <v>-53</v>
      </c>
      <c r="T38" s="92">
        <f t="shared" ca="1" si="6"/>
        <v>-1576</v>
      </c>
      <c r="U38" s="92">
        <f t="shared" ca="1" si="6"/>
        <v>2378</v>
      </c>
    </row>
    <row r="39" spans="1:21">
      <c r="E39" s="9" t="s">
        <v>602</v>
      </c>
      <c r="G39" s="313">
        <f ca="1">G38/G14</f>
        <v>-5.2335000870847408E-2</v>
      </c>
      <c r="H39" s="313">
        <f t="shared" ref="H39:U39" ca="1" si="7">H38/H14</f>
        <v>-4.7548983195149962E-2</v>
      </c>
      <c r="I39" s="313">
        <f t="shared" ca="1" si="7"/>
        <v>-4.5051671732522794E-2</v>
      </c>
      <c r="J39" s="313">
        <f t="shared" ca="1" si="7"/>
        <v>-0.12281418782133062</v>
      </c>
      <c r="K39" s="313">
        <f t="shared" ca="1" si="7"/>
        <v>-0.11592751258309704</v>
      </c>
      <c r="L39" s="313">
        <f t="shared" ca="1" si="7"/>
        <v>-4.8279592743571416E-2</v>
      </c>
      <c r="M39" s="313">
        <f t="shared" ca="1" si="7"/>
        <v>4.7926827739257993E-2</v>
      </c>
      <c r="N39" s="313">
        <f t="shared" ca="1" si="7"/>
        <v>-4.2635254320521933E-2</v>
      </c>
      <c r="O39" s="313">
        <f t="shared" ca="1" si="7"/>
        <v>-3.0238551509945154E-2</v>
      </c>
      <c r="P39" s="313">
        <f t="shared" ca="1" si="7"/>
        <v>-1.7617523261279341E-2</v>
      </c>
      <c r="Q39" s="313" t="e">
        <f t="shared" ca="1" si="7"/>
        <v>#VALUE!</v>
      </c>
      <c r="R39" s="313">
        <f t="shared" ca="1" si="7"/>
        <v>-2.3236931642437363E-2</v>
      </c>
      <c r="S39" s="313">
        <f t="shared" ca="1" si="7"/>
        <v>-6.0585276634659352E-3</v>
      </c>
      <c r="T39" s="313">
        <f t="shared" ca="1" si="7"/>
        <v>-0.1565666600437115</v>
      </c>
      <c r="U39" s="313">
        <f t="shared" ca="1" si="7"/>
        <v>0.29152874831433123</v>
      </c>
    </row>
    <row r="40" spans="1:21">
      <c r="G40" s="53"/>
      <c r="H40" s="53"/>
      <c r="I40" s="53"/>
      <c r="J40" s="53"/>
      <c r="K40" s="53"/>
      <c r="L40" s="53"/>
      <c r="M40" s="53"/>
      <c r="N40" s="53"/>
      <c r="O40" s="53"/>
      <c r="P40" s="53"/>
      <c r="Q40" s="53"/>
      <c r="R40" s="53"/>
      <c r="S40" s="53"/>
      <c r="T40" s="53"/>
      <c r="U40" s="53"/>
    </row>
    <row r="41" spans="1:21">
      <c r="E41" s="25" t="s">
        <v>611</v>
      </c>
      <c r="G41" s="53"/>
      <c r="H41" s="53"/>
      <c r="I41" s="53"/>
      <c r="J41" s="53"/>
      <c r="K41" s="53"/>
      <c r="L41" s="53"/>
      <c r="M41" s="53"/>
      <c r="N41" s="53"/>
      <c r="O41" s="53"/>
      <c r="P41" s="53"/>
      <c r="Q41" s="53"/>
      <c r="R41" s="53"/>
      <c r="S41" s="53"/>
      <c r="T41" s="53"/>
      <c r="U41" s="53"/>
    </row>
    <row r="42" spans="1:21">
      <c r="A42" s="376" t="s">
        <v>566</v>
      </c>
      <c r="B42" s="376" t="s">
        <v>51</v>
      </c>
      <c r="C42" s="39" t="s">
        <v>590</v>
      </c>
      <c r="E42" s="13" t="s">
        <v>603</v>
      </c>
      <c r="F42" s="12"/>
      <c r="G42" s="416">
        <f ca="1">IFERROR(_xll.VisibleAlpha.UDF.VAData(G$2,$C42,$A42,"consensus.vaactuals","SD","IMPL",$U$4)/1,"n/a")</f>
        <v>3105860.057</v>
      </c>
      <c r="H42" s="416">
        <f ca="1">IFERROR(_xll.VisibleAlpha.UDF.VAData(H$2,$C42,$A42,"consensus.vaactuals","SD","IMPL",$U$4)/1,"n/a")</f>
        <v>151155</v>
      </c>
      <c r="I42" s="416">
        <f ca="1">IFERROR(_xll.VisibleAlpha.UDF.VAData(I$2,$C42,$A42,"consensus.vaactuals","SD","IMPL",$U$4)/1,"n/a")</f>
        <v>102959</v>
      </c>
      <c r="J42" s="416">
        <f ca="1">IFERROR(_xll.VisibleAlpha.UDF.VAData(J$2,$C42,$A42,"consensus.vaactuals","SD","IMPL",$U$4)/1,"n/a")</f>
        <v>135591</v>
      </c>
      <c r="K42" s="416">
        <f ca="1">IFERROR(_xll.VisibleAlpha.UDF.VAData(K$2,$C42,$A42,"consensus.vaactuals","SD","IMPL",$U$4)/1,"n/a")</f>
        <v>220717</v>
      </c>
      <c r="L42" s="416">
        <f ca="1">IFERROR(_xll.VisibleAlpha.UDF.VAData(L$2,$C42,$A42,"consensus.vaactuals","SD","IMPL",$U$4)/1,"n/a")</f>
        <v>28062</v>
      </c>
      <c r="M42" s="416">
        <f ca="1">IFERROR(_xll.VisibleAlpha.UDF.VAData(M$2,$C42,$A42,"consensus.vaactuals","SD","IMPL",$U$4)/1,"n/a")</f>
        <v>26640</v>
      </c>
      <c r="N42" s="416">
        <f ca="1">IFERROR(_xll.VisibleAlpha.UDF.VAData(N$2,$C42,$A42,"consensus.vaactuals","SD","IMPL",$U$4)/1,"n/a")</f>
        <v>2265.694</v>
      </c>
      <c r="O42" s="416">
        <f ca="1">IFERROR(_xll.VisibleAlpha.UDF.VAData(O$2,$C42,$A42,"consensus.vaactuals","SD","IMPL",$U$4)/1,"n/a")</f>
        <v>113818</v>
      </c>
      <c r="P42" s="416">
        <f ca="1">IFERROR(_xll.VisibleAlpha.UDF.VAData(P$2,$C42,$A42,"consensus.vaactuals","SD","IMPL",$U$4)/1,"n/a")</f>
        <v>4695.2860000000001</v>
      </c>
      <c r="Q42" s="416" t="str">
        <f ca="1">IFERROR(_xll.VisibleAlpha.UDF.VAData(Q$2,$C42,$A42,"consensus.vaactuals","SD","IMPL",$U$4)/1,"n/a")</f>
        <v>n/a</v>
      </c>
      <c r="R42" s="416">
        <f ca="1">IFERROR(_xll.VisibleAlpha.UDF.VAData(R$2,$C42,$A42,"consensus.vaactuals","SD","IMPL",$U$4)/1,"n/a")</f>
        <v>36.36</v>
      </c>
      <c r="S42" s="416">
        <f ca="1">IFERROR(_xll.VisibleAlpha.UDF.VAData(S$2,$C42,$A42,"consensus.vaactuals","SD","IMPL",$U$4)/1,"n/a")</f>
        <v>18614</v>
      </c>
      <c r="T42" s="416">
        <f ca="1">IFERROR(_xll.VisibleAlpha.UDF.VAData(T$2,$C42,$A42,"consensus.vaactuals","SD","IMPL",$U$4)/1,"n/a")</f>
        <v>210</v>
      </c>
      <c r="U42" s="416">
        <f ca="1">IFERROR(_xll.VisibleAlpha.UDF.VAData(U$2,$C42,$A42,"consensus.vaactuals","SD","IMPL",$U$4)/1,"n/a")</f>
        <v>1431</v>
      </c>
    </row>
    <row r="43" spans="1:21">
      <c r="A43" s="376" t="s">
        <v>569</v>
      </c>
      <c r="B43" s="376" t="s">
        <v>51</v>
      </c>
      <c r="C43" s="39" t="s">
        <v>590</v>
      </c>
      <c r="E43" s="13" t="s">
        <v>604</v>
      </c>
      <c r="F43" s="12"/>
      <c r="G43" s="410">
        <v>40136.864000000001</v>
      </c>
      <c r="H43" s="416" t="str">
        <f ca="1">IFERROR(_xll.VisibleAlpha.UDF.VAData(H$2,$C43,$A43,"consensus.vaactuals","SD","IMPL",$U$4)/1,"n/a")</f>
        <v>n/a</v>
      </c>
      <c r="I43" s="416">
        <f ca="1">IFERROR(_xll.VisibleAlpha.UDF.VAData(I$2,$C43,$A43,"consensus.vaactuals","SD","IMPL",$U$4)/1,"n/a")</f>
        <v>14058</v>
      </c>
      <c r="J43" s="416">
        <f ca="1">IFERROR(_xll.VisibleAlpha.UDF.VAData(J$2,$C43,$A43,"consensus.vaactuals","SD","IMPL",$U$4)/1,"n/a")</f>
        <v>18961</v>
      </c>
      <c r="K43" s="416">
        <f ca="1">IFERROR(_xll.VisibleAlpha.UDF.VAData(K$2,$C43,$A43,"consensus.vaactuals","SD","IMPL",$U$4)/1,"n/a")</f>
        <v>74575</v>
      </c>
      <c r="L43" s="416">
        <f ca="1">IFERROR(_xll.VisibleAlpha.UDF.VAData(L$2,$C43,$A43,"consensus.vaactuals","SD","IMPL",$U$4)/1,"n/a")</f>
        <v>2643</v>
      </c>
      <c r="M43" s="416">
        <f ca="1">IFERROR(_xll.VisibleAlpha.UDF.VAData(M$2,$C43,$A43,"consensus.vaactuals","SD","IMPL",$U$4)/1,"n/a")</f>
        <v>8613</v>
      </c>
      <c r="N43" s="416">
        <f ca="1">IFERROR(_xll.VisibleAlpha.UDF.VAData(N$2,$C43,$A43,"consensus.vaactuals","SD","IMPL",$U$4)/1,"n/a")</f>
        <v>3770.9969999999998</v>
      </c>
      <c r="O43" s="416">
        <f ca="1">IFERROR(_xll.VisibleAlpha.UDF.VAData(O$2,$C43,$A43,"consensus.vaactuals","SD","IMPL",$U$4)/1,"n/a")</f>
        <v>19920</v>
      </c>
      <c r="P43" s="416" t="str">
        <f ca="1">IFERROR(_xll.VisibleAlpha.UDF.VAData(P$2,$C43,$A43,"consensus.vaactuals","SD","IMPL",$U$4)/1,"n/a")</f>
        <v>n/a</v>
      </c>
      <c r="Q43" s="416" t="str">
        <f ca="1">IFERROR(_xll.VisibleAlpha.UDF.VAData(Q$2,$C43,$A43,"consensus.vaactuals","SD","IMPL",$U$4)/1,"n/a")</f>
        <v>n/a</v>
      </c>
      <c r="R43" s="416" t="str">
        <f ca="1">IFERROR(_xll.VisibleAlpha.UDF.VAData(R$2,$C43,$A43,"consensus.vaactuals","SD","IMPL",$U$4)/1,"n/a")</f>
        <v>n/a</v>
      </c>
      <c r="S43" s="416">
        <f ca="1">IFERROR(_xll.VisibleAlpha.UDF.VAData(S$2,$C43,$A43,"consensus.vaactuals","SD","IMPL",$U$4)/1,"n/a")</f>
        <v>1379</v>
      </c>
      <c r="T43" s="416">
        <f ca="1">IFERROR(_xll.VisibleAlpha.UDF.VAData(T$2,$C43,$A43,"consensus.vaactuals","SD","IMPL",$U$4)/1,"n/a")</f>
        <v>315</v>
      </c>
      <c r="U43" s="416" t="str">
        <f ca="1">IFERROR(_xll.VisibleAlpha.UDF.VAData(U$2,$C43,$A43,"consensus.vaactuals","SD","IMPL",$U$4)/1,"n/a")</f>
        <v>n/a</v>
      </c>
    </row>
    <row r="44" spans="1:21">
      <c r="A44" s="376" t="s">
        <v>570</v>
      </c>
      <c r="B44" s="376" t="s">
        <v>51</v>
      </c>
      <c r="C44" s="39" t="s">
        <v>590</v>
      </c>
      <c r="E44" s="13" t="s">
        <v>632</v>
      </c>
      <c r="F44" s="12"/>
      <c r="G44" s="410">
        <v>22239</v>
      </c>
      <c r="H44" s="416">
        <f ca="1">IFERROR(_xll.VisibleAlpha.UDF.VAData(H$2,$C44,$A44,"consensus.vaactuals","SD","IMPL",$U$4)/1,"n/a")</f>
        <v>29185</v>
      </c>
      <c r="I44" s="416">
        <f ca="1">IFERROR(_xll.VisibleAlpha.UDF.VAData(I$2,$C44,$A44,"consensus.vaactuals","SD","IMPL",$U$4)/1,"n/a")</f>
        <v>20654</v>
      </c>
      <c r="J44" s="416">
        <f ca="1">IFERROR(_xll.VisibleAlpha.UDF.VAData(J$2,$C44,$A44,"consensus.vaactuals","SD","IMPL",$U$4)/1,"n/a")</f>
        <v>146817</v>
      </c>
      <c r="K44" s="416">
        <f ca="1">IFERROR(_xll.VisibleAlpha.UDF.VAData(K$2,$C44,$A44,"consensus.vaactuals","SD","IMPL",$U$4)/1,"n/a")</f>
        <v>22879</v>
      </c>
      <c r="L44" s="416" t="str">
        <f ca="1">IFERROR(_xll.VisibleAlpha.UDF.VAData(L$2,$C44,$A44,"consensus.vaactuals","SD","IMPL",$U$4)/1,"n/a")</f>
        <v>n/a</v>
      </c>
      <c r="M44" s="416">
        <f ca="1">IFERROR(_xll.VisibleAlpha.UDF.VAData(M$2,$C44,$A44,"consensus.vaactuals","SD","IMPL",$U$4)/1,"n/a")</f>
        <v>19414</v>
      </c>
      <c r="N44" s="416">
        <f ca="1">IFERROR(_xll.VisibleAlpha.UDF.VAData(N$2,$C44,$A44,"consensus.vaactuals","SD","IMPL",$U$4)/1,"n/a")</f>
        <v>21.939</v>
      </c>
      <c r="O44" s="416">
        <f ca="1">IFERROR(_xll.VisibleAlpha.UDF.VAData(O$2,$C44,$A44,"consensus.vaactuals","SD","IMPL",$U$4)/1,"n/a")</f>
        <v>27930</v>
      </c>
      <c r="P44" s="416">
        <f ca="1">IFERROR(_xll.VisibleAlpha.UDF.VAData(P$2,$C44,$A44,"consensus.vaactuals","SD","IMPL",$U$4)/1,"n/a")</f>
        <v>846.13699999999994</v>
      </c>
      <c r="Q44" s="416" t="str">
        <f ca="1">IFERROR(_xll.VisibleAlpha.UDF.VAData(Q$2,$C44,$A44,"consensus.vaactuals","SD","IMPL",$U$4)/1,"n/a")</f>
        <v>n/a</v>
      </c>
      <c r="R44" s="416">
        <f ca="1">IFERROR(_xll.VisibleAlpha.UDF.VAData(R$2,$C44,$A44,"consensus.vaactuals","SD","IMPL",$U$4)/1,"n/a")</f>
        <v>48.667999999999999</v>
      </c>
      <c r="S44" s="416">
        <f ca="1">IFERROR(_xll.VisibleAlpha.UDF.VAData(S$2,$C44,$A44,"consensus.vaactuals","SD","IMPL",$U$4)/1,"n/a")</f>
        <v>7195</v>
      </c>
      <c r="T44" s="416">
        <f ca="1">IFERROR(_xll.VisibleAlpha.UDF.VAData(T$2,$C44,$A44,"consensus.vaactuals","SD","IMPL",$U$4)/1,"n/a")</f>
        <v>6992</v>
      </c>
      <c r="U44" s="416">
        <f ca="1">IFERROR(_xll.VisibleAlpha.UDF.VAData(U$2,$C44,$A44,"consensus.vaactuals","SD","IMPL",$U$4)/1,"n/a")</f>
        <v>13336</v>
      </c>
    </row>
    <row r="45" spans="1:21" ht="13.5">
      <c r="A45" s="376" t="s">
        <v>567</v>
      </c>
      <c r="B45" s="376" t="s">
        <v>51</v>
      </c>
      <c r="C45" s="39" t="s">
        <v>590</v>
      </c>
      <c r="E45" s="13" t="s">
        <v>542</v>
      </c>
      <c r="F45" s="12"/>
      <c r="G45" s="59">
        <f>'Historical Financials'!U405*1000-G43-G44</f>
        <v>82250.135999999999</v>
      </c>
      <c r="H45" s="418">
        <f ca="1">IFERROR(_xll.VisibleAlpha.UDF.VAData(H$2,$C45,$A45,"consensus.vaactuals","SD","IMPL",$U$4)/1,"n/a")</f>
        <v>38263</v>
      </c>
      <c r="I45" s="418">
        <f ca="1">IFERROR(_xll.VisibleAlpha.UDF.VAData(I$2,$C45,$A45,"consensus.vaactuals","SD","IMPL",$U$4)/1,"n/a")</f>
        <v>9929</v>
      </c>
      <c r="J45" s="418">
        <f ca="1">IFERROR(_xll.VisibleAlpha.UDF.VAData(J$2,$C45,$A45,"consensus.vaactuals","SD","IMPL",$U$4)/1,"n/a")</f>
        <v>36460</v>
      </c>
      <c r="K45" s="418">
        <f ca="1">IFERROR(_xll.VisibleAlpha.UDF.VAData(K$2,$C45,$A45,"consensus.vaactuals","SD","IMPL",$U$4)/1,"n/a")</f>
        <v>63340</v>
      </c>
      <c r="L45" s="418">
        <f ca="1">IFERROR(_xll.VisibleAlpha.UDF.VAData(L$2,$C45,$A45,"consensus.vaactuals","SD","IMPL",$U$4)/1,"n/a")</f>
        <v>3918</v>
      </c>
      <c r="M45" s="418">
        <f ca="1">IFERROR(_xll.VisibleAlpha.UDF.VAData(M$2,$C45,$A45,"consensus.vaactuals","SD","IMPL",$U$4)/1,"n/a")</f>
        <v>9906</v>
      </c>
      <c r="N45" s="418">
        <f ca="1">IFERROR(_xll.VisibleAlpha.UDF.VAData(N$2,$C45,$A45,"consensus.vaactuals","SD","IMPL",$U$4)/1,"n/a")</f>
        <v>102.26300000000001</v>
      </c>
      <c r="O45" s="418">
        <f ca="1">IFERROR(_xll.VisibleAlpha.UDF.VAData(O$2,$C45,$A45,"consensus.vaactuals","SD","IMPL",$U$4)/1,"n/a")</f>
        <v>16262</v>
      </c>
      <c r="P45" s="418" t="str">
        <f ca="1">IFERROR(_xll.VisibleAlpha.UDF.VAData(P$2,$C45,$A45,"consensus.vaactuals","SD","IMPL",$U$4)/1,"n/a")</f>
        <v>n/a</v>
      </c>
      <c r="Q45" s="418" t="str">
        <f ca="1">IFERROR(_xll.VisibleAlpha.UDF.VAData(Q$2,$C45,$A45,"consensus.vaactuals","SD","IMPL",$U$4)/1,"n/a")</f>
        <v>n/a</v>
      </c>
      <c r="R45" s="418">
        <f ca="1">IFERROR(_xll.VisibleAlpha.UDF.VAData(R$2,$C45,$A45,"consensus.vaactuals","SD","IMPL",$U$4)/1,"n/a")</f>
        <v>21.085999999999999</v>
      </c>
      <c r="S45" s="418">
        <f ca="1">IFERROR(_xll.VisibleAlpha.UDF.VAData(S$2,$C45,$A45,"consensus.vaactuals","SD","IMPL",$U$4)/1,"n/a")</f>
        <v>1937</v>
      </c>
      <c r="T45" s="418">
        <f ca="1">IFERROR(_xll.VisibleAlpha.UDF.VAData(T$2,$C45,$A45,"consensus.vaactuals","SD","IMPL",$U$4)/1,"n/a")</f>
        <v>503</v>
      </c>
      <c r="U45" s="418" t="str">
        <f ca="1">IFERROR(_xll.VisibleAlpha.UDF.VAData(U$2,$C45,$A45,"consensus.vaactuals","SD","IMPL",$U$4)/1,"n/a")</f>
        <v>n/a</v>
      </c>
    </row>
    <row r="46" spans="1:21" s="5" customFormat="1">
      <c r="A46" s="432"/>
      <c r="B46" s="432"/>
      <c r="C46" s="433"/>
      <c r="E46" s="60" t="s">
        <v>631</v>
      </c>
      <c r="F46" s="60"/>
      <c r="G46" s="92">
        <f ca="1">SUM(G42:G45)</f>
        <v>3250486.057</v>
      </c>
      <c r="H46" s="92">
        <f t="shared" ref="H46:U46" ca="1" si="8">SUM(H42:H45)</f>
        <v>218603</v>
      </c>
      <c r="I46" s="92">
        <f t="shared" ca="1" si="8"/>
        <v>147600</v>
      </c>
      <c r="J46" s="92">
        <f t="shared" ca="1" si="8"/>
        <v>337829</v>
      </c>
      <c r="K46" s="92">
        <f t="shared" ca="1" si="8"/>
        <v>381511</v>
      </c>
      <c r="L46" s="92">
        <f t="shared" ca="1" si="8"/>
        <v>34623</v>
      </c>
      <c r="M46" s="92">
        <f t="shared" ca="1" si="8"/>
        <v>64573</v>
      </c>
      <c r="N46" s="92">
        <f t="shared" ca="1" si="8"/>
        <v>6160.893</v>
      </c>
      <c r="O46" s="92">
        <f t="shared" ca="1" si="8"/>
        <v>177930</v>
      </c>
      <c r="P46" s="92">
        <f t="shared" ca="1" si="8"/>
        <v>5541.4229999999998</v>
      </c>
      <c r="Q46" s="92">
        <f t="shared" ref="Q46" ca="1" si="9">SUM(Q42:Q45)</f>
        <v>0</v>
      </c>
      <c r="R46" s="92">
        <f t="shared" ca="1" si="8"/>
        <v>106.11399999999999</v>
      </c>
      <c r="S46" s="92">
        <f t="shared" ca="1" si="8"/>
        <v>29125</v>
      </c>
      <c r="T46" s="92">
        <f t="shared" ca="1" si="8"/>
        <v>8020</v>
      </c>
      <c r="U46" s="92">
        <f t="shared" ca="1" si="8"/>
        <v>14767</v>
      </c>
    </row>
    <row r="47" spans="1:21">
      <c r="A47" s="376" t="s">
        <v>535</v>
      </c>
      <c r="B47" s="376" t="s">
        <v>623</v>
      </c>
      <c r="C47" s="39" t="s">
        <v>590</v>
      </c>
      <c r="E47" s="41" t="s">
        <v>610</v>
      </c>
      <c r="F47" s="9"/>
      <c r="G47" s="491">
        <v>5796.4</v>
      </c>
      <c r="H47" s="428">
        <f ca="1">IFERROR(_xll.VisibleAlpha.UDF.VAData(H$2,$C47,$A47,"consensus.vaactuals","CD","IMPL",$U$4)/1,"n/a")</f>
        <v>29185</v>
      </c>
      <c r="I47" s="428">
        <f ca="1">IFERROR(_xll.VisibleAlpha.UDF.VAData(I$2,$C47,$A47,"consensus.vaactuals","CD","IMPL",$U$4)/1,"n/a")</f>
        <v>20654</v>
      </c>
      <c r="J47" s="428">
        <f ca="1">IFERROR(_xll.VisibleAlpha.UDF.VAData(J$2,$C47,$A47,"consensus.vaactuals","CD","IMPL",$U$4)/1,"n/a")</f>
        <v>119220</v>
      </c>
      <c r="K47" s="428">
        <f ca="1">IFERROR(_xll.VisibleAlpha.UDF.VAData(K$2,$C47,$A47,"consensus.vaactuals","CD","IMPL",$U$4)/1,"n/a")</f>
        <v>22879</v>
      </c>
      <c r="L47" s="428">
        <f ca="1">IFERROR(_xll.VisibleAlpha.UDF.VAData(L$2,$C47,$A47,"consensus.vaactuals","CD","IMPL",$U$4)/1,"n/a")</f>
        <v>2643</v>
      </c>
      <c r="M47" s="428">
        <f ca="1">IFERROR(_xll.VisibleAlpha.UDF.VAData(M$2,$C47,$A47,"consensus.vaactuals","CD","IMPL",$U$4)/1,"n/a")</f>
        <v>19414</v>
      </c>
      <c r="N47" s="428">
        <f ca="1">IFERROR(_xll.VisibleAlpha.UDF.VAData(N$2,$C47,$A47,"consensus.vaactuals","CD","IMPL",$U$4)/1,"n/a")</f>
        <v>21.939</v>
      </c>
      <c r="O47" s="428">
        <f ca="1">IFERROR(_xll.VisibleAlpha.UDF.VAData(O$2,$C47,$A47,"consensus.vaactuals","CD","IMPL",$U$4)/1,"n/a")</f>
        <v>27930</v>
      </c>
      <c r="P47" s="428">
        <f ca="1">IFERROR(_xll.VisibleAlpha.UDF.VAData(P$2,$C47,$A47,"consensus.vaactuals","CD","IMPL",$U$4)/1,"n/a")</f>
        <v>652.82299999999998</v>
      </c>
      <c r="Q47" s="428" t="str">
        <f ca="1">IFERROR(_xll.VisibleAlpha.UDF.VAData(Q$2,$C47,$A47,"consensus.vaactuals","CD","IMPL",$U$4)/1,"n/a")</f>
        <v>n/a</v>
      </c>
      <c r="R47" s="428">
        <f ca="1">IFERROR(_xll.VisibleAlpha.UDF.VAData(R$2,$C47,$A47,"consensus.vaactuals","CD","IMPL",$U$4)/1,"n/a")</f>
        <v>21.838999999999999</v>
      </c>
      <c r="S47" s="428">
        <f ca="1">IFERROR(_xll.VisibleAlpha.UDF.VAData(S$2,$C47,$A47,"consensus.vaactuals","CD","IMPL",$U$4)/1,"n/a")</f>
        <v>5622</v>
      </c>
      <c r="T47" s="428" t="str">
        <f ca="1">IFERROR(_xll.VisibleAlpha.UDF.VAData(T$2,$C47,$A47,"consensus.vaactuals","CD","IMPL",$U$4)/1,"n/a")</f>
        <v>n/a</v>
      </c>
      <c r="U47" s="428">
        <f ca="1">IFERROR(_xll.VisibleAlpha.UDF.VAData(U$2,$C47,$A47,"consensus.vaactuals","CD","IMPL",$U$4)/1,"n/a")</f>
        <v>10018</v>
      </c>
    </row>
    <row r="48" spans="1:21">
      <c r="A48" s="376"/>
      <c r="B48" s="376"/>
      <c r="C48" s="39"/>
      <c r="E48" s="13"/>
      <c r="F48" s="12"/>
      <c r="G48" s="49"/>
      <c r="H48" s="416"/>
      <c r="I48" s="416"/>
      <c r="J48" s="416"/>
      <c r="K48" s="416"/>
      <c r="L48" s="416"/>
      <c r="M48" s="416"/>
      <c r="N48" s="416"/>
      <c r="O48" s="416"/>
      <c r="P48" s="416"/>
      <c r="Q48" s="416"/>
      <c r="R48" s="416"/>
      <c r="S48" s="416"/>
      <c r="T48" s="416"/>
      <c r="U48" s="416"/>
    </row>
    <row r="49" spans="1:24">
      <c r="E49" s="415" t="s">
        <v>537</v>
      </c>
      <c r="F49" s="147"/>
      <c r="G49" s="149">
        <f ca="1">G38+G46</f>
        <v>3099012.4609999997</v>
      </c>
      <c r="H49" s="149">
        <f t="shared" ref="H49:U49" ca="1" si="10">H38+H46</f>
        <v>201960</v>
      </c>
      <c r="I49" s="149">
        <f t="shared" ca="1" si="10"/>
        <v>140189</v>
      </c>
      <c r="J49" s="149">
        <f t="shared" ca="1" si="10"/>
        <v>305676</v>
      </c>
      <c r="K49" s="149">
        <f t="shared" ca="1" si="10"/>
        <v>307554</v>
      </c>
      <c r="L49" s="149">
        <f t="shared" ca="1" si="10"/>
        <v>22128</v>
      </c>
      <c r="M49" s="149">
        <f t="shared" ca="1" si="10"/>
        <v>72218</v>
      </c>
      <c r="N49" s="149">
        <f t="shared" ca="1" si="10"/>
        <v>5678.5240000000003</v>
      </c>
      <c r="O49" s="149">
        <f t="shared" ca="1" si="10"/>
        <v>157338</v>
      </c>
      <c r="P49" s="149">
        <f t="shared" ca="1" si="10"/>
        <v>5267.5029999999997</v>
      </c>
      <c r="Q49" s="149">
        <f t="shared" ca="1" si="10"/>
        <v>0</v>
      </c>
      <c r="R49" s="149">
        <f t="shared" ca="1" si="10"/>
        <v>101.30599999999998</v>
      </c>
      <c r="S49" s="149">
        <f t="shared" ca="1" si="10"/>
        <v>29072</v>
      </c>
      <c r="T49" s="149">
        <f t="shared" ca="1" si="10"/>
        <v>6444</v>
      </c>
      <c r="U49" s="149">
        <f t="shared" ca="1" si="10"/>
        <v>17145</v>
      </c>
    </row>
    <row r="50" spans="1:24">
      <c r="E50" s="48"/>
      <c r="F50" s="5"/>
      <c r="G50" s="44"/>
      <c r="H50" s="44"/>
      <c r="I50" s="44"/>
      <c r="J50" s="44"/>
      <c r="K50" s="44"/>
      <c r="L50" s="44"/>
      <c r="M50" s="44"/>
      <c r="N50" s="44"/>
      <c r="O50" s="44"/>
      <c r="P50" s="44"/>
      <c r="Q50" s="44"/>
      <c r="R50" s="44"/>
      <c r="S50" s="44"/>
      <c r="T50" s="44"/>
      <c r="U50" s="44"/>
    </row>
    <row r="51" spans="1:24">
      <c r="E51" s="32" t="s">
        <v>35</v>
      </c>
      <c r="F51" s="5"/>
      <c r="G51" s="44"/>
      <c r="H51" s="44"/>
      <c r="I51" s="44"/>
      <c r="J51" s="44"/>
      <c r="K51" s="44"/>
      <c r="L51" s="44"/>
      <c r="M51" s="44"/>
      <c r="N51" s="44"/>
      <c r="O51" s="44"/>
      <c r="P51" s="44"/>
      <c r="Q51" s="44"/>
      <c r="R51" s="44"/>
      <c r="S51" s="44"/>
      <c r="T51" s="44"/>
      <c r="U51" s="44"/>
    </row>
    <row r="52" spans="1:24" ht="13.5">
      <c r="A52" s="6" t="s">
        <v>941</v>
      </c>
      <c r="B52" s="602" t="s">
        <v>944</v>
      </c>
      <c r="C52" s="602" t="s">
        <v>942</v>
      </c>
      <c r="E52" s="9" t="s">
        <v>937</v>
      </c>
      <c r="F52" s="5"/>
      <c r="G52" s="600">
        <f>IFERROR(-IF(_xlfn.SINGLE(_xll.ciqfunctions.udf.CIQ(G$1, $A52, $C52, , , , "REPORTED"))=0,_xlfn.SINGLE(_xll.ciqfunctions.udf.CIQ(G$1, $A52, $B52, , , , "REPORTED")),_xlfn.SINGLE(_xll.ciqfunctions.udf.CIQ(G$1, $A52, $C52, , , , "REPORTED"))),"n/a")</f>
        <v>4945640.1449999996</v>
      </c>
      <c r="H52" s="600">
        <f>IFERROR(-IF(_xlfn.SINGLE(_xll.ciqfunctions.udf.CIQ(H$1, $A52, $C52, , , , "REPORTED"))=0,_xlfn.SINGLE(_xll.ciqfunctions.udf.CIQ(H$1, $A52, $B52, , , , "REPORTED")),_xlfn.SINGLE(_xll.ciqfunctions.udf.CIQ(H$1, $A52, $C52, , , , "REPORTED"))),"n/a")</f>
        <v>83778</v>
      </c>
      <c r="I52" s="600">
        <f>IFERROR(-IF(_xlfn.SINGLE(_xll.ciqfunctions.udf.CIQ(I$1, $A52, $C52, , , , "REPORTED"))=0,_xlfn.SINGLE(_xll.ciqfunctions.udf.CIQ(I$1, $A52, $B52, , , , "REPORTED")),_xlfn.SINGLE(_xll.ciqfunctions.udf.CIQ(I$1, $A52, $C52, , , , "REPORTED"))),"n/a")</f>
        <v>46539</v>
      </c>
      <c r="J52" s="600">
        <f>IFERROR(-IF(_xlfn.SINGLE(_xll.ciqfunctions.udf.CIQ(J$1, $A52, $C52, , , , "REPORTED"))=0,_xlfn.SINGLE(_xll.ciqfunctions.udf.CIQ(J$1, $A52, $B52, , , , "REPORTED")),_xlfn.SINGLE(_xll.ciqfunctions.udf.CIQ(J$1, $A52, $C52, , , , "REPORTED"))),"n/a")</f>
        <v>87074</v>
      </c>
      <c r="K52" s="600">
        <f>IFERROR(-IF(_xlfn.SINGLE(_xll.ciqfunctions.udf.CIQ(K$1, $A52, $C52, , , , "REPORTED"))=0,_xlfn.SINGLE(_xll.ciqfunctions.udf.CIQ(K$1, $A52, $B52, , , , "REPORTED")),_xlfn.SINGLE(_xll.ciqfunctions.udf.CIQ(K$1, $A52, $C52, , , , "REPORTED"))),"n/a")</f>
        <v>141390</v>
      </c>
      <c r="L52" s="600">
        <f>IFERROR(-IF(_xlfn.SINGLE(_xll.ciqfunctions.udf.CIQ(L$1, $A52, $C52, , , , "REPORTED"))=0,_xlfn.SINGLE(_xll.ciqfunctions.udf.CIQ(L$1, $A52, $B52, , , , "REPORTED")),_xlfn.SINGLE(_xll.ciqfunctions.udf.CIQ(L$1, $A52, $C52, , , , "REPORTED"))),"n/a")</f>
        <v>17918</v>
      </c>
      <c r="M52" s="600">
        <f>IFERROR(-IF(_xlfn.SINGLE(_xll.ciqfunctions.udf.CIQ(M$1, $A52, $C52, , , , "REPORTED"))=0,_xlfn.SINGLE(_xll.ciqfunctions.udf.CIQ(M$1, $A52, $B52, , , , "REPORTED")),_xlfn.SINGLE(_xll.ciqfunctions.udf.CIQ(M$1, $A52, $C52, , , , "REPORTED"))),"n/a")</f>
        <v>29081</v>
      </c>
      <c r="N52" s="600">
        <f>IFERROR(-IF(_xlfn.SINGLE(_xll.ciqfunctions.udf.CIQ(N$1, $A52, $C52, , , , "REPORTED"))=0,_xlfn.SINGLE(_xll.ciqfunctions.udf.CIQ(N$1, $A52, $B52, , , , "REPORTED")),_xlfn.SINGLE(_xll.ciqfunctions.udf.CIQ(N$1, $A52, $C52, , , , "REPORTED"))),"n/a")</f>
        <v>2249.3009999999999</v>
      </c>
      <c r="O52" s="600">
        <f>IFERROR(-IF(_xlfn.SINGLE(_xll.ciqfunctions.udf.CIQ(O$1, $A52, $C52, , , , "REPORTED"))=0,_xlfn.SINGLE(_xll.ciqfunctions.udf.CIQ(O$1, $A52, $B52, , , , "REPORTED")),_xlfn.SINGLE(_xll.ciqfunctions.udf.CIQ(O$1, $A52, $C52, , , , "REPORTED"))),"n/a")</f>
        <v>125169</v>
      </c>
      <c r="P52" s="600">
        <f>IFERROR(-IF(_xlfn.SINGLE(_xll.ciqfunctions.udf.CIQ(P$1, $A52, $C52, , , , "REPORTED"))=0,_xlfn.SINGLE(_xll.ciqfunctions.udf.CIQ(P$1, $A52, $B52, , , , "REPORTED")),_xlfn.SINGLE(_xll.ciqfunctions.udf.CIQ(P$1, $A52, $C52, , , , "REPORTED"))),"n/a")</f>
        <v>3062.91</v>
      </c>
      <c r="Q52" s="600">
        <f>IFERROR(-IF(_xlfn.SINGLE(_xll.ciqfunctions.udf.CIQ(Q$1, $A52, $C52, , , , "REPORTED"))=0,_xlfn.SINGLE(_xll.ciqfunctions.udf.CIQ(Q$1, $A52, $B52, , , , "REPORTED")),_xlfn.SINGLE(_xll.ciqfunctions.udf.CIQ(Q$1, $A52, $C52, , , , "REPORTED"))),"n/a")</f>
        <v>384.67200000000003</v>
      </c>
      <c r="R52" s="600">
        <f>IFERROR(-IF(_xlfn.SINGLE(_xll.ciqfunctions.udf.CIQ(R$1, $A52, $C52, , , , "REPORTED"))=0,_xlfn.SINGLE(_xll.ciqfunctions.udf.CIQ(R$1, $A52, $B52, , , , "REPORTED")),_xlfn.SINGLE(_xll.ciqfunctions.udf.CIQ(R$1, $A52, $C52, , , , "REPORTED"))),"n/a")</f>
        <v>85.254000000000005</v>
      </c>
      <c r="S52" s="600">
        <f>IFERROR(-IF(_xlfn.SINGLE(_xll.ciqfunctions.udf.CIQ(S$1, $A52, $C52, , , , "REPORTED"))=0,_xlfn.SINGLE(_xll.ciqfunctions.udf.CIQ(S$1, $A52, $B52, , , , "REPORTED")),_xlfn.SINGLE(_xll.ciqfunctions.udf.CIQ(S$1, $A52, $C52, , , , "REPORTED"))),"n/a")</f>
        <v>11474</v>
      </c>
      <c r="T52" s="600">
        <f>IFERROR(-IF(_xlfn.SINGLE(_xll.ciqfunctions.udf.CIQ(T$1, $A52, $C52, , , , "REPORTED"))=0,_xlfn.SINGLE(_xll.ciqfunctions.udf.CIQ(T$1, $A52, $B52, , , , "REPORTED")),_xlfn.SINGLE(_xll.ciqfunctions.udf.CIQ(T$1, $A52, $C52, , , , "REPORTED"))),"n/a")</f>
        <v>575</v>
      </c>
      <c r="U52" s="600">
        <f>IFERROR(-IF(_xlfn.SINGLE(_xll.ciqfunctions.udf.CIQ(U$1, $A52, $C52, , , , "REPORTED"))=0,_xlfn.SINGLE(_xll.ciqfunctions.udf.CIQ(U$1, $A52, $B52, , , , "REPORTED")),_xlfn.SINGLE(_xll.ciqfunctions.udf.CIQ(U$1, $A52, $C52, , , , "REPORTED"))),"n/a")</f>
        <v>1017</v>
      </c>
      <c r="W52" s="2">
        <f>_xll.ciqfunctions.udf.CIQ(G$1, $A52, $B52, , , , "REPORTED")</f>
        <v>-4775331.3119999999</v>
      </c>
      <c r="X52" s="2">
        <f>_xll.ciqfunctions.udf.CIQ(I$1, $A52, $C52, , , , "REPORTED")</f>
        <v>-46539</v>
      </c>
    </row>
    <row r="53" spans="1:24">
      <c r="E53" s="41" t="s">
        <v>938</v>
      </c>
      <c r="F53" s="5"/>
      <c r="G53" s="601">
        <f ca="1">+IFERROR(G49+G52,"n/a")</f>
        <v>8044652.6059999987</v>
      </c>
      <c r="H53" s="601">
        <f ca="1">+IFERROR(H49+H52,"n/a")</f>
        <v>285738</v>
      </c>
      <c r="I53" s="601">
        <f t="shared" ref="I53:U53" ca="1" si="11">+IFERROR(I49+I52,"n/a")</f>
        <v>186728</v>
      </c>
      <c r="J53" s="601">
        <f t="shared" ca="1" si="11"/>
        <v>392750</v>
      </c>
      <c r="K53" s="601">
        <f t="shared" ca="1" si="11"/>
        <v>448944</v>
      </c>
      <c r="L53" s="601">
        <f t="shared" ca="1" si="11"/>
        <v>40046</v>
      </c>
      <c r="M53" s="601">
        <f t="shared" ca="1" si="11"/>
        <v>101299</v>
      </c>
      <c r="N53" s="601">
        <f t="shared" ca="1" si="11"/>
        <v>7927.8250000000007</v>
      </c>
      <c r="O53" s="601">
        <f t="shared" ca="1" si="11"/>
        <v>282507</v>
      </c>
      <c r="P53" s="601">
        <f t="shared" ca="1" si="11"/>
        <v>8330.4130000000005</v>
      </c>
      <c r="Q53" s="601">
        <f t="shared" ca="1" si="11"/>
        <v>384.67200000000003</v>
      </c>
      <c r="R53" s="601">
        <f t="shared" ca="1" si="11"/>
        <v>186.56</v>
      </c>
      <c r="S53" s="601">
        <f t="shared" ca="1" si="11"/>
        <v>40546</v>
      </c>
      <c r="T53" s="601">
        <f t="shared" ca="1" si="11"/>
        <v>7019</v>
      </c>
      <c r="U53" s="601">
        <f t="shared" ca="1" si="11"/>
        <v>18162</v>
      </c>
    </row>
    <row r="54" spans="1:24">
      <c r="E54" s="48"/>
      <c r="F54" s="5"/>
      <c r="G54" s="44"/>
      <c r="H54" s="44"/>
      <c r="I54" s="44"/>
      <c r="J54" s="44"/>
      <c r="K54" s="44"/>
      <c r="L54" s="44"/>
      <c r="M54" s="44"/>
      <c r="N54" s="44"/>
      <c r="O54" s="44"/>
      <c r="P54" s="44"/>
      <c r="Q54" s="44"/>
      <c r="R54" s="44"/>
      <c r="S54" s="44"/>
      <c r="T54" s="44"/>
      <c r="U54" s="44"/>
    </row>
    <row r="55" spans="1:24">
      <c r="E55" s="425" t="s">
        <v>546</v>
      </c>
      <c r="F55" s="423"/>
      <c r="G55" s="424">
        <f t="shared" ref="G55:U55" ca="1" si="12">G19/G49</f>
        <v>0.42660462538875871</v>
      </c>
      <c r="H55" s="424">
        <f t="shared" ca="1" si="12"/>
        <v>0.55649633590810066</v>
      </c>
      <c r="I55" s="424">
        <f t="shared" ca="1" si="12"/>
        <v>0.49490330910413799</v>
      </c>
      <c r="J55" s="424">
        <f t="shared" ca="1" si="12"/>
        <v>0.38508420680720762</v>
      </c>
      <c r="K55" s="424">
        <f t="shared" ca="1" si="12"/>
        <v>0.22302750086163731</v>
      </c>
      <c r="L55" s="424">
        <f t="shared" ca="1" si="12"/>
        <v>0.42918474331164136</v>
      </c>
      <c r="M55" s="424">
        <f t="shared" ca="1" si="12"/>
        <v>0.30395469273588305</v>
      </c>
      <c r="N55" s="424">
        <f t="shared" ca="1" si="12"/>
        <v>0.34028619937152677</v>
      </c>
      <c r="O55" s="424">
        <f t="shared" ca="1" si="12"/>
        <v>0.18652836568406869</v>
      </c>
      <c r="P55" s="424">
        <f t="shared" ca="1" si="12"/>
        <v>0.14570622930826999</v>
      </c>
      <c r="Q55" s="424" t="e">
        <f t="shared" ca="1" si="12"/>
        <v>#VALUE!</v>
      </c>
      <c r="R55" s="424">
        <f t="shared" ca="1" si="12"/>
        <v>-3.7312696187787502E-3</v>
      </c>
      <c r="S55" s="424">
        <f t="shared" ca="1" si="12"/>
        <v>4.5679691799669783E-2</v>
      </c>
      <c r="T55" s="424">
        <f t="shared" ca="1" si="12"/>
        <v>0.22703289882060831</v>
      </c>
      <c r="U55" s="424">
        <f t="shared" ca="1" si="12"/>
        <v>0.2168562263050452</v>
      </c>
    </row>
    <row r="56" spans="1:24">
      <c r="E56" s="9" t="s">
        <v>605</v>
      </c>
      <c r="F56" s="5"/>
      <c r="G56" s="426">
        <f ca="1">G55-$G$55</f>
        <v>0</v>
      </c>
      <c r="H56" s="426">
        <f t="shared" ref="H56" ca="1" si="13">H55-$G$55</f>
        <v>0.12989171051934195</v>
      </c>
      <c r="I56" s="426">
        <f t="shared" ref="I56" ca="1" si="14">I55-$G$55</f>
        <v>6.8298683715379283E-2</v>
      </c>
      <c r="J56" s="426">
        <f t="shared" ref="J56" ca="1" si="15">J55-$G$55</f>
        <v>-4.1520418581551088E-2</v>
      </c>
      <c r="K56" s="426">
        <f t="shared" ref="K56" ca="1" si="16">K55-$G$55</f>
        <v>-0.2035771245271214</v>
      </c>
      <c r="L56" s="426">
        <f t="shared" ref="L56" ca="1" si="17">L55-$G$55</f>
        <v>2.5801179228826521E-3</v>
      </c>
      <c r="M56" s="426">
        <f t="shared" ref="M56" ca="1" si="18">M55-$G$55</f>
        <v>-0.12264993265287566</v>
      </c>
      <c r="N56" s="426">
        <f t="shared" ref="N56" ca="1" si="19">N55-$G$55</f>
        <v>-8.6318426017231942E-2</v>
      </c>
      <c r="O56" s="426">
        <f t="shared" ref="O56" ca="1" si="20">O55-$G$55</f>
        <v>-0.24007625970469001</v>
      </c>
      <c r="P56" s="426">
        <f t="shared" ref="P56" ca="1" si="21">P55-$G$55</f>
        <v>-0.28089839608048872</v>
      </c>
      <c r="Q56" s="426" t="e">
        <f t="shared" ref="Q56" ca="1" si="22">Q55-$G$55</f>
        <v>#VALUE!</v>
      </c>
      <c r="R56" s="426">
        <f t="shared" ref="R56" ca="1" si="23">R55-$G$55</f>
        <v>-0.43033589500753744</v>
      </c>
      <c r="S56" s="426">
        <f t="shared" ref="S56" ca="1" si="24">S55-$G$55</f>
        <v>-0.38092493358908891</v>
      </c>
      <c r="T56" s="426">
        <f t="shared" ref="T56" ca="1" si="25">T55-$G$55</f>
        <v>-0.19957172656815039</v>
      </c>
      <c r="U56" s="426">
        <f t="shared" ref="U56" ca="1" si="26">U55-$G$55</f>
        <v>-0.20974839908371351</v>
      </c>
    </row>
    <row r="57" spans="1:24">
      <c r="E57" s="9"/>
      <c r="F57" s="5"/>
      <c r="G57" s="426"/>
      <c r="H57" s="426"/>
      <c r="I57" s="426"/>
      <c r="J57" s="426"/>
      <c r="K57" s="426"/>
      <c r="L57" s="426"/>
      <c r="M57" s="426"/>
      <c r="N57" s="426"/>
      <c r="O57" s="426"/>
      <c r="P57" s="426"/>
      <c r="Q57" s="426"/>
      <c r="R57" s="426"/>
      <c r="S57" s="426"/>
      <c r="T57" s="426"/>
      <c r="U57" s="426"/>
    </row>
    <row r="58" spans="1:24">
      <c r="E58" s="32" t="s">
        <v>35</v>
      </c>
      <c r="F58" s="5"/>
      <c r="G58" s="426"/>
      <c r="H58" s="426"/>
      <c r="I58" s="426"/>
      <c r="J58" s="426"/>
      <c r="K58" s="426"/>
      <c r="L58" s="426"/>
      <c r="M58" s="426"/>
      <c r="N58" s="426"/>
      <c r="O58" s="426"/>
      <c r="P58" s="426"/>
      <c r="Q58" s="426"/>
      <c r="R58" s="426"/>
      <c r="S58" s="426"/>
      <c r="T58" s="426"/>
      <c r="U58" s="426"/>
    </row>
    <row r="59" spans="1:24">
      <c r="E59" s="9" t="s">
        <v>936</v>
      </c>
      <c r="F59" s="5"/>
      <c r="G59" s="47">
        <f t="shared" ref="G59:U59" ca="1" si="27">+IFERROR(G23/G53,"n/a")</f>
        <v>0.2467290736109134</v>
      </c>
      <c r="H59" s="47">
        <f t="shared" ca="1" si="27"/>
        <v>0.44691640593830712</v>
      </c>
      <c r="I59" s="47">
        <f t="shared" ca="1" si="27"/>
        <v>0.45455421789983291</v>
      </c>
      <c r="J59" s="47">
        <f t="shared" ca="1" si="27"/>
        <v>0.36748058561425845</v>
      </c>
      <c r="K59" s="47">
        <f t="shared" ca="1" si="27"/>
        <v>0.27038561602337929</v>
      </c>
      <c r="L59" s="47">
        <f t="shared" ca="1" si="27"/>
        <v>0.29418668531189135</v>
      </c>
      <c r="M59" s="47">
        <f t="shared" ca="1" si="27"/>
        <v>0.25382284129162186</v>
      </c>
      <c r="N59" s="47">
        <f t="shared" ca="1" si="27"/>
        <v>0.28599941976519405</v>
      </c>
      <c r="O59" s="47">
        <f t="shared" ca="1" si="27"/>
        <v>0.14980513757181238</v>
      </c>
      <c r="P59" s="47">
        <f t="shared" ca="1" si="27"/>
        <v>0.13877535243450714</v>
      </c>
      <c r="Q59" s="47" t="str">
        <f t="shared" ca="1" si="27"/>
        <v>n/a</v>
      </c>
      <c r="R59" s="47">
        <f t="shared" ca="1" si="27"/>
        <v>0.19474163807890224</v>
      </c>
      <c r="S59" s="47">
        <f t="shared" ca="1" si="27"/>
        <v>8.2350910077442899E-2</v>
      </c>
      <c r="T59" s="47">
        <f t="shared" ca="1" si="27"/>
        <v>0.38310300612622883</v>
      </c>
      <c r="U59" s="47">
        <f t="shared" ca="1" si="27"/>
        <v>0.22503028300847924</v>
      </c>
    </row>
    <row r="60" spans="1:24">
      <c r="E60" s="41" t="s">
        <v>605</v>
      </c>
      <c r="F60" s="5"/>
      <c r="G60" s="426">
        <f ca="1">G59-$G$55</f>
        <v>-0.17987555177784531</v>
      </c>
      <c r="H60" s="426">
        <f t="shared" ref="H60:U60" ca="1" si="28">H59-$G$55</f>
        <v>2.0311780549548408E-2</v>
      </c>
      <c r="I60" s="426">
        <f t="shared" ca="1" si="28"/>
        <v>2.7949592511074206E-2</v>
      </c>
      <c r="J60" s="426">
        <f t="shared" ca="1" si="28"/>
        <v>-5.9124039774500259E-2</v>
      </c>
      <c r="K60" s="426">
        <f t="shared" ca="1" si="28"/>
        <v>-0.15621900936537941</v>
      </c>
      <c r="L60" s="426">
        <f t="shared" ca="1" si="28"/>
        <v>-0.13241794007686736</v>
      </c>
      <c r="M60" s="426">
        <f t="shared" ca="1" si="28"/>
        <v>-0.17278178409713685</v>
      </c>
      <c r="N60" s="426">
        <f t="shared" ca="1" si="28"/>
        <v>-0.14060520562356466</v>
      </c>
      <c r="O60" s="426">
        <f t="shared" ca="1" si="28"/>
        <v>-0.2767994878169463</v>
      </c>
      <c r="P60" s="426">
        <f t="shared" ca="1" si="28"/>
        <v>-0.28782927295425154</v>
      </c>
      <c r="Q60" s="426" t="e">
        <f t="shared" ca="1" si="28"/>
        <v>#VALUE!</v>
      </c>
      <c r="R60" s="426">
        <f t="shared" ca="1" si="28"/>
        <v>-0.23186298730985647</v>
      </c>
      <c r="S60" s="426">
        <f t="shared" ca="1" si="28"/>
        <v>-0.34425371531131582</v>
      </c>
      <c r="T60" s="426">
        <f t="shared" ca="1" si="28"/>
        <v>-4.3501619262529878E-2</v>
      </c>
      <c r="U60" s="426">
        <f t="shared" ca="1" si="28"/>
        <v>-0.20157434238027946</v>
      </c>
    </row>
    <row r="61" spans="1:24">
      <c r="E61" s="9"/>
      <c r="F61" s="5"/>
      <c r="G61" s="426"/>
      <c r="H61" s="426"/>
      <c r="I61" s="426"/>
      <c r="J61" s="426"/>
      <c r="K61" s="426"/>
      <c r="L61" s="426"/>
      <c r="M61" s="426"/>
      <c r="N61" s="426"/>
      <c r="O61" s="426"/>
      <c r="P61" s="426"/>
      <c r="Q61" s="426"/>
      <c r="R61" s="426"/>
      <c r="S61" s="426"/>
      <c r="T61" s="426"/>
      <c r="U61" s="426"/>
    </row>
    <row r="63" spans="1:24">
      <c r="E63" s="65" t="s">
        <v>625</v>
      </c>
    </row>
    <row r="64" spans="1:24">
      <c r="A64" s="2" t="s">
        <v>599</v>
      </c>
      <c r="B64" s="409">
        <v>1</v>
      </c>
      <c r="C64" s="422">
        <f ca="1">DATE(YEAR($U$4)-B64,MONTH($U$4),DAY($U$4))</f>
        <v>45431</v>
      </c>
      <c r="E64" s="2" t="s">
        <v>626</v>
      </c>
      <c r="G64" s="429">
        <f ca="1">IFERROR(((_xll.ciqfunctions.udf.CIQPC(G$1,$A64,$C64,$U$4)/100+1)^(1/$B64)-1),"n/a")</f>
        <v>0.1784431099999999</v>
      </c>
      <c r="H64" s="429">
        <f ca="1">IFERROR(((_xll.ciqfunctions.udf.CIQPC(H$1,$A64,$C64,$U$4)/100+1)^(1/$B64)-1),"n/a")</f>
        <v>-5.4072479999999978E-2</v>
      </c>
      <c r="I64" s="429">
        <f ca="1">IFERROR(((_xll.ciqfunctions.udf.CIQPC(I$1,$A64,$C64,$U$4)/100+1)^(1/$B64)-1),"n/a")</f>
        <v>0.35710199000000009</v>
      </c>
      <c r="J64" s="429">
        <f ca="1">IFERROR(((_xll.ciqfunctions.udf.CIQPC(J$1,$A64,$C64,$U$4)/100+1)^(1/$B64)-1),"n/a")</f>
        <v>9.2001620000000006E-2</v>
      </c>
      <c r="K64" s="429">
        <f ca="1">IFERROR(((_xll.ciqfunctions.udf.CIQPC(K$1,$A64,$C64,$U$4)/100+1)^(1/$B64)-1),"n/a")</f>
        <v>0.11618840999999991</v>
      </c>
      <c r="L64" s="429">
        <f ca="1">IFERROR(((_xll.ciqfunctions.udf.CIQPC(L$1,$A64,$C64,$U$4)/100+1)^(1/$B64)-1),"n/a")</f>
        <v>0.29973234999999998</v>
      </c>
      <c r="M64" s="429">
        <f ca="1">IFERROR(((_xll.ciqfunctions.udf.CIQPC(M$1,$A64,$C64,$U$4)/100+1)^(1/$B64)-1),"n/a")</f>
        <v>0.10217600000000004</v>
      </c>
      <c r="N64" s="429">
        <f ca="1">IFERROR(((_xll.ciqfunctions.udf.CIQPC(N$1,$A64,$C64,$U$4)/100+1)^(1/$B64)-1),"n/a")</f>
        <v>-0.18669458999999999</v>
      </c>
      <c r="O64" s="429">
        <f ca="1">IFERROR(((_xll.ciqfunctions.udf.CIQPC(O$1,$A64,$C64,$U$4)/100+1)^(1/$B64)-1),"n/a")</f>
        <v>0.51771075</v>
      </c>
      <c r="P64" s="429">
        <f ca="1">IFERROR(((_xll.ciqfunctions.udf.CIQPC(P$1,$A64,$C64,$U$4)/100+1)^(1/$B64)-1),"n/a")</f>
        <v>0.35951472999999989</v>
      </c>
      <c r="Q64" s="429">
        <f ca="1">IFERROR(((_xll.ciqfunctions.udf.CIQPC(Q$1,$A64,$C64,$U$4)/100+1)^(1/$B64)-1),"n/a")</f>
        <v>-0.12493123000000006</v>
      </c>
      <c r="R64" s="429">
        <f ca="1">IFERROR(((_xll.ciqfunctions.udf.CIQPC(R$1,$A64,$C64,$U$4)/100+1)^(1/$B64)-1),"n/a")</f>
        <v>-0.15724983000000003</v>
      </c>
      <c r="S64" s="429">
        <f ca="1">IFERROR(((_xll.ciqfunctions.udf.CIQPC(S$1,$A64,$C64,$U$4)/100+1)^(1/$B64)-1),"n/a")</f>
        <v>9.7195649999999967E-2</v>
      </c>
      <c r="T64" s="429">
        <f ca="1">IFERROR(((_xll.ciqfunctions.udf.CIQPC(T$1,$A64,$C64,$U$4)/100+1)^(1/$B64)-1),"n/a")</f>
        <v>0.34035791999999998</v>
      </c>
      <c r="U64" s="429">
        <f ca="1">IFERROR(((_xll.ciqfunctions.udf.CIQPC(U$1,$A64,$C64,$U$4)/100+1)^(1/$B64)-1),"n/a")</f>
        <v>0.11459422000000008</v>
      </c>
    </row>
    <row r="65" spans="1:21">
      <c r="A65" s="2" t="s">
        <v>599</v>
      </c>
      <c r="B65" s="409">
        <v>5</v>
      </c>
      <c r="C65" s="422">
        <f ca="1">DATE(YEAR($U$4)-B65,MONTH($U$4),DAY($U$4))</f>
        <v>43970</v>
      </c>
      <c r="E65" s="2" t="s">
        <v>627</v>
      </c>
      <c r="G65" s="429">
        <f ca="1">IFERROR(((_xll.ciqfunctions.udf.CIQPC(G$1,$A65,$C65,$U$4)/100+1)^(1/$B65)-1),"n/a")</f>
        <v>0.27547311194514679</v>
      </c>
      <c r="H65" s="429">
        <f ca="1">IFERROR(((_xll.ciqfunctions.udf.CIQPC(H$1,$A65,$C65,$U$4)/100+1)^(1/$B65)-1),"n/a")</f>
        <v>0.19367770381671057</v>
      </c>
      <c r="I65" s="429">
        <f ca="1">IFERROR(((_xll.ciqfunctions.udf.CIQPC(I$1,$A65,$C65,$U$4)/100+1)^(1/$B65)-1),"n/a")</f>
        <v>0.24179650367282801</v>
      </c>
      <c r="J65" s="429">
        <f ca="1">IFERROR(((_xll.ciqfunctions.udf.CIQPC(J$1,$A65,$C65,$U$4)/100+1)^(1/$B65)-1),"n/a")</f>
        <v>0.20101714191147524</v>
      </c>
      <c r="K65" s="429">
        <f ca="1">IFERROR(((_xll.ciqfunctions.udf.CIQPC(K$1,$A65,$C65,$U$4)/100+1)^(1/$B65)-1),"n/a")</f>
        <v>0.10978134362767533</v>
      </c>
      <c r="L65" s="429">
        <f ca="1">IFERROR(((_xll.ciqfunctions.udf.CIQPC(L$1,$A65,$C65,$U$4)/100+1)^(1/$B65)-1),"n/a")</f>
        <v>0.27696245975405342</v>
      </c>
      <c r="M65" s="429">
        <f ca="1">IFERROR(((_xll.ciqfunctions.udf.CIQPC(M$1,$A65,$C65,$U$4)/100+1)^(1/$B65)-1),"n/a")</f>
        <v>9.7647789699846443E-2</v>
      </c>
      <c r="N65" s="429">
        <f ca="1">IFERROR(((_xll.ciqfunctions.udf.CIQPC(N$1,$A65,$C65,$U$4)/100+1)^(1/$B65)-1),"n/a")</f>
        <v>0.20964902861270662</v>
      </c>
      <c r="O65" s="429">
        <f ca="1">IFERROR(((_xll.ciqfunctions.udf.CIQPC(O$1,$A65,$C65,$U$4)/100+1)^(1/$B65)-1),"n/a")</f>
        <v>0.18693929198483183</v>
      </c>
      <c r="P65" s="429">
        <f ca="1">IFERROR(((_xll.ciqfunctions.udf.CIQPC(P$1,$A65,$C65,$U$4)/100+1)^(1/$B65)-1),"n/a")</f>
        <v>0.2567516135469976</v>
      </c>
      <c r="Q65" s="429">
        <f ca="1">IFERROR(((_xll.ciqfunctions.udf.CIQPC(Q$1,$A65,$C65,$U$4)/100+1)^(1/$B65)-1),"n/a")</f>
        <v>4.4628792437286791E-3</v>
      </c>
      <c r="R65" s="429">
        <f ca="1">IFERROR(((_xll.ciqfunctions.udf.CIQPC(R$1,$A65,$C65,$U$4)/100+1)^(1/$B65)-1),"n/a")</f>
        <v>-2.1341268261298341E-2</v>
      </c>
      <c r="S65" s="429">
        <f ca="1">IFERROR(((_xll.ciqfunctions.udf.CIQPC(S$1,$A65,$C65,$U$4)/100+1)^(1/$B65)-1),"n/a")</f>
        <v>6.1833228909667026E-2</v>
      </c>
      <c r="T65" s="429">
        <f ca="1">IFERROR(((_xll.ciqfunctions.udf.CIQPC(T$1,$A65,$C65,$U$4)/100+1)^(1/$B65)-1),"n/a")</f>
        <v>0.27682498792598342</v>
      </c>
      <c r="U65" s="429">
        <f ca="1">IFERROR(((_xll.ciqfunctions.udf.CIQPC(U$1,$A65,$C65,$U$4)/100+1)^(1/$B65)-1),"n/a")</f>
        <v>0.31862999365851552</v>
      </c>
    </row>
    <row r="66" spans="1:21">
      <c r="A66" s="2" t="s">
        <v>599</v>
      </c>
      <c r="B66" s="409">
        <v>10</v>
      </c>
      <c r="C66" s="422">
        <f ca="1">DATE(YEAR($U$4)-B66,MONTH($U$4),DAY($U$4))</f>
        <v>42143</v>
      </c>
      <c r="E66" s="2" t="s">
        <v>628</v>
      </c>
      <c r="G66" s="429">
        <f ca="1">IFERROR(((_xll.ciqfunctions.udf.CIQPC(G$1,$A66,$C66,$U$4)/100+1)^(1/$B66)-1),"n/a")</f>
        <v>0.20980603713054236</v>
      </c>
      <c r="H66" s="429">
        <f ca="1">IFERROR(((_xll.ciqfunctions.udf.CIQPC(H$1,$A66,$C66,$U$4)/100+1)^(1/$B66)-1),"n/a")</f>
        <v>0.19749987572482119</v>
      </c>
      <c r="I66" s="429">
        <f ca="1">IFERROR(((_xll.ciqfunctions.udf.CIQPC(I$1,$A66,$C66,$U$4)/100+1)^(1/$B66)-1),"n/a")</f>
        <v>0.23026169103098515</v>
      </c>
      <c r="J66" s="429">
        <f ca="1">IFERROR(((_xll.ciqfunctions.udf.CIQPC(J$1,$A66,$C66,$U$4)/100+1)^(1/$B66)-1),"n/a")</f>
        <v>0.25437249569101539</v>
      </c>
      <c r="K66" s="429">
        <f ca="1">IFERROR(((_xll.ciqfunctions.udf.CIQPC(K$1,$A66,$C66,$U$4)/100+1)^(1/$B66)-1),"n/a")</f>
        <v>0.25609373700477778</v>
      </c>
      <c r="L66" s="429">
        <f ca="1">IFERROR(((_xll.ciqfunctions.udf.CIQPC(L$1,$A66,$C66,$U$4)/100+1)^(1/$B66)-1),"n/a")</f>
        <v>0.21732761802709311</v>
      </c>
      <c r="M66" s="429">
        <f ca="1">IFERROR(((_xll.ciqfunctions.udf.CIQPC(M$1,$A66,$C66,$U$4)/100+1)^(1/$B66)-1),"n/a")</f>
        <v>0.12941616991570237</v>
      </c>
      <c r="N66" s="429">
        <f ca="1">IFERROR(((_xll.ciqfunctions.udf.CIQPC(N$1,$A66,$C66,$U$4)/100+1)^(1/$B66)-1),"n/a")</f>
        <v>0.15166284294091059</v>
      </c>
      <c r="O66" s="429">
        <f ca="1">IFERROR(((_xll.ciqfunctions.udf.CIQPC(O$1,$A66,$C66,$U$4)/100+1)^(1/$B66)-1),"n/a")</f>
        <v>0.14435690519641642</v>
      </c>
      <c r="P66" s="429">
        <f ca="1">IFERROR(((_xll.ciqfunctions.udf.CIQPC(P$1,$A66,$C66,$U$4)/100+1)^(1/$B66)-1),"n/a")</f>
        <v>0.17480969377598909</v>
      </c>
      <c r="Q66" s="429">
        <f ca="1">IFERROR(((_xll.ciqfunctions.udf.CIQPC(Q$1,$A66,$C66,$U$4)/100+1)^(1/$B66)-1),"n/a")</f>
        <v>0.12647695459219022</v>
      </c>
      <c r="R66" s="429">
        <f ca="1">IFERROR(((_xll.ciqfunctions.udf.CIQPC(R$1,$A66,$C66,$U$4)/100+1)^(1/$B66)-1),"n/a")</f>
        <v>0</v>
      </c>
      <c r="S66" s="429">
        <f ca="1">IFERROR(((_xll.ciqfunctions.udf.CIQPC(S$1,$A66,$C66,$U$4)/100+1)^(1/$B66)-1),"n/a")</f>
        <v>0.12776979252721121</v>
      </c>
      <c r="T66" s="429">
        <f ca="1">IFERROR(((_xll.ciqfunctions.udf.CIQPC(T$1,$A66,$C66,$U$4)/100+1)^(1/$B66)-1),"n/a")</f>
        <v>0.24511594429086925</v>
      </c>
      <c r="U66" s="429">
        <f ca="1">IFERROR(((_xll.ciqfunctions.udf.CIQPC(U$1,$A66,$C66,$U$4)/100+1)^(1/$B66)-1),"n/a")</f>
        <v>0.20194073834145065</v>
      </c>
    </row>
    <row r="67" spans="1:21">
      <c r="A67" s="2"/>
      <c r="B67" s="409"/>
      <c r="C67" s="422"/>
      <c r="G67" s="429"/>
      <c r="H67" s="429"/>
      <c r="I67" s="429"/>
      <c r="J67" s="429"/>
      <c r="K67" s="429"/>
      <c r="L67" s="429"/>
      <c r="M67" s="429"/>
      <c r="N67" s="429"/>
      <c r="O67" s="429"/>
      <c r="P67" s="429"/>
      <c r="Q67" s="429"/>
      <c r="R67" s="429"/>
      <c r="S67" s="429"/>
      <c r="T67" s="429"/>
      <c r="U67" s="429"/>
    </row>
    <row r="68" spans="1:21">
      <c r="A68" s="2"/>
      <c r="B68" s="409"/>
      <c r="C68" s="422"/>
      <c r="G68" s="429"/>
      <c r="H68" s="429"/>
      <c r="I68" s="429"/>
      <c r="J68" s="429"/>
      <c r="K68" s="429"/>
      <c r="L68" s="429"/>
      <c r="M68" s="429"/>
      <c r="N68" s="429"/>
      <c r="O68" s="429"/>
      <c r="P68" s="429"/>
      <c r="Q68" s="429"/>
      <c r="R68" s="429"/>
      <c r="S68" s="429"/>
      <c r="T68" s="429"/>
      <c r="U68" s="429"/>
    </row>
    <row r="69" spans="1:21">
      <c r="A69" s="2"/>
      <c r="B69" s="409"/>
      <c r="C69" s="422"/>
      <c r="G69" s="429"/>
      <c r="H69" s="429"/>
      <c r="I69" s="429"/>
      <c r="J69" s="429"/>
      <c r="K69" s="429"/>
      <c r="L69" s="429"/>
      <c r="M69" s="429"/>
      <c r="N69" s="429"/>
      <c r="O69" s="429"/>
      <c r="P69" s="429"/>
      <c r="Q69" s="429"/>
      <c r="R69" s="429"/>
      <c r="S69" s="429"/>
      <c r="T69" s="429"/>
      <c r="U69" s="429"/>
    </row>
    <row r="70" spans="1:21">
      <c r="A70" s="2"/>
      <c r="B70" s="409"/>
      <c r="C70" s="422"/>
      <c r="G70" s="429"/>
      <c r="H70" s="429"/>
      <c r="I70" s="429"/>
      <c r="J70" s="429"/>
      <c r="K70" s="429"/>
      <c r="L70" s="429"/>
      <c r="M70" s="429"/>
      <c r="N70" s="429"/>
      <c r="O70" s="429"/>
      <c r="P70" s="429"/>
      <c r="Q70" s="429"/>
      <c r="R70" s="429"/>
      <c r="S70" s="429"/>
      <c r="T70" s="429"/>
      <c r="U70" s="429"/>
    </row>
    <row r="71" spans="1:21">
      <c r="A71" s="2"/>
      <c r="B71" s="409"/>
      <c r="C71" s="422"/>
      <c r="G71" s="429"/>
      <c r="H71" s="429"/>
      <c r="I71" s="429"/>
      <c r="J71" s="429"/>
      <c r="K71" s="429"/>
      <c r="L71" s="429"/>
      <c r="M71" s="429"/>
      <c r="N71" s="429"/>
      <c r="O71" s="429"/>
      <c r="P71" s="429"/>
      <c r="Q71" s="429"/>
      <c r="R71" s="429"/>
      <c r="S71" s="429"/>
      <c r="T71" s="429"/>
      <c r="U71" s="429"/>
    </row>
    <row r="72" spans="1:21">
      <c r="A72" s="2"/>
      <c r="B72" s="409"/>
      <c r="C72" s="422"/>
      <c r="G72" s="429"/>
      <c r="H72" s="429"/>
      <c r="I72" s="429"/>
      <c r="J72" s="429"/>
      <c r="K72" s="429"/>
      <c r="L72" s="429"/>
      <c r="M72" s="429"/>
      <c r="N72" s="429"/>
      <c r="O72" s="429"/>
      <c r="P72" s="429"/>
      <c r="Q72" s="429"/>
      <c r="R72" s="429"/>
      <c r="S72" s="429"/>
      <c r="T72" s="429"/>
      <c r="U72" s="429"/>
    </row>
    <row r="73" spans="1:21">
      <c r="A73" s="2"/>
      <c r="B73" s="409"/>
      <c r="C73" s="422"/>
      <c r="G73" s="429"/>
      <c r="H73" s="429"/>
      <c r="I73" s="429"/>
      <c r="J73" s="429"/>
      <c r="K73" s="429"/>
      <c r="L73" s="429"/>
      <c r="M73" s="429"/>
      <c r="N73" s="429"/>
      <c r="O73" s="429"/>
      <c r="P73" s="429"/>
      <c r="Q73" s="429"/>
      <c r="R73" s="429"/>
      <c r="S73" s="429"/>
      <c r="T73" s="429"/>
      <c r="U73" s="429"/>
    </row>
    <row r="74" spans="1:21">
      <c r="A74" s="2"/>
      <c r="B74" s="409"/>
      <c r="C74" s="422"/>
      <c r="G74" s="429"/>
      <c r="H74" s="429"/>
      <c r="I74" s="429"/>
      <c r="J74" s="429"/>
      <c r="K74" s="429"/>
      <c r="L74" s="429"/>
      <c r="M74" s="429"/>
      <c r="N74" s="429"/>
      <c r="O74" s="429"/>
      <c r="P74" s="429"/>
      <c r="Q74" s="429"/>
      <c r="R74" s="429"/>
      <c r="S74" s="429"/>
      <c r="T74" s="429"/>
      <c r="U74" s="429"/>
    </row>
    <row r="75" spans="1:21">
      <c r="A75" s="2"/>
      <c r="B75" s="409"/>
      <c r="C75" s="422"/>
      <c r="G75" s="429"/>
      <c r="H75" s="429"/>
      <c r="I75" s="429"/>
      <c r="J75" s="429"/>
      <c r="K75" s="429"/>
      <c r="L75" s="429"/>
      <c r="M75" s="429"/>
      <c r="N75" s="429"/>
      <c r="O75" s="429"/>
      <c r="P75" s="429"/>
      <c r="Q75" s="429"/>
      <c r="R75" s="429"/>
      <c r="S75" s="429"/>
      <c r="T75" s="429"/>
      <c r="U75" s="429"/>
    </row>
    <row r="76" spans="1:21">
      <c r="A76" s="2"/>
      <c r="B76" s="409"/>
      <c r="C76" s="422"/>
      <c r="G76" s="429"/>
      <c r="H76" s="429"/>
      <c r="I76" s="429"/>
      <c r="J76" s="429"/>
      <c r="K76" s="429"/>
      <c r="L76" s="429"/>
      <c r="M76" s="429"/>
      <c r="N76" s="429"/>
      <c r="O76" s="429"/>
      <c r="P76" s="429"/>
      <c r="Q76" s="429"/>
      <c r="R76" s="429"/>
      <c r="S76" s="429"/>
      <c r="T76" s="429"/>
      <c r="U76" s="429"/>
    </row>
    <row r="77" spans="1:21">
      <c r="A77" s="2"/>
      <c r="B77" s="409"/>
      <c r="C77" s="422"/>
      <c r="G77" s="429"/>
      <c r="H77" s="429"/>
      <c r="I77" s="429"/>
      <c r="J77" s="429"/>
      <c r="K77" s="429"/>
      <c r="L77" s="429"/>
      <c r="M77" s="429"/>
      <c r="N77" s="429"/>
      <c r="O77" s="429"/>
      <c r="P77" s="429"/>
      <c r="Q77" s="429"/>
      <c r="R77" s="429"/>
      <c r="S77" s="429"/>
      <c r="T77" s="429"/>
      <c r="U77" s="429"/>
    </row>
    <row r="78" spans="1:21">
      <c r="A78" s="2"/>
      <c r="B78" s="409"/>
      <c r="C78" s="422"/>
      <c r="G78" s="429"/>
      <c r="H78" s="429"/>
      <c r="I78" s="429"/>
      <c r="J78" s="429"/>
      <c r="K78" s="429"/>
      <c r="L78" s="429"/>
      <c r="M78" s="429"/>
      <c r="N78" s="429"/>
      <c r="O78" s="429"/>
      <c r="P78" s="429"/>
      <c r="Q78" s="429"/>
      <c r="R78" s="429"/>
      <c r="S78" s="429"/>
      <c r="T78" s="429"/>
      <c r="U78" s="429"/>
    </row>
    <row r="79" spans="1:21">
      <c r="A79" s="2"/>
      <c r="B79" s="409"/>
      <c r="C79" s="422"/>
      <c r="G79" s="429"/>
      <c r="H79" s="429"/>
      <c r="I79" s="429"/>
      <c r="J79" s="429"/>
      <c r="K79" s="429"/>
      <c r="L79" s="429"/>
      <c r="M79" s="429"/>
      <c r="N79" s="429"/>
      <c r="O79" s="429"/>
      <c r="P79" s="429"/>
      <c r="Q79" s="429"/>
      <c r="R79" s="429"/>
      <c r="S79" s="429"/>
      <c r="T79" s="429"/>
      <c r="U79" s="429"/>
    </row>
    <row r="80" spans="1:21">
      <c r="A80" s="2"/>
      <c r="B80" s="409"/>
      <c r="C80" s="422"/>
      <c r="G80" s="429"/>
      <c r="H80" s="429"/>
      <c r="I80" s="429"/>
      <c r="J80" s="429"/>
      <c r="K80" s="429"/>
      <c r="L80" s="429"/>
      <c r="M80" s="429"/>
      <c r="N80" s="429"/>
      <c r="O80" s="429"/>
      <c r="P80" s="429"/>
      <c r="Q80" s="429"/>
      <c r="R80" s="429"/>
      <c r="S80" s="429"/>
      <c r="T80" s="429"/>
      <c r="U80" s="429"/>
    </row>
    <row r="81" spans="1:21">
      <c r="A81" s="2"/>
      <c r="B81" s="409"/>
      <c r="C81" s="422"/>
      <c r="G81" s="429"/>
      <c r="H81" s="429"/>
      <c r="I81" s="429"/>
      <c r="J81" s="429"/>
      <c r="K81" s="429"/>
      <c r="L81" s="429"/>
      <c r="M81" s="429"/>
      <c r="N81" s="429"/>
      <c r="O81" s="429"/>
      <c r="P81" s="429"/>
      <c r="Q81" s="429"/>
      <c r="R81" s="429"/>
      <c r="S81" s="429"/>
      <c r="T81" s="429"/>
      <c r="U81" s="429"/>
    </row>
    <row r="83" spans="1:21">
      <c r="E83" s="6" t="s">
        <v>600</v>
      </c>
    </row>
    <row r="84" spans="1:21">
      <c r="E84" s="6" t="s">
        <v>629</v>
      </c>
    </row>
    <row r="86" spans="1:21">
      <c r="A86" s="376"/>
      <c r="B86" s="376"/>
      <c r="C86" s="39"/>
      <c r="E86" s="161" t="s">
        <v>595</v>
      </c>
      <c r="F86" s="12"/>
      <c r="G86" s="49"/>
      <c r="H86" s="416"/>
      <c r="I86" s="416"/>
      <c r="J86" s="416"/>
      <c r="K86" s="416"/>
      <c r="L86" s="416"/>
      <c r="M86" s="416"/>
      <c r="N86" s="416"/>
      <c r="O86" s="416"/>
      <c r="P86" s="416"/>
      <c r="Q86" s="416"/>
      <c r="R86" s="416"/>
      <c r="S86" s="416"/>
      <c r="T86" s="416"/>
      <c r="U86" s="416"/>
    </row>
    <row r="87" spans="1:21">
      <c r="A87" s="376" t="s">
        <v>568</v>
      </c>
      <c r="B87" s="376" t="s">
        <v>51</v>
      </c>
      <c r="C87" s="39" t="s">
        <v>590</v>
      </c>
      <c r="E87" s="13" t="s">
        <v>549</v>
      </c>
      <c r="F87" s="12"/>
      <c r="G87" s="49">
        <f>-'Historical Financials'!U422</f>
        <v>-147.98599999999999</v>
      </c>
      <c r="H87" s="416">
        <f ca="1">IFERROR(-_xll.VisibleAlpha.UDF.VAData(H$2,$C87,$A87,"consensus.vaactuals","SD","IMPL",$U$4)/1,"n/a")</f>
        <v>-11158</v>
      </c>
      <c r="I87" s="416">
        <f ca="1">IFERROR(-_xll.VisibleAlpha.UDF.VAData(I$2,$C87,$A87,"consensus.vaactuals","SD","IMPL",$U$4)/1,"n/a")</f>
        <v>-10397</v>
      </c>
      <c r="J87" s="416">
        <f ca="1">IFERROR(-_xll.VisibleAlpha.UDF.VAData(J$2,$C87,$A87,"consensus.vaactuals","SD","IMPL",$U$4)/1,"n/a")</f>
        <v>-60215</v>
      </c>
      <c r="K87" s="416">
        <f ca="1">IFERROR(-_xll.VisibleAlpha.UDF.VAData(K$2,$C87,$A87,"consensus.vaactuals","SD","IMPL",$U$4)/1,"n/a")</f>
        <v>-27226</v>
      </c>
      <c r="L87" s="416">
        <f ca="1">IFERROR(-_xll.VisibleAlpha.UDF.VAData(L$2,$C87,$A87,"consensus.vaactuals","SD","IMPL",$U$4)/1,"n/a")</f>
        <v>-2559</v>
      </c>
      <c r="M87" s="416">
        <f ca="1">IFERROR(-_xll.VisibleAlpha.UDF.VAData(M$2,$C87,$A87,"consensus.vaactuals","SD","IMPL",$U$4)/1,"n/a")</f>
        <v>-4799</v>
      </c>
      <c r="N87" s="416">
        <f ca="1">IFERROR(-_xll.VisibleAlpha.UDF.VAData(N$2,$C87,$A87,"consensus.vaactuals","SD","IMPL",$U$4)/1,"n/a")</f>
        <v>-150.405</v>
      </c>
      <c r="O87" s="416">
        <f ca="1">IFERROR(-_xll.VisibleAlpha.UDF.VAData(O$2,$C87,$A87,"consensus.vaactuals","SD","IMPL",$U$4)/1,"n/a")</f>
        <v>-14279</v>
      </c>
      <c r="P87" s="416">
        <f ca="1">IFERROR(-_xll.VisibleAlpha.UDF.VAData(P$2,$C87,$A87,"consensus.vaactuals","SD","IMPL",$U$4)/1,"n/a")</f>
        <v>-802.65</v>
      </c>
      <c r="Q87" s="427">
        <v>-75.58</v>
      </c>
      <c r="R87" s="416">
        <f ca="1">IFERROR(-_xll.VisibleAlpha.UDF.VAData(R$2,$C87,$A87,"consensus.vaactuals","SD","IMPL",$U$4)/1,"n/a")</f>
        <v>-9.7986666666666675</v>
      </c>
      <c r="S87" s="416">
        <f ca="1">IFERROR(-_xll.VisibleAlpha.UDF.VAData(S$2,$C87,$A87,"consensus.vaactuals","SD","IMPL",$U$4)/1,"n/a")</f>
        <v>-787</v>
      </c>
      <c r="T87" s="416">
        <f ca="1">IFERROR(-_xll.VisibleAlpha.UDF.VAData(T$2,$C87,$A87,"consensus.vaactuals","SD","IMPL",$U$4)/1,"n/a")</f>
        <v>-1006</v>
      </c>
      <c r="U87" s="416">
        <f ca="1">IFERROR(-_xll.VisibleAlpha.UDF.VAData(U$2,$C87,$A87,"consensus.vaactuals","SD","IMPL",$U$4)/1,"n/a")</f>
        <v>-1123</v>
      </c>
    </row>
    <row r="88" spans="1:21">
      <c r="A88" s="376"/>
      <c r="B88" s="376"/>
      <c r="C88" s="39"/>
      <c r="E88" s="13"/>
      <c r="F88" s="12"/>
      <c r="G88" s="49"/>
      <c r="H88" s="416"/>
      <c r="I88" s="416"/>
      <c r="J88" s="416"/>
      <c r="K88" s="416"/>
      <c r="L88" s="416"/>
      <c r="M88" s="416"/>
      <c r="N88" s="416"/>
      <c r="O88" s="416"/>
      <c r="P88" s="416"/>
      <c r="Q88" s="427"/>
      <c r="R88" s="416"/>
      <c r="S88" s="416"/>
      <c r="T88" s="416"/>
      <c r="U88" s="416"/>
    </row>
    <row r="89" spans="1:21">
      <c r="E89" s="161" t="s">
        <v>622</v>
      </c>
    </row>
    <row r="90" spans="1:21">
      <c r="E90" s="2" t="s">
        <v>253</v>
      </c>
      <c r="G90" s="430">
        <f t="shared" ref="G90:U90" ca="1" si="29">G16</f>
        <v>1322053.05</v>
      </c>
      <c r="H90" s="430">
        <f t="shared" ca="1" si="29"/>
        <v>112390</v>
      </c>
      <c r="I90" s="430">
        <f t="shared" ca="1" si="29"/>
        <v>69380</v>
      </c>
      <c r="J90" s="430">
        <f t="shared" ca="1" si="29"/>
        <v>117711</v>
      </c>
      <c r="K90" s="430">
        <f t="shared" ca="1" si="29"/>
        <v>68593</v>
      </c>
      <c r="L90" s="430">
        <f t="shared" ca="1" si="29"/>
        <v>9497</v>
      </c>
      <c r="M90" s="430">
        <f t="shared" ca="1" si="29"/>
        <v>21951</v>
      </c>
      <c r="N90" s="430">
        <f t="shared" si="29"/>
        <v>1932.3233499999999</v>
      </c>
      <c r="O90" s="430">
        <f t="shared" ca="1" si="29"/>
        <v>29348</v>
      </c>
      <c r="P90" s="430">
        <f t="shared" ca="1" si="29"/>
        <v>767.50800000000004</v>
      </c>
      <c r="Q90" s="430" t="str">
        <f t="shared" ca="1" si="29"/>
        <v>n/a</v>
      </c>
      <c r="R90" s="430">
        <f t="shared" ca="1" si="29"/>
        <v>-0.378</v>
      </c>
      <c r="S90" s="430">
        <f t="shared" ca="1" si="29"/>
        <v>1328</v>
      </c>
      <c r="T90" s="430">
        <f t="shared" ca="1" si="29"/>
        <v>1463</v>
      </c>
      <c r="U90" s="430">
        <f t="shared" ca="1" si="29"/>
        <v>3718</v>
      </c>
    </row>
    <row r="91" spans="1:21" s="18" customFormat="1" ht="13.5" customHeight="1">
      <c r="A91" s="52"/>
      <c r="B91" s="52"/>
      <c r="C91" s="52"/>
      <c r="E91" s="18" t="s">
        <v>616</v>
      </c>
      <c r="G91" s="431">
        <v>0.21</v>
      </c>
      <c r="H91" s="431">
        <v>0.21</v>
      </c>
      <c r="I91" s="431">
        <v>0.21</v>
      </c>
      <c r="J91" s="431">
        <v>0.21</v>
      </c>
      <c r="K91" s="431">
        <v>0.21</v>
      </c>
      <c r="L91" s="431">
        <v>0.21</v>
      </c>
      <c r="M91" s="431">
        <v>0.21</v>
      </c>
      <c r="N91" s="431">
        <v>0.21</v>
      </c>
      <c r="O91" s="431">
        <v>0.21</v>
      </c>
      <c r="P91" s="431">
        <v>0.21</v>
      </c>
      <c r="Q91" s="431">
        <v>0.21</v>
      </c>
      <c r="R91" s="431">
        <v>0.21</v>
      </c>
      <c r="S91" s="431">
        <v>0.21</v>
      </c>
      <c r="T91" s="431">
        <v>0.21</v>
      </c>
      <c r="U91" s="431">
        <v>0.21</v>
      </c>
    </row>
    <row r="92" spans="1:21">
      <c r="E92" s="12" t="s">
        <v>617</v>
      </c>
      <c r="G92" s="430">
        <f ca="1">G90*(1-G91)</f>
        <v>1044421.9095000001</v>
      </c>
      <c r="H92" s="430">
        <f t="shared" ref="H92:U92" ca="1" si="30">H90*(1-H91)</f>
        <v>88788.1</v>
      </c>
      <c r="I92" s="430">
        <f t="shared" ca="1" si="30"/>
        <v>54810.200000000004</v>
      </c>
      <c r="J92" s="430">
        <f t="shared" ca="1" si="30"/>
        <v>92991.69</v>
      </c>
      <c r="K92" s="430">
        <f t="shared" ca="1" si="30"/>
        <v>54188.47</v>
      </c>
      <c r="L92" s="430">
        <f t="shared" ca="1" si="30"/>
        <v>7502.63</v>
      </c>
      <c r="M92" s="430">
        <f t="shared" ca="1" si="30"/>
        <v>17341.29</v>
      </c>
      <c r="N92" s="430">
        <f t="shared" si="30"/>
        <v>1526.5354465</v>
      </c>
      <c r="O92" s="430">
        <f t="shared" ca="1" si="30"/>
        <v>23184.920000000002</v>
      </c>
      <c r="P92" s="430">
        <f t="shared" ca="1" si="30"/>
        <v>606.33132000000001</v>
      </c>
      <c r="Q92" s="430" t="e">
        <f t="shared" ca="1" si="30"/>
        <v>#VALUE!</v>
      </c>
      <c r="R92" s="430">
        <f t="shared" ca="1" si="30"/>
        <v>-0.29862</v>
      </c>
      <c r="S92" s="430">
        <f t="shared" ca="1" si="30"/>
        <v>1049.1200000000001</v>
      </c>
      <c r="T92" s="430">
        <f t="shared" ca="1" si="30"/>
        <v>1155.77</v>
      </c>
      <c r="U92" s="430">
        <f t="shared" ca="1" si="30"/>
        <v>2937.2200000000003</v>
      </c>
    </row>
    <row r="94" spans="1:21">
      <c r="A94" s="6" t="s">
        <v>620</v>
      </c>
      <c r="B94" s="376" t="s">
        <v>51</v>
      </c>
      <c r="C94" s="39" t="s">
        <v>590</v>
      </c>
      <c r="E94" s="2" t="s">
        <v>612</v>
      </c>
      <c r="G94" s="416">
        <f ca="1">IFERROR(_xll.VisibleAlpha.UDF.VAData(G$2,$C94,$A94,"consensus.vaactuals","SD","IMPL",$U$4)/1,"n/a")</f>
        <v>23076</v>
      </c>
      <c r="H94" s="416" t="str">
        <f ca="1">IFERROR(_xll.VisibleAlpha.UDF.VAData(H$2,$C94,$A94,"consensus.vaactuals","SD","IMPL",$U$4)/1,"n/a")</f>
        <v>n/a</v>
      </c>
      <c r="I94" s="416">
        <f ca="1">IFERROR(_xll.VisibleAlpha.UDF.VAData(I$2,$C94,$A94,"consensus.vaactuals","SD","IMPL",$U$4)/1,"n/a")</f>
        <v>1917</v>
      </c>
      <c r="J94" s="416">
        <f ca="1">IFERROR(_xll.VisibleAlpha.UDF.VAData(J$2,$C94,$A94,"consensus.vaactuals","SD","IMPL",$U$4)/1,"n/a")</f>
        <v>8942</v>
      </c>
      <c r="K94" s="416" t="str">
        <f ca="1">IFERROR(_xll.VisibleAlpha.UDF.VAData(K$2,$C94,$A94,"consensus.vaactuals","SD","IMPL",$U$4)/1,"n/a")</f>
        <v>n/a</v>
      </c>
      <c r="L94" s="416">
        <f ca="1">IFERROR(_xll.VisibleAlpha.UDF.VAData(L$2,$C94,$A94,"consensus.vaactuals","SD","IMPL",$U$4)/1,"n/a")</f>
        <v>1077</v>
      </c>
      <c r="M94" s="416">
        <f ca="1">IFERROR(_xll.VisibleAlpha.UDF.VAData(M$2,$C94,$A94,"consensus.vaactuals","SD","IMPL",$U$4)/1,"n/a")</f>
        <v>5108</v>
      </c>
      <c r="N94" s="416">
        <f ca="1">IFERROR(_xll.VisibleAlpha.UDF.VAData(N$2,$C94,$A94,"consensus.vaactuals","SD","IMPL",$U$4)/1,"n/a")</f>
        <v>264.30399999999997</v>
      </c>
      <c r="O94" s="416">
        <f ca="1">IFERROR(_xll.VisibleAlpha.UDF.VAData(O$2,$C94,$A94,"consensus.vaactuals","SD","IMPL",$U$4)/1,"n/a")</f>
        <v>6969</v>
      </c>
      <c r="P94" s="416">
        <f ca="1">IFERROR(_xll.VisibleAlpha.UDF.VAData(P$2,$C94,$A94,"consensus.vaactuals","SD","IMPL",$U$4)/1,"n/a")</f>
        <v>208.209</v>
      </c>
      <c r="Q94" s="416" t="str">
        <f ca="1">IFERROR(_xll.VisibleAlpha.UDF.VAData(Q$2,$C94,$A94,"consensus.vaactuals","SD","IMPL",$U$4)/1,"n/a")</f>
        <v>n/a</v>
      </c>
      <c r="R94" s="416">
        <f ca="1">IFERROR(_xll.VisibleAlpha.UDF.VAData(R$2,$C94,$A94,"consensus.vaactuals","SD","IMPL",$U$4)/1,"n/a")</f>
        <v>8.2080000000000002</v>
      </c>
      <c r="S94" s="416">
        <f ca="1">IFERROR(_xll.VisibleAlpha.UDF.VAData(S$2,$C94,$A94,"consensus.vaactuals","SD","IMPL",$U$4)/1,"n/a")</f>
        <v>1279</v>
      </c>
      <c r="T94" s="416">
        <f ca="1">IFERROR(_xll.VisibleAlpha.UDF.VAData(T$2,$C94,$A94,"consensus.vaactuals","SD","IMPL",$U$4)/1,"n/a")</f>
        <v>729</v>
      </c>
      <c r="U94" s="416">
        <f ca="1">IFERROR(_xll.VisibleAlpha.UDF.VAData(U$2,$C94,$A94,"consensus.vaactuals","SD","IMPL",$U$4)/1,"n/a")</f>
        <v>528</v>
      </c>
    </row>
    <row r="95" spans="1:21">
      <c r="A95" s="6" t="s">
        <v>621</v>
      </c>
      <c r="B95" s="376" t="s">
        <v>51</v>
      </c>
      <c r="C95" s="39" t="s">
        <v>590</v>
      </c>
      <c r="E95" s="2" t="s">
        <v>613</v>
      </c>
      <c r="G95" s="416">
        <f ca="1">IFERROR(_xll.VisibleAlpha.UDF.VAData(G$2,$C95,$A95,"consensus.vaactuals","SD","IMPL",$U$4)/1,"n/a")</f>
        <v>965313.89800000004</v>
      </c>
      <c r="H95" s="416">
        <f ca="1">IFERROR(_xll.VisibleAlpha.UDF.VAData(H$2,$C95,$A95,"consensus.vaactuals","SD","IMPL",$U$4)/1,"n/a")</f>
        <v>24946</v>
      </c>
      <c r="I95" s="416">
        <f ca="1">IFERROR(_xll.VisibleAlpha.UDF.VAData(I$2,$C95,$A95,"consensus.vaactuals","SD","IMPL",$U$4)/1,"n/a")</f>
        <v>36074</v>
      </c>
      <c r="J95" s="416">
        <f ca="1">IFERROR(_xll.VisibleAlpha.UDF.VAData(J$2,$C95,$A95,"consensus.vaactuals","SD","IMPL",$U$4)/1,"n/a")</f>
        <v>58185</v>
      </c>
      <c r="K95" s="416">
        <f ca="1">IFERROR(_xll.VisibleAlpha.UDF.VAData(K$2,$C95,$A95,"consensus.vaactuals","SD","IMPL",$U$4)/1,"n/a")</f>
        <v>132973</v>
      </c>
      <c r="L95" s="416">
        <f ca="1">IFERROR(_xll.VisibleAlpha.UDF.VAData(L$2,$C95,$A95,"consensus.vaactuals","SD","IMPL",$U$4)/1,"n/a")</f>
        <v>8220</v>
      </c>
      <c r="M95" s="416">
        <f ca="1">IFERROR(_xll.VisibleAlpha.UDF.VAData(M$2,$C95,$A95,"consensus.vaactuals","SD","IMPL",$U$4)/1,"n/a")</f>
        <v>59504</v>
      </c>
      <c r="N95" s="416">
        <f ca="1">IFERROR(_xll.VisibleAlpha.UDF.VAData(N$2,$C95,$A95,"consensus.vaactuals","SD","IMPL",$U$4)/1,"n/a")</f>
        <v>4014.4540000000002</v>
      </c>
      <c r="O95" s="416">
        <f ca="1">IFERROR(_xll.VisibleAlpha.UDF.VAData(O$2,$C95,$A95,"consensus.vaactuals","SD","IMPL",$U$4)/1,"n/a")</f>
        <v>54336</v>
      </c>
      <c r="P95" s="416">
        <f ca="1">IFERROR(_xll.VisibleAlpha.UDF.VAData(P$2,$C95,$A95,"consensus.vaactuals","SD","IMPL",$U$4)/1,"n/a")</f>
        <v>1398.712</v>
      </c>
      <c r="Q95" s="416" t="str">
        <f ca="1">IFERROR(_xll.VisibleAlpha.UDF.VAData(Q$2,$C95,$A95,"consensus.vaactuals","SD","IMPL",$U$4)/1,"n/a")</f>
        <v>n/a</v>
      </c>
      <c r="R95" s="416">
        <f ca="1">IFERROR(_xll.VisibleAlpha.UDF.VAData(R$2,$C95,$A95,"consensus.vaactuals","SD","IMPL",$U$4)/1,"n/a")</f>
        <v>5.1013333333333337</v>
      </c>
      <c r="S95" s="416">
        <f ca="1">IFERROR(_xll.VisibleAlpha.UDF.VAData(S$2,$C95,$A95,"consensus.vaactuals","SD","IMPL",$U$4)/1,"n/a")</f>
        <v>16696</v>
      </c>
      <c r="T95" s="416">
        <f ca="1">IFERROR(_xll.VisibleAlpha.UDF.VAData(T$2,$C95,$A95,"consensus.vaactuals","SD","IMPL",$U$4)/1,"n/a")</f>
        <v>3678</v>
      </c>
      <c r="U95" s="416">
        <f ca="1">IFERROR(_xll.VisibleAlpha.UDF.VAData(U$2,$C95,$A95,"consensus.vaactuals","SD","IMPL",$U$4)/1,"n/a")</f>
        <v>21364</v>
      </c>
    </row>
    <row r="96" spans="1:21">
      <c r="A96" s="6" t="s">
        <v>619</v>
      </c>
      <c r="B96" s="376" t="s">
        <v>51</v>
      </c>
      <c r="C96" s="39" t="s">
        <v>590</v>
      </c>
      <c r="E96" s="2" t="s">
        <v>615</v>
      </c>
      <c r="G96" s="416">
        <f ca="1">IFERROR(-_xll.VisibleAlpha.UDF.VAData(G$2,$C96,$A96,"consensus.vaactuals","SD","IMPL",$U$4)/1,"n/a")</f>
        <v>-2048635.6170000001</v>
      </c>
      <c r="H96" s="416">
        <f ca="1">IFERROR(-_xll.VisibleAlpha.UDF.VAData(H$2,$C96,$A96,"consensus.vaactuals","SD","IMPL",$U$4)/1,"n/a")</f>
        <v>-100725</v>
      </c>
      <c r="I96" s="416">
        <f ca="1">IFERROR(-_xll.VisibleAlpha.UDF.VAData(I$2,$C96,$A96,"consensus.vaactuals","SD","IMPL",$U$4)/1,"n/a")</f>
        <v>-58080</v>
      </c>
      <c r="J96" s="416">
        <f ca="1">IFERROR(-_xll.VisibleAlpha.UDF.VAData(J$2,$C96,$A96,"consensus.vaactuals","SD","IMPL",$U$4)/1,"n/a")</f>
        <v>-75543</v>
      </c>
      <c r="K96" s="416">
        <f ca="1">IFERROR(-_xll.VisibleAlpha.UDF.VAData(K$2,$C96,$A96,"consensus.vaactuals","SD","IMPL",$U$4)/1,"n/a")</f>
        <v>-89092</v>
      </c>
      <c r="L96" s="416">
        <f ca="1">IFERROR(-_xll.VisibleAlpha.UDF.VAData(L$2,$C96,$A96,"consensus.vaactuals","SD","IMPL",$U$4)/1,"n/a")</f>
        <v>-11499</v>
      </c>
      <c r="M96" s="416">
        <f ca="1">IFERROR(-_xll.VisibleAlpha.UDF.VAData(M$2,$C96,$A96,"consensus.vaactuals","SD","IMPL",$U$4)/1,"n/a")</f>
        <v>-1613</v>
      </c>
      <c r="N96" s="416">
        <f ca="1">IFERROR(-_xll.VisibleAlpha.UDF.VAData(N$2,$C96,$A96,"consensus.vaactuals","SD","IMPL",$U$4)/1,"n/a")</f>
        <v>-1489.8150000000001</v>
      </c>
      <c r="O96" s="416">
        <f ca="1">IFERROR(-_xll.VisibleAlpha.UDF.VAData(O$2,$C96,$A96,"consensus.vaactuals","SD","IMPL",$U$4)/1,"n/a")</f>
        <v>-8811</v>
      </c>
      <c r="P96" s="416">
        <f ca="1">IFERROR(-_xll.VisibleAlpha.UDF.VAData(P$2,$C96,$A96,"consensus.vaactuals","SD","IMPL",$U$4)/1,"n/a")</f>
        <v>-304.988</v>
      </c>
      <c r="Q96" s="416" t="str">
        <f ca="1">IFERROR(-_xll.VisibleAlpha.UDF.VAData(Q$2,$C96,$A96,"consensus.vaactuals","SD","IMPL",$U$4)/1,"n/a")</f>
        <v>n/a</v>
      </c>
      <c r="R96" s="416">
        <f ca="1">IFERROR(-_xll.VisibleAlpha.UDF.VAData(R$2,$C96,$A96,"consensus.vaactuals","SD","IMPL",$U$4)/1,"n/a")</f>
        <v>-72.433999999999997</v>
      </c>
      <c r="S96" s="416">
        <f ca="1">IFERROR(-_xll.VisibleAlpha.UDF.VAData(S$2,$C96,$A96,"consensus.vaactuals","SD","IMPL",$U$4)/1,"n/a")</f>
        <v>-1993</v>
      </c>
      <c r="T96" s="416">
        <f ca="1">IFERROR(-_xll.VisibleAlpha.UDF.VAData(T$2,$C96,$A96,"consensus.vaactuals","SD","IMPL",$U$4)/1,"n/a")</f>
        <v>-1873</v>
      </c>
      <c r="U96" s="416">
        <f ca="1">IFERROR(-_xll.VisibleAlpha.UDF.VAData(U$2,$C96,$A96,"consensus.vaactuals","SD","IMPL",$U$4)/1,"n/a")</f>
        <v>-3360</v>
      </c>
    </row>
    <row r="97" spans="1:21" ht="13.5">
      <c r="A97" s="376" t="s">
        <v>618</v>
      </c>
      <c r="B97" s="376" t="s">
        <v>51</v>
      </c>
      <c r="C97" s="39" t="s">
        <v>590</v>
      </c>
      <c r="E97" s="2" t="s">
        <v>614</v>
      </c>
      <c r="G97" s="418">
        <f ca="1">IFERROR(_xll.VisibleAlpha.UDF.VAData(G$2,$C97,$A97,"consensus.vaactuals","SD","IMPL",$U$4)/1,"n/a")</f>
        <v>3820148.2050000001</v>
      </c>
      <c r="H97" s="418">
        <f ca="1">IFERROR(_xll.VisibleAlpha.UDF.VAData(H$2,$C97,$A97,"consensus.vaactuals","SD","IMPL",$U$4)/1,"n/a")</f>
        <v>300753</v>
      </c>
      <c r="I97" s="418">
        <f ca="1">IFERROR(_xll.VisibleAlpha.UDF.VAData(I$2,$C97,$A97,"consensus.vaactuals","SD","IMPL",$U$4)/1,"n/a")</f>
        <v>156763</v>
      </c>
      <c r="J97" s="418">
        <f ca="1">IFERROR(_xll.VisibleAlpha.UDF.VAData(J$2,$C97,$A97,"consensus.vaactuals","SD","IMPL",$U$4)/1,"n/a")</f>
        <v>268477</v>
      </c>
      <c r="K97" s="418">
        <f ca="1">IFERROR(_xll.VisibleAlpha.UDF.VAData(K$2,$C97,$A97,"consensus.vaactuals","SD","IMPL",$U$4)/1,"n/a")</f>
        <v>236447</v>
      </c>
      <c r="L97" s="418">
        <f ca="1">IFERROR(_xll.VisibleAlpha.UDF.VAData(L$2,$C97,$A97,"consensus.vaactuals","SD","IMPL",$U$4)/1,"n/a")</f>
        <v>21771</v>
      </c>
      <c r="M97" s="418">
        <f ca="1">IFERROR(_xll.VisibleAlpha.UDF.VAData(M$2,$C97,$A97,"consensus.vaactuals","SD","IMPL",$U$4)/1,"n/a")</f>
        <v>4420</v>
      </c>
      <c r="N97" s="418">
        <f ca="1">IFERROR(_xll.VisibleAlpha.UDF.VAData(N$2,$C97,$A97,"consensus.vaactuals","SD","IMPL",$U$4)/1,"n/a")</f>
        <v>3711.82</v>
      </c>
      <c r="O97" s="418">
        <f ca="1">IFERROR(_xll.VisibleAlpha.UDF.VAData(O$2,$C97,$A97,"consensus.vaactuals","SD","IMPL",$U$4)/1,"n/a")</f>
        <v>90565</v>
      </c>
      <c r="P97" s="418">
        <f ca="1">IFERROR(_xll.VisibleAlpha.UDF.VAData(P$2,$C97,$A97,"consensus.vaactuals","SD","IMPL",$U$4)/1,"n/a")</f>
        <v>3162.92</v>
      </c>
      <c r="Q97" s="418" t="str">
        <f ca="1">IFERROR(_xll.VisibleAlpha.UDF.VAData(Q$2,$C97,$A97,"consensus.vaactuals","SD","IMPL",$U$4)/1,"n/a")</f>
        <v>n/a</v>
      </c>
      <c r="R97" s="418">
        <f ca="1">IFERROR(_xll.VisibleAlpha.UDF.VAData(R$2,$C97,$A97,"consensus.vaactuals","SD","IMPL",$U$4)/1,"n/a")</f>
        <v>154.08000000000001</v>
      </c>
      <c r="S97" s="418">
        <f ca="1">IFERROR(_xll.VisibleAlpha.UDF.VAData(S$2,$C97,$A97,"consensus.vaactuals","SD","IMPL",$U$4)/1,"n/a")</f>
        <v>12303</v>
      </c>
      <c r="T97" s="418">
        <f ca="1">IFERROR(_xll.VisibleAlpha.UDF.VAData(T$2,$C97,$A97,"consensus.vaactuals","SD","IMPL",$U$4)/1,"n/a")</f>
        <v>2903</v>
      </c>
      <c r="U97" s="418">
        <f ca="1">IFERROR(_xll.VisibleAlpha.UDF.VAData(U$2,$C97,$A97,"consensus.vaactuals","SD","IMPL",$U$4)/1,"n/a")</f>
        <v>-2510</v>
      </c>
    </row>
    <row r="98" spans="1:21">
      <c r="E98" s="12" t="s">
        <v>537</v>
      </c>
      <c r="G98" s="27">
        <f ca="1">SUM(G94:G97)</f>
        <v>2759902.486</v>
      </c>
      <c r="H98" s="27">
        <f t="shared" ref="H98:U98" ca="1" si="31">SUM(H94:H97)</f>
        <v>224974</v>
      </c>
      <c r="I98" s="27">
        <f t="shared" ca="1" si="31"/>
        <v>136674</v>
      </c>
      <c r="J98" s="27">
        <f t="shared" ca="1" si="31"/>
        <v>260061</v>
      </c>
      <c r="K98" s="27">
        <f t="shared" ca="1" si="31"/>
        <v>280328</v>
      </c>
      <c r="L98" s="27">
        <f t="shared" ca="1" si="31"/>
        <v>19569</v>
      </c>
      <c r="M98" s="27">
        <f t="shared" ca="1" si="31"/>
        <v>67419</v>
      </c>
      <c r="N98" s="27">
        <f t="shared" ca="1" si="31"/>
        <v>6500.7629999999999</v>
      </c>
      <c r="O98" s="27">
        <f t="shared" ca="1" si="31"/>
        <v>143059</v>
      </c>
      <c r="P98" s="27">
        <f t="shared" ca="1" si="31"/>
        <v>4464.8530000000001</v>
      </c>
      <c r="Q98" s="27">
        <f t="shared" ca="1" si="31"/>
        <v>0</v>
      </c>
      <c r="R98" s="27">
        <f t="shared" ca="1" si="31"/>
        <v>94.955333333333357</v>
      </c>
      <c r="S98" s="27">
        <f t="shared" ca="1" si="31"/>
        <v>28285</v>
      </c>
      <c r="T98" s="27">
        <f t="shared" ca="1" si="31"/>
        <v>5437</v>
      </c>
      <c r="U98" s="27">
        <f t="shared" ca="1" si="31"/>
        <v>16022</v>
      </c>
    </row>
    <row r="100" spans="1:21">
      <c r="E100" s="415" t="s">
        <v>546</v>
      </c>
      <c r="F100" s="147"/>
      <c r="G100" s="434">
        <f ca="1">IFERROR(G92/G98,"n/a")</f>
        <v>0.37842710559448367</v>
      </c>
      <c r="H100" s="434">
        <f t="shared" ref="H100:U100" ca="1" si="32">IFERROR(H92/H98,"n/a")</f>
        <v>0.39465938286201963</v>
      </c>
      <c r="I100" s="434">
        <f t="shared" ca="1" si="32"/>
        <v>0.40102872528791139</v>
      </c>
      <c r="J100" s="434">
        <f t="shared" ca="1" si="32"/>
        <v>0.3575764532167453</v>
      </c>
      <c r="K100" s="434">
        <f t="shared" ca="1" si="32"/>
        <v>0.19330380839587913</v>
      </c>
      <c r="L100" s="434">
        <f t="shared" ca="1" si="32"/>
        <v>0.38339363278655014</v>
      </c>
      <c r="M100" s="434">
        <f t="shared" ca="1" si="32"/>
        <v>0.25721665999199039</v>
      </c>
      <c r="N100" s="434">
        <f t="shared" ca="1" si="32"/>
        <v>0.23482404242394317</v>
      </c>
      <c r="O100" s="434">
        <f t="shared" ca="1" si="32"/>
        <v>0.16206544153111654</v>
      </c>
      <c r="P100" s="434">
        <f t="shared" ca="1" si="32"/>
        <v>0.13580095918051502</v>
      </c>
      <c r="Q100" s="434" t="str">
        <f t="shared" ca="1" si="32"/>
        <v>n/a</v>
      </c>
      <c r="R100" s="434">
        <f t="shared" ca="1" si="32"/>
        <v>-3.1448470508941037E-3</v>
      </c>
      <c r="S100" s="434">
        <f t="shared" ca="1" si="32"/>
        <v>3.7091037652465977E-2</v>
      </c>
      <c r="T100" s="434">
        <f t="shared" ca="1" si="32"/>
        <v>0.21257494942063637</v>
      </c>
      <c r="U100" s="434">
        <f t="shared" ca="1" si="32"/>
        <v>0.18332417925352643</v>
      </c>
    </row>
  </sheetData>
  <pageMargins left="0.3" right="0.3" top="0.3" bottom="0.5" header="0.3" footer="0.3"/>
  <pageSetup scale="61" orientation="landscape" r:id="rId1"/>
  <headerFooter>
    <oddFooter>Page &amp;P of &amp;N</oddFooter>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11DFE-3191-4405-9452-02EFAEE6B281}">
  <sheetPr>
    <tabColor theme="1" tint="0.34998626667073579"/>
    <pageSetUpPr fitToPage="1"/>
  </sheetPr>
  <dimension ref="A1:AI99"/>
  <sheetViews>
    <sheetView view="pageBreakPreview" zoomScaleNormal="100" zoomScaleSheetLayoutView="100" workbookViewId="0">
      <pane xSplit="3" ySplit="7" topLeftCell="D8" activePane="bottomRight" state="frozen"/>
      <selection pane="topRight"/>
      <selection pane="bottomLeft"/>
      <selection pane="bottomRight"/>
    </sheetView>
  </sheetViews>
  <sheetFormatPr defaultRowHeight="11.25" customHeight="1" outlineLevelCol="1"/>
  <cols>
    <col min="1" max="1" width="2.7109375" customWidth="1"/>
    <col min="2" max="2" width="22.140625" customWidth="1"/>
    <col min="3" max="3" width="2.42578125" customWidth="1"/>
    <col min="4" max="6" width="7.7109375" hidden="1" customWidth="1" outlineLevel="1"/>
    <col min="7" max="7" width="7.7109375" customWidth="1" collapsed="1"/>
    <col min="8" max="34" width="7.7109375" customWidth="1"/>
    <col min="35" max="35" width="2.7109375" customWidth="1"/>
  </cols>
  <sheetData>
    <row r="1" spans="1:35" ht="11.2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row>
    <row r="2" spans="1:35" ht="11.25" customHeight="1">
      <c r="A2" s="2"/>
      <c r="B2" s="55" t="s">
        <v>114</v>
      </c>
      <c r="C2" s="2"/>
      <c r="D2" s="2"/>
      <c r="E2" s="2"/>
      <c r="F2" s="2"/>
      <c r="G2" s="3"/>
      <c r="H2" s="3"/>
      <c r="I2" s="3"/>
      <c r="J2" s="3"/>
      <c r="K2" s="3"/>
      <c r="L2" s="3"/>
      <c r="M2" s="3"/>
      <c r="N2" s="3"/>
      <c r="O2" s="3"/>
      <c r="P2" s="3"/>
      <c r="Q2" s="3"/>
      <c r="R2" s="3"/>
      <c r="S2" s="3"/>
      <c r="T2" s="3"/>
      <c r="U2" s="3"/>
      <c r="V2" s="3"/>
      <c r="W2" s="3"/>
      <c r="X2" s="3"/>
      <c r="Y2" s="3"/>
      <c r="Z2" s="3"/>
      <c r="AA2" s="3"/>
      <c r="AB2" s="3"/>
      <c r="AC2" s="3"/>
      <c r="AD2" s="3"/>
      <c r="AE2" s="3"/>
      <c r="AF2" s="3"/>
      <c r="AG2" s="3"/>
      <c r="AH2" s="62">
        <f ca="1">TODAY()</f>
        <v>45796</v>
      </c>
      <c r="AI2" s="2"/>
    </row>
    <row r="3" spans="1:35" ht="11.25" customHeight="1">
      <c r="A3" s="2"/>
      <c r="B3" s="55" t="s">
        <v>414</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row>
    <row r="4" spans="1:35" ht="11.25" customHeight="1">
      <c r="A4" s="2"/>
      <c r="B4" s="279" t="s">
        <v>111</v>
      </c>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2"/>
    </row>
    <row r="5" spans="1:35" ht="11.25" customHeight="1">
      <c r="A5" s="2"/>
      <c r="B5" s="6"/>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1:35" ht="13.5" customHeight="1">
      <c r="A6" s="2"/>
      <c r="B6" s="232"/>
      <c r="C6" s="2"/>
      <c r="D6" s="2"/>
      <c r="E6" s="2"/>
      <c r="F6" s="2"/>
      <c r="G6" s="22" t="s">
        <v>98</v>
      </c>
      <c r="H6" s="22"/>
      <c r="I6" s="22"/>
      <c r="J6" s="22"/>
      <c r="K6" s="22"/>
      <c r="L6" s="22"/>
      <c r="M6" s="22"/>
      <c r="N6" s="22"/>
      <c r="O6" s="22"/>
      <c r="P6" s="22"/>
      <c r="Q6" s="22"/>
      <c r="R6" s="22"/>
      <c r="S6" s="22"/>
      <c r="T6" s="22"/>
      <c r="U6" s="22"/>
      <c r="V6" s="22"/>
      <c r="W6" s="22"/>
      <c r="X6" s="22"/>
      <c r="Y6" s="3"/>
      <c r="Z6" s="22"/>
      <c r="AA6" s="23"/>
      <c r="AB6" s="23"/>
      <c r="AC6" s="22"/>
      <c r="AD6" s="22"/>
      <c r="AE6" s="22"/>
      <c r="AF6" s="22"/>
      <c r="AG6" s="22"/>
      <c r="AH6" s="22"/>
      <c r="AI6" s="2"/>
    </row>
    <row r="7" spans="1:35" ht="13.5" customHeight="1">
      <c r="A7" s="2"/>
      <c r="B7" s="198" t="s">
        <v>108</v>
      </c>
      <c r="C7" s="2"/>
      <c r="D7" s="8" t="s">
        <v>471</v>
      </c>
      <c r="E7" s="8" t="s">
        <v>469</v>
      </c>
      <c r="F7" s="8" t="s">
        <v>470</v>
      </c>
      <c r="G7" s="8" t="s">
        <v>158</v>
      </c>
      <c r="H7" s="8" t="s">
        <v>159</v>
      </c>
      <c r="I7" s="8" t="s">
        <v>160</v>
      </c>
      <c r="J7" s="8" t="s">
        <v>161</v>
      </c>
      <c r="K7" s="8" t="s">
        <v>162</v>
      </c>
      <c r="L7" s="8" t="s">
        <v>163</v>
      </c>
      <c r="M7" s="8" t="s">
        <v>164</v>
      </c>
      <c r="N7" s="8" t="s">
        <v>165</v>
      </c>
      <c r="O7" s="8" t="s">
        <v>166</v>
      </c>
      <c r="P7" s="8" t="s">
        <v>167</v>
      </c>
      <c r="Q7" s="8" t="s">
        <v>168</v>
      </c>
      <c r="R7" s="8" t="s">
        <v>169</v>
      </c>
      <c r="S7" s="8" t="s">
        <v>170</v>
      </c>
      <c r="T7" s="8" t="s">
        <v>171</v>
      </c>
      <c r="U7" s="8" t="s">
        <v>172</v>
      </c>
      <c r="V7" s="8" t="s">
        <v>153</v>
      </c>
      <c r="W7" s="8" t="s">
        <v>152</v>
      </c>
      <c r="X7" s="8" t="s">
        <v>151</v>
      </c>
      <c r="Y7" s="8" t="s">
        <v>150</v>
      </c>
      <c r="Z7" s="8" t="s">
        <v>10</v>
      </c>
      <c r="AA7" s="8" t="s">
        <v>11</v>
      </c>
      <c r="AB7" s="8" t="s">
        <v>1</v>
      </c>
      <c r="AC7" s="8" t="s">
        <v>2</v>
      </c>
      <c r="AD7" s="8" t="s">
        <v>3</v>
      </c>
      <c r="AE7" s="8" t="s">
        <v>4</v>
      </c>
      <c r="AF7" s="8" t="s">
        <v>5</v>
      </c>
      <c r="AG7" s="8" t="s">
        <v>68</v>
      </c>
      <c r="AH7" s="8" t="s">
        <v>6</v>
      </c>
      <c r="AI7" s="2"/>
    </row>
    <row r="8" spans="1:35" ht="11.25" customHeight="1">
      <c r="A8" s="2"/>
      <c r="B8" s="2"/>
      <c r="C8" s="2"/>
      <c r="D8" s="2"/>
      <c r="E8" s="2"/>
      <c r="F8" s="2"/>
      <c r="G8" s="2"/>
      <c r="H8" s="2"/>
      <c r="I8" s="2"/>
      <c r="J8" s="2"/>
      <c r="K8" s="2"/>
      <c r="L8" s="2"/>
      <c r="M8" s="2"/>
      <c r="N8" s="2"/>
      <c r="O8" s="2"/>
      <c r="P8" s="2"/>
      <c r="Q8" s="2"/>
      <c r="R8" s="2"/>
      <c r="S8" s="2"/>
      <c r="T8" s="2"/>
      <c r="U8" s="2"/>
      <c r="V8" s="2"/>
      <c r="W8" s="2"/>
      <c r="X8" s="39"/>
      <c r="Y8" s="2"/>
      <c r="Z8" s="2"/>
      <c r="AA8" s="39"/>
      <c r="AB8" s="2"/>
      <c r="AC8" s="2"/>
      <c r="AD8" s="2"/>
      <c r="AE8" s="2"/>
      <c r="AF8" s="2"/>
      <c r="AG8" s="2"/>
      <c r="AH8" s="2"/>
      <c r="AI8" s="2"/>
    </row>
    <row r="9" spans="1:35" ht="11.25" customHeight="1">
      <c r="A9" s="2"/>
      <c r="B9" s="2" t="s">
        <v>242</v>
      </c>
      <c r="C9" s="2"/>
      <c r="D9" s="2"/>
      <c r="E9" s="2"/>
      <c r="F9" s="2"/>
      <c r="G9" s="2"/>
      <c r="H9" s="2"/>
      <c r="I9" s="2"/>
      <c r="J9" s="2"/>
      <c r="K9" s="2"/>
      <c r="L9" s="2"/>
      <c r="M9" s="2"/>
      <c r="N9" s="2"/>
      <c r="O9" s="2"/>
      <c r="P9" s="2"/>
      <c r="Q9" s="2"/>
      <c r="R9" s="2"/>
      <c r="S9" s="2"/>
      <c r="T9" s="2"/>
      <c r="U9" s="2"/>
      <c r="V9" s="2"/>
      <c r="W9" s="2"/>
      <c r="X9" s="2"/>
      <c r="Y9" s="2"/>
      <c r="Z9" s="19"/>
      <c r="AA9" s="49">
        <f>'Historical Financials'!AW10/1000</f>
        <v>0.50417500000000004</v>
      </c>
      <c r="AB9" s="49">
        <f>'Historical Financials'!AX10/1000</f>
        <v>0.46645228000000005</v>
      </c>
      <c r="AC9" s="49">
        <f>'Historical Financials'!AY10/1000</f>
        <v>0.52361286300000009</v>
      </c>
      <c r="AD9" s="49">
        <f>'Historical Financials'!AZ10/1000</f>
        <v>0.64530361300000005</v>
      </c>
      <c r="AE9" s="49">
        <f>'Historical Financials'!BA10/1000</f>
        <v>0.69509119099999994</v>
      </c>
      <c r="AF9" s="49">
        <f>'Historical Financials'!BB10/1000</f>
        <v>0.88887925000000001</v>
      </c>
      <c r="AG9" s="49">
        <f>'Historical Financials'!BC10/1000</f>
        <v>0.81491400000000003</v>
      </c>
      <c r="AH9" s="49">
        <f ca="1">'Historical Financials'!BD10/1000</f>
        <v>0.99838513517135785</v>
      </c>
      <c r="AI9" s="2"/>
    </row>
    <row r="10" spans="1:35" ht="11.25" customHeight="1">
      <c r="A10" s="2"/>
      <c r="B10" s="2" t="s">
        <v>241</v>
      </c>
      <c r="C10" s="2"/>
      <c r="D10" s="2"/>
      <c r="E10" s="2"/>
      <c r="F10" s="2"/>
      <c r="G10" s="2"/>
      <c r="H10" s="2"/>
      <c r="I10" s="2"/>
      <c r="J10" s="2"/>
      <c r="K10" s="2"/>
      <c r="L10" s="2"/>
      <c r="M10" s="2"/>
      <c r="N10" s="2"/>
      <c r="O10" s="2"/>
      <c r="P10" s="2"/>
      <c r="Q10" s="2"/>
      <c r="R10" s="2"/>
      <c r="S10" s="2"/>
      <c r="T10" s="2"/>
      <c r="U10" s="2"/>
      <c r="V10" s="2"/>
      <c r="W10" s="2"/>
      <c r="X10" s="2"/>
      <c r="Y10" s="2"/>
      <c r="Z10" s="19"/>
      <c r="AA10" s="49">
        <f>'Historical Financials'!AW11/1000</f>
        <v>0.26539400000000002</v>
      </c>
      <c r="AB10" s="49">
        <f>'Historical Financials'!AX11/1000</f>
        <v>0.34191019499999997</v>
      </c>
      <c r="AC10" s="49">
        <f>'Historical Financials'!AY11/1000</f>
        <v>0.31582231100000002</v>
      </c>
      <c r="AD10" s="49">
        <f>'Historical Financials'!AZ11/1000</f>
        <v>0.43980998399999999</v>
      </c>
      <c r="AE10" s="49">
        <f>'Historical Financials'!BA11/1000</f>
        <v>0.587780144</v>
      </c>
      <c r="AF10" s="49">
        <f>'Historical Financials'!BB11/1000</f>
        <v>0.93238372899999999</v>
      </c>
      <c r="AG10" s="49">
        <f>'Historical Financials'!BC11/1000</f>
        <v>0.93476899999999996</v>
      </c>
      <c r="AH10" s="49">
        <f>'Historical Financials'!BD11/1000</f>
        <v>1.459167782</v>
      </c>
      <c r="AI10" s="2"/>
    </row>
    <row r="11" spans="1:35" ht="11.25" customHeight="1">
      <c r="A11" s="2"/>
      <c r="B11" s="2" t="s">
        <v>243</v>
      </c>
      <c r="C11" s="2"/>
      <c r="D11" s="2"/>
      <c r="E11" s="2"/>
      <c r="F11" s="2"/>
      <c r="G11" s="2"/>
      <c r="H11" s="2"/>
      <c r="I11" s="2"/>
      <c r="J11" s="2"/>
      <c r="K11" s="2"/>
      <c r="L11" s="2"/>
      <c r="M11" s="2"/>
      <c r="N11" s="2"/>
      <c r="O11" s="2"/>
      <c r="P11" s="2"/>
      <c r="Q11" s="2"/>
      <c r="R11" s="2"/>
      <c r="S11" s="2"/>
      <c r="T11" s="2"/>
      <c r="U11" s="2"/>
      <c r="V11" s="2"/>
      <c r="W11" s="2"/>
      <c r="X11" s="2"/>
      <c r="Y11" s="2"/>
      <c r="Z11" s="19"/>
      <c r="AA11" s="49">
        <f>'Historical Financials'!AW12/1000</f>
        <v>5.1776000000000003E-2</v>
      </c>
      <c r="AB11" s="49">
        <f>'Historical Financials'!AX12/1000</f>
        <v>6.5091313999999997E-2</v>
      </c>
      <c r="AC11" s="49">
        <f>'Historical Financials'!AY12/1000</f>
        <v>8.6342706999999991E-2</v>
      </c>
      <c r="AD11" s="49">
        <f>'Historical Financials'!AZ12/1000</f>
        <v>0.11035518799999999</v>
      </c>
      <c r="AE11" s="49">
        <f>'Historical Financials'!BA12/1000</f>
        <v>0.133005979</v>
      </c>
      <c r="AF11" s="49">
        <f>'Historical Financials'!BB12/1000</f>
        <v>0.19611498699999999</v>
      </c>
      <c r="AG11" s="49">
        <f>'Historical Financials'!BC12/1000</f>
        <v>0.16191700000000001</v>
      </c>
      <c r="AH11" s="49">
        <f>'Historical Financials'!BD12/1000</f>
        <v>0.18434194100000001</v>
      </c>
      <c r="AI11" s="2"/>
    </row>
    <row r="12" spans="1:35" ht="11.25" customHeight="1">
      <c r="A12" s="2"/>
      <c r="B12" s="2" t="s">
        <v>244</v>
      </c>
      <c r="C12" s="2"/>
      <c r="D12" s="2"/>
      <c r="E12" s="2"/>
      <c r="F12" s="2"/>
      <c r="G12" s="2"/>
      <c r="H12" s="2"/>
      <c r="I12" s="2"/>
      <c r="J12" s="2"/>
      <c r="K12" s="2"/>
      <c r="L12" s="2"/>
      <c r="M12" s="2"/>
      <c r="N12" s="2"/>
      <c r="O12" s="2"/>
      <c r="P12" s="2"/>
      <c r="Q12" s="2"/>
      <c r="R12" s="2"/>
      <c r="S12" s="2"/>
      <c r="T12" s="2"/>
      <c r="U12" s="2"/>
      <c r="V12" s="2"/>
      <c r="W12" s="2"/>
      <c r="X12" s="2"/>
      <c r="Y12" s="2"/>
      <c r="Z12" s="19"/>
      <c r="AA12" s="49">
        <f>'Historical Financials'!AW13/1000</f>
        <v>4.3871E-2</v>
      </c>
      <c r="AB12" s="49">
        <f>'Historical Financials'!AX13/1000</f>
        <v>5.1709787E-2</v>
      </c>
      <c r="AC12" s="49">
        <f>'Historical Financials'!AY13/1000</f>
        <v>4.7914517999999996E-2</v>
      </c>
      <c r="AD12" s="49">
        <f>'Historical Financials'!AZ13/1000</f>
        <v>4.4367561999999999E-2</v>
      </c>
      <c r="AE12" s="49">
        <f>'Historical Financials'!BA13/1000</f>
        <v>6.7076352999999991E-2</v>
      </c>
      <c r="AF12" s="49">
        <f>'Historical Financials'!BB13/1000</f>
        <v>0.11638098699999999</v>
      </c>
      <c r="AG12" s="49">
        <f>'Historical Financials'!BC13/1000</f>
        <v>0.133654</v>
      </c>
      <c r="AH12" s="49">
        <f>'Historical Financials'!BD13/1000</f>
        <v>0.143752926</v>
      </c>
      <c r="AI12" s="2"/>
    </row>
    <row r="13" spans="1:35" ht="11.25" customHeight="1">
      <c r="A13" s="2"/>
      <c r="B13" s="2" t="s">
        <v>245</v>
      </c>
      <c r="C13" s="2"/>
      <c r="D13" s="2"/>
      <c r="E13" s="2"/>
      <c r="F13" s="2"/>
      <c r="G13" s="2"/>
      <c r="H13" s="2"/>
      <c r="I13" s="2"/>
      <c r="J13" s="2"/>
      <c r="K13" s="2"/>
      <c r="L13" s="2"/>
      <c r="M13" s="2"/>
      <c r="N13" s="2"/>
      <c r="O13" s="2"/>
      <c r="P13" s="2"/>
      <c r="Q13" s="2"/>
      <c r="R13" s="2"/>
      <c r="S13" s="2"/>
      <c r="T13" s="2"/>
      <c r="U13" s="2"/>
      <c r="V13" s="2"/>
      <c r="W13" s="2"/>
      <c r="X13" s="2"/>
      <c r="Y13" s="2"/>
      <c r="Z13" s="19"/>
      <c r="AA13" s="49">
        <f>'Historical Financials'!AW14/1000</f>
        <v>6.3097E-2</v>
      </c>
      <c r="AB13" s="49">
        <f>'Historical Financials'!AX14/1000</f>
        <v>5.8470178999999997E-2</v>
      </c>
      <c r="AC13" s="49">
        <f>'Historical Financials'!AY14/1000</f>
        <v>5.3733394999999996E-2</v>
      </c>
      <c r="AD13" s="49">
        <f>'Historical Financials'!AZ14/1000</f>
        <v>5.4555664999999996E-2</v>
      </c>
      <c r="AE13" s="49">
        <f>'Historical Financials'!BA14/1000</f>
        <v>5.5577222999999995E-2</v>
      </c>
      <c r="AF13" s="49">
        <f>'Historical Financials'!BB14/1000</f>
        <v>5.6158771999999996E-2</v>
      </c>
      <c r="AG13" s="49">
        <f>'Historical Financials'!BC14/1000</f>
        <v>4.7E-2</v>
      </c>
      <c r="AH13" s="49">
        <f>'Historical Financials'!BD14/1000</f>
        <v>4.1430847E-2</v>
      </c>
      <c r="AI13" s="2"/>
    </row>
    <row r="14" spans="1:35" ht="11.25" customHeight="1">
      <c r="A14" s="2"/>
      <c r="B14" s="2" t="s">
        <v>188</v>
      </c>
      <c r="C14" s="2"/>
      <c r="D14" s="2"/>
      <c r="E14" s="2"/>
      <c r="F14" s="2"/>
      <c r="G14" s="2"/>
      <c r="H14" s="2"/>
      <c r="I14" s="2"/>
      <c r="J14" s="2"/>
      <c r="K14" s="2"/>
      <c r="L14" s="2"/>
      <c r="M14" s="2"/>
      <c r="N14" s="2"/>
      <c r="O14" s="2"/>
      <c r="P14" s="2"/>
      <c r="Q14" s="2"/>
      <c r="R14" s="2"/>
      <c r="S14" s="2"/>
      <c r="T14" s="2"/>
      <c r="U14" s="2"/>
      <c r="V14" s="2"/>
      <c r="W14" s="2"/>
      <c r="X14" s="2"/>
      <c r="Y14" s="2"/>
      <c r="Z14" s="19"/>
      <c r="AA14" s="49">
        <f>'Historical Financials'!AW15/1000</f>
        <v>4.9133999999999997E-2</v>
      </c>
      <c r="AB14" s="49">
        <f>'Historical Financials'!AX15/1000</f>
        <v>4.7839802000000008E-2</v>
      </c>
      <c r="AC14" s="49">
        <f>'Historical Financials'!AY15/1000</f>
        <v>4.2559654000000002E-2</v>
      </c>
      <c r="AD14" s="49">
        <f>'Historical Financials'!AZ15/1000</f>
        <v>4.4862799000000002E-2</v>
      </c>
      <c r="AE14" s="49">
        <f>'Historical Financials'!BA15/1000</f>
        <v>4.8884146999999996E-2</v>
      </c>
      <c r="AF14" s="49">
        <f>'Historical Financials'!BB15/1000</f>
        <v>7.397356699999999E-2</v>
      </c>
      <c r="AG14" s="49">
        <f>'Historical Financials'!BC15/1000</f>
        <v>6.9482000000000002E-2</v>
      </c>
      <c r="AH14" s="49">
        <f>'Historical Financials'!BD15/1000</f>
        <v>5.9911555000000005E-2</v>
      </c>
      <c r="AI14" s="2"/>
    </row>
    <row r="15" spans="1:35" ht="11.25" customHeight="1">
      <c r="A15" s="5"/>
      <c r="B15" s="204" t="s">
        <v>132</v>
      </c>
      <c r="C15" s="147"/>
      <c r="D15" s="147"/>
      <c r="E15" s="147"/>
      <c r="F15" s="147"/>
      <c r="G15" s="320">
        <f>'Historical Financials'!AC16/1000</f>
        <v>4.3927000000000001E-2</v>
      </c>
      <c r="H15" s="320">
        <f>'Historical Financials'!AD16/1000</f>
        <v>5.0421999999999995E-2</v>
      </c>
      <c r="I15" s="320">
        <f>'Historical Financials'!AE16/1000</f>
        <v>7.3066999999999993E-2</v>
      </c>
      <c r="J15" s="320">
        <f>'Historical Financials'!AF16/1000</f>
        <v>0.16619800000000001</v>
      </c>
      <c r="K15" s="320">
        <f>'Historical Financials'!AG16/1000</f>
        <v>0.125885</v>
      </c>
      <c r="L15" s="320">
        <f>'Historical Financials'!AH16/1000</f>
        <v>0.162301</v>
      </c>
      <c r="M15" s="320">
        <f>'Historical Financials'!AI16/1000</f>
        <v>0.20299700000000001</v>
      </c>
      <c r="N15" s="320">
        <f>'Historical Financials'!AJ16/1000</f>
        <v>0.25721300000000002</v>
      </c>
      <c r="O15" s="320">
        <f>'Historical Financials'!AK16/1000</f>
        <v>0.266565</v>
      </c>
      <c r="P15" s="320">
        <f>'Historical Financials'!AL16/1000</f>
        <v>0.31740699999999999</v>
      </c>
      <c r="Q15" s="320">
        <f>'Historical Financials'!AM16/1000</f>
        <v>0.32262999999999997</v>
      </c>
      <c r="R15" s="320">
        <f>'Historical Financials'!AN16/1000</f>
        <v>0.33315800000000001</v>
      </c>
      <c r="S15" s="320">
        <f>'Historical Financials'!AO16/1000</f>
        <v>0.295742</v>
      </c>
      <c r="T15" s="320">
        <f>'Historical Financials'!AP16/1000</f>
        <v>0.41953800000000002</v>
      </c>
      <c r="U15" s="320">
        <f>'Historical Financials'!AQ16/1000</f>
        <v>0.42708100000000004</v>
      </c>
      <c r="V15" s="320">
        <f>'Historical Financials'!AR16/1000</f>
        <v>0.506745</v>
      </c>
      <c r="W15" s="320">
        <f>'Historical Financials'!AS16/1000</f>
        <v>0.597024</v>
      </c>
      <c r="X15" s="320">
        <f>'Historical Financials'!AT16/1000</f>
        <v>0.7628060000000001</v>
      </c>
      <c r="Y15" s="320">
        <f>'Historical Financials'!AU16/1000</f>
        <v>0.84349699999999994</v>
      </c>
      <c r="Z15" s="320">
        <f>'Historical Financials'!AV16/1000</f>
        <v>0.94793799999999995</v>
      </c>
      <c r="AA15" s="320">
        <f>'Historical Financials'!AW16/1000</f>
        <v>0.97744699999999984</v>
      </c>
      <c r="AB15" s="320">
        <f>'Historical Financials'!AX16/1000</f>
        <v>1.031473557</v>
      </c>
      <c r="AC15" s="320">
        <f>'Historical Financials'!AY16/1000</f>
        <v>1.0699854480000002</v>
      </c>
      <c r="AD15" s="320">
        <f>'Historical Financials'!AZ16/1000</f>
        <v>1.339254811</v>
      </c>
      <c r="AE15" s="320">
        <f>'Historical Financials'!BA16/1000</f>
        <v>1.5874150369999998</v>
      </c>
      <c r="AF15" s="320">
        <f>'Historical Financials'!BB16/1000</f>
        <v>2.2638912920000003</v>
      </c>
      <c r="AG15" s="320">
        <f>'Historical Financials'!BC16/1000</f>
        <v>2.1617359999999999</v>
      </c>
      <c r="AH15" s="320">
        <f ca="1">'Historical Financials'!BD16/1000</f>
        <v>2.8869901861713583</v>
      </c>
      <c r="AI15" s="5"/>
    </row>
    <row r="16" spans="1:35" s="54" customFormat="1" ht="11.25" customHeight="1">
      <c r="A16" s="18"/>
      <c r="B16" s="36" t="s">
        <v>249</v>
      </c>
      <c r="C16" s="18"/>
      <c r="D16" s="18"/>
      <c r="E16" s="18"/>
      <c r="F16" s="18"/>
      <c r="G16" s="120"/>
      <c r="H16" s="120">
        <f t="shared" ref="H16" si="0">IFERROR(H15/G15-1,"n/a")</f>
        <v>0.1478589477997585</v>
      </c>
      <c r="I16" s="120">
        <f t="shared" ref="I16" si="1">IFERROR(I15/H15-1,"n/a")</f>
        <v>0.44910951568759661</v>
      </c>
      <c r="J16" s="120">
        <f t="shared" ref="J16" si="2">IFERROR(J15/I15-1,"n/a")</f>
        <v>1.2745972874211344</v>
      </c>
      <c r="K16" s="120">
        <f t="shared" ref="K16" si="3">IFERROR(K15/J15-1,"n/a")</f>
        <v>-0.24256007894198495</v>
      </c>
      <c r="L16" s="120">
        <f t="shared" ref="L16" si="4">IFERROR(L15/K15-1,"n/a")</f>
        <v>0.2892798983198952</v>
      </c>
      <c r="M16" s="120">
        <f t="shared" ref="M16" si="5">IFERROR(M15/L15-1,"n/a")</f>
        <v>0.25074398802225506</v>
      </c>
      <c r="N16" s="120">
        <f t="shared" ref="N16" si="6">IFERROR(N15/M15-1,"n/a")</f>
        <v>0.26707783858874756</v>
      </c>
      <c r="O16" s="120">
        <f t="shared" ref="O16" si="7">IFERROR(O15/N15-1,"n/a")</f>
        <v>3.6358970969585513E-2</v>
      </c>
      <c r="P16" s="120">
        <f t="shared" ref="P16" si="8">IFERROR(P15/O15-1,"n/a")</f>
        <v>0.19073021589480987</v>
      </c>
      <c r="Q16" s="120">
        <f t="shared" ref="Q16" si="9">IFERROR(Q15/P15-1,"n/a")</f>
        <v>1.6455213653133072E-2</v>
      </c>
      <c r="R16" s="120">
        <f t="shared" ref="R16" si="10">IFERROR(R15/Q15-1,"n/a")</f>
        <v>3.2631807333478147E-2</v>
      </c>
      <c r="S16" s="120">
        <f t="shared" ref="S16" si="11">IFERROR(S15/R15-1,"n/a")</f>
        <v>-0.11230707352067193</v>
      </c>
      <c r="T16" s="120">
        <f t="shared" ref="T16" si="12">IFERROR(T15/S15-1,"n/a")</f>
        <v>0.4185945858214255</v>
      </c>
      <c r="U16" s="120">
        <f t="shared" ref="U16" si="13">IFERROR(U15/T15-1,"n/a")</f>
        <v>1.7979301040668583E-2</v>
      </c>
      <c r="V16" s="120">
        <f t="shared" ref="V16" si="14">IFERROR(V15/U15-1,"n/a")</f>
        <v>0.18653136056157948</v>
      </c>
      <c r="W16" s="120">
        <f t="shared" ref="W16" si="15">IFERROR(W15/V15-1,"n/a")</f>
        <v>0.178154693188882</v>
      </c>
      <c r="X16" s="120">
        <f t="shared" ref="X16" si="16">IFERROR(X15/W15-1,"n/a")</f>
        <v>0.2776806292544356</v>
      </c>
      <c r="Y16" s="120">
        <f t="shared" ref="Y16" si="17">IFERROR(Y15/X15-1,"n/a")</f>
        <v>0.10578181084050176</v>
      </c>
      <c r="Z16" s="120">
        <f t="shared" ref="Z16" si="18">IFERROR(Z15/Y15-1,"n/a")</f>
        <v>0.12381905329835208</v>
      </c>
      <c r="AA16" s="120">
        <f t="shared" ref="AA16" si="19">IFERROR(AA15/Z15-1,"n/a")</f>
        <v>3.1129673037687988E-2</v>
      </c>
      <c r="AB16" s="120">
        <f t="shared" ref="AB16" si="20">IFERROR(AB15/AA15-1,"n/a")</f>
        <v>5.5273131944750142E-2</v>
      </c>
      <c r="AC16" s="120">
        <f t="shared" ref="AC16" si="21">IFERROR(AC15/AB15-1,"n/a")</f>
        <v>3.7336770039951839E-2</v>
      </c>
      <c r="AD16" s="120">
        <f t="shared" ref="AD16" si="22">IFERROR(AD15/AC15-1,"n/a")</f>
        <v>0.25165703281601992</v>
      </c>
      <c r="AE16" s="120">
        <f t="shared" ref="AE16" si="23">IFERROR(AE15/AD15-1,"n/a")</f>
        <v>0.18529724437928463</v>
      </c>
      <c r="AF16" s="120">
        <f t="shared" ref="AF16" si="24">IFERROR(AF15/AE15-1,"n/a")</f>
        <v>0.42614958232879618</v>
      </c>
      <c r="AG16" s="120">
        <f t="shared" ref="AG16" si="25">IFERROR(AG15/AF15-1,"n/a")</f>
        <v>-4.5123762064455342E-2</v>
      </c>
      <c r="AH16" s="120">
        <f t="shared" ref="AH16" ca="1" si="26">IFERROR(AH15/AG15-1,"n/a")</f>
        <v>0.33549618740279041</v>
      </c>
      <c r="AI16" s="18"/>
    </row>
    <row r="17" spans="1:35" s="54" customFormat="1" ht="11.25" customHeight="1">
      <c r="A17" s="18"/>
      <c r="B17" s="36" t="s">
        <v>324</v>
      </c>
      <c r="C17" s="18"/>
      <c r="D17" s="18"/>
      <c r="E17" s="18"/>
      <c r="F17" s="18"/>
      <c r="G17" s="120"/>
      <c r="H17" s="120"/>
      <c r="I17" s="120"/>
      <c r="J17" s="120"/>
      <c r="K17" s="120"/>
      <c r="L17" s="120"/>
      <c r="M17" s="120"/>
      <c r="N17" s="120"/>
      <c r="O17" s="120"/>
      <c r="P17" s="120"/>
      <c r="Q17" s="120"/>
      <c r="R17" s="120"/>
      <c r="S17" s="120"/>
      <c r="T17" s="120"/>
      <c r="U17" s="120"/>
      <c r="V17" s="120"/>
      <c r="W17" s="120"/>
      <c r="X17" s="120"/>
      <c r="Y17" s="120"/>
      <c r="Z17" s="120"/>
      <c r="AA17" s="252">
        <f>'Historical Financials'!AW19</f>
        <v>9.1063540604824994E-2</v>
      </c>
      <c r="AB17" s="252">
        <f>'Historical Financials'!AX19</f>
        <v>6.5088757396449815E-2</v>
      </c>
      <c r="AC17" s="252">
        <f>'Historical Financials'!AY19</f>
        <v>1.2573099415204668E-2</v>
      </c>
      <c r="AD17" s="252">
        <f>'Historical Financials'!AZ19</f>
        <v>0.31417845798440641</v>
      </c>
      <c r="AE17" s="252">
        <f>'Historical Financials'!BA19</f>
        <v>0.2485168094924193</v>
      </c>
      <c r="AF17" s="252">
        <f>'Historical Financials'!BB19</f>
        <v>0.33544526575149586</v>
      </c>
      <c r="AG17" s="252">
        <f>'Historical Financials'!BC19</f>
        <v>-8.6715867158671564E-2</v>
      </c>
      <c r="AH17" s="252">
        <f ca="1">'Historical Financials'!BD19</f>
        <v>0.29527961611876108</v>
      </c>
      <c r="AI17" s="18"/>
    </row>
    <row r="18" spans="1:35" s="54" customFormat="1" ht="11.25" customHeight="1">
      <c r="A18" s="18"/>
      <c r="B18" s="36"/>
      <c r="C18" s="18"/>
      <c r="D18" s="18"/>
      <c r="E18" s="18"/>
      <c r="F18" s="18"/>
      <c r="G18" s="120"/>
      <c r="H18" s="120"/>
      <c r="I18" s="120"/>
      <c r="J18" s="120"/>
      <c r="K18" s="120"/>
      <c r="L18" s="120"/>
      <c r="M18" s="120"/>
      <c r="N18" s="120"/>
      <c r="O18" s="120"/>
      <c r="P18" s="120"/>
      <c r="Q18" s="120"/>
      <c r="R18" s="120"/>
      <c r="S18" s="120"/>
      <c r="T18" s="120"/>
      <c r="U18" s="120"/>
      <c r="V18" s="120"/>
      <c r="W18" s="120"/>
      <c r="X18" s="120"/>
      <c r="Y18" s="120"/>
      <c r="Z18" s="120"/>
      <c r="AA18" s="252"/>
      <c r="AB18" s="252"/>
      <c r="AC18" s="252"/>
      <c r="AD18" s="252"/>
      <c r="AE18" s="252"/>
      <c r="AF18" s="252"/>
      <c r="AG18" s="252"/>
      <c r="AH18" s="252"/>
      <c r="AI18" s="18"/>
    </row>
    <row r="19" spans="1:35" s="54" customFormat="1" ht="11.25" customHeight="1">
      <c r="A19" s="18"/>
      <c r="B19" s="324" t="s">
        <v>416</v>
      </c>
      <c r="C19" s="18"/>
      <c r="D19" s="18"/>
      <c r="E19" s="18"/>
      <c r="F19" s="18"/>
      <c r="G19" s="120"/>
      <c r="H19" s="120"/>
      <c r="I19" s="120"/>
      <c r="J19" s="120"/>
      <c r="K19" s="120"/>
      <c r="L19" s="120"/>
      <c r="M19" s="120"/>
      <c r="N19" s="120"/>
      <c r="O19" s="120"/>
      <c r="P19" s="120"/>
      <c r="Q19" s="120"/>
      <c r="R19" s="120"/>
      <c r="S19" s="120"/>
      <c r="T19" s="120"/>
      <c r="U19" s="120"/>
      <c r="V19" s="120"/>
      <c r="W19" s="120"/>
      <c r="X19" s="120"/>
      <c r="Y19" s="120"/>
      <c r="Z19" s="120"/>
      <c r="AA19" s="120"/>
      <c r="AB19" s="120"/>
      <c r="AC19" s="120"/>
      <c r="AD19" s="120"/>
      <c r="AE19" s="120"/>
      <c r="AF19" s="120"/>
      <c r="AG19" s="120"/>
      <c r="AH19" s="120"/>
      <c r="AI19" s="18"/>
    </row>
    <row r="20" spans="1:35" s="54" customFormat="1" ht="11.25" customHeight="1">
      <c r="A20" s="18"/>
      <c r="B20" s="36" t="s">
        <v>415</v>
      </c>
      <c r="C20" s="18"/>
      <c r="D20" s="18"/>
      <c r="E20" s="18"/>
      <c r="F20" s="18"/>
      <c r="G20" s="120"/>
      <c r="H20" s="120"/>
      <c r="I20" s="120"/>
      <c r="J20" s="120"/>
      <c r="K20" s="120"/>
      <c r="L20" s="120"/>
      <c r="M20" s="120"/>
      <c r="N20" s="250">
        <v>0.107</v>
      </c>
      <c r="O20" s="120">
        <f>O90/N90-1</f>
        <v>8.5593786377644809E-2</v>
      </c>
      <c r="P20" s="120">
        <f t="shared" ref="P20:AH20" si="27">P90/O90-1</f>
        <v>7.7398175422636717E-2</v>
      </c>
      <c r="Q20" s="120">
        <f t="shared" si="27"/>
        <v>6.9847812543081256E-2</v>
      </c>
      <c r="R20" s="120">
        <f t="shared" si="27"/>
        <v>4.3513777943537502E-2</v>
      </c>
      <c r="S20" s="120">
        <f t="shared" si="27"/>
        <v>-0.12722489199224374</v>
      </c>
      <c r="T20" s="120">
        <f t="shared" si="27"/>
        <v>6.0513062877841417E-2</v>
      </c>
      <c r="U20" s="120">
        <f t="shared" si="27"/>
        <v>0.11234667586110625</v>
      </c>
      <c r="V20" s="120">
        <f t="shared" si="27"/>
        <v>4.2275592992409239E-2</v>
      </c>
      <c r="W20" s="120">
        <f t="shared" si="27"/>
        <v>2.530084153423573E-2</v>
      </c>
      <c r="X20" s="120">
        <f t="shared" si="27"/>
        <v>3.904416991118187E-2</v>
      </c>
      <c r="Y20" s="120">
        <f t="shared" si="27"/>
        <v>-2.1930441536009648E-2</v>
      </c>
      <c r="Z20" s="120">
        <f t="shared" si="27"/>
        <v>1.3768216470565919E-2</v>
      </c>
      <c r="AA20" s="120">
        <f t="shared" si="27"/>
        <v>7.9428960367678103E-2</v>
      </c>
      <c r="AB20" s="120">
        <f t="shared" si="27"/>
        <v>8.8413913696752111E-2</v>
      </c>
      <c r="AC20" s="120">
        <f t="shared" si="27"/>
        <v>4.470778160493305E-2</v>
      </c>
      <c r="AD20" s="120">
        <f t="shared" si="27"/>
        <v>-4.3018911054582221E-2</v>
      </c>
      <c r="AE20" s="120">
        <f t="shared" si="27"/>
        <v>0.16802136779209143</v>
      </c>
      <c r="AF20" s="120">
        <f t="shared" si="27"/>
        <v>0.12553792172547018</v>
      </c>
      <c r="AG20" s="120">
        <f t="shared" si="27"/>
        <v>3.2269313901856389E-2</v>
      </c>
      <c r="AH20" s="120">
        <f t="shared" si="27"/>
        <v>5.1509955943529029E-2</v>
      </c>
      <c r="AI20" s="18"/>
    </row>
    <row r="21" spans="1:35" s="54" customFormat="1" ht="11.25" customHeight="1">
      <c r="A21" s="18"/>
      <c r="B21" s="36" t="s">
        <v>420</v>
      </c>
      <c r="C21" s="18"/>
      <c r="D21" s="18"/>
      <c r="E21" s="18"/>
      <c r="F21" s="18"/>
      <c r="G21" s="120"/>
      <c r="H21" s="120"/>
      <c r="I21" s="120"/>
      <c r="J21" s="120"/>
      <c r="K21" s="120"/>
      <c r="L21" s="120"/>
      <c r="M21" s="120"/>
      <c r="N21" s="250">
        <v>0.34799999999999998</v>
      </c>
      <c r="O21" s="120">
        <f>O95/N95-1</f>
        <v>1.2718831421941301E-2</v>
      </c>
      <c r="P21" s="120">
        <f t="shared" ref="P21:AH21" si="28">P95/O95-1</f>
        <v>9.426019367511862E-2</v>
      </c>
      <c r="Q21" s="120">
        <f t="shared" si="28"/>
        <v>5.0387572990459928E-2</v>
      </c>
      <c r="R21" s="120">
        <f t="shared" si="28"/>
        <v>-1.0662230864683653E-2</v>
      </c>
      <c r="S21" s="120">
        <f t="shared" si="28"/>
        <v>-0.13192657973027211</v>
      </c>
      <c r="T21" s="120">
        <f t="shared" si="28"/>
        <v>0.34888406800171268</v>
      </c>
      <c r="U21" s="120">
        <f t="shared" si="28"/>
        <v>0.13216867308031532</v>
      </c>
      <c r="V21" s="120">
        <f t="shared" si="28"/>
        <v>-1.5346647936264945E-2</v>
      </c>
      <c r="W21" s="120">
        <f t="shared" si="28"/>
        <v>1.6484350374715628E-2</v>
      </c>
      <c r="X21" s="120">
        <f t="shared" si="28"/>
        <v>0.10920582040132554</v>
      </c>
      <c r="Y21" s="120">
        <f t="shared" si="28"/>
        <v>3.2095704278126247E-2</v>
      </c>
      <c r="Z21" s="120">
        <f t="shared" si="28"/>
        <v>7.9350976875937507E-2</v>
      </c>
      <c r="AA21" s="120">
        <f t="shared" si="28"/>
        <v>0.16693378791112257</v>
      </c>
      <c r="AB21" s="120">
        <f t="shared" si="28"/>
        <v>0.1284181819354171</v>
      </c>
      <c r="AC21" s="120">
        <f t="shared" si="28"/>
        <v>6.2572006975196715E-3</v>
      </c>
      <c r="AD21" s="120">
        <f t="shared" si="28"/>
        <v>0.12769135607950455</v>
      </c>
      <c r="AE21" s="120">
        <f t="shared" si="28"/>
        <v>0.25827513772973942</v>
      </c>
      <c r="AF21" s="120">
        <f t="shared" si="28"/>
        <v>7.5924211045937939E-2</v>
      </c>
      <c r="AG21" s="120">
        <f t="shared" si="28"/>
        <v>-4.2452808490990313E-3</v>
      </c>
      <c r="AH21" s="120">
        <f t="shared" si="28"/>
        <v>0.22483433938675135</v>
      </c>
      <c r="AI21" s="18"/>
    </row>
    <row r="22" spans="1:35" s="54" customFormat="1" ht="11.25" customHeight="1">
      <c r="A22" s="18"/>
      <c r="B22" s="36"/>
      <c r="C22" s="18"/>
      <c r="D22" s="18"/>
      <c r="E22" s="18"/>
      <c r="F22" s="18"/>
      <c r="G22" s="120"/>
      <c r="H22" s="120"/>
      <c r="I22" s="120"/>
      <c r="J22" s="120"/>
      <c r="K22" s="120"/>
      <c r="L22" s="120"/>
      <c r="M22" s="120"/>
      <c r="N22" s="250"/>
      <c r="O22" s="120"/>
      <c r="P22" s="120"/>
      <c r="Q22" s="120"/>
      <c r="R22" s="120"/>
      <c r="S22" s="120"/>
      <c r="T22" s="120"/>
      <c r="U22" s="120"/>
      <c r="V22" s="120"/>
      <c r="W22" s="120"/>
      <c r="X22" s="120"/>
      <c r="Y22" s="120"/>
      <c r="Z22" s="120"/>
      <c r="AA22" s="120"/>
      <c r="AB22" s="120"/>
      <c r="AC22" s="120"/>
      <c r="AD22" s="120"/>
      <c r="AE22" s="120"/>
      <c r="AF22" s="120"/>
      <c r="AG22" s="120"/>
      <c r="AH22" s="120"/>
      <c r="AI22" s="18"/>
    </row>
    <row r="23" spans="1:35" s="54" customFormat="1" ht="11.25" customHeight="1">
      <c r="A23" s="18"/>
      <c r="B23" s="324" t="s">
        <v>418</v>
      </c>
      <c r="C23" s="18"/>
      <c r="D23" s="18"/>
      <c r="E23" s="18"/>
      <c r="F23" s="18"/>
      <c r="G23" s="120"/>
      <c r="H23" s="120"/>
      <c r="I23" s="120"/>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20"/>
      <c r="AG23" s="120"/>
      <c r="AH23" s="120"/>
      <c r="AI23" s="18"/>
    </row>
    <row r="24" spans="1:35" s="54" customFormat="1" ht="11.25" customHeight="1">
      <c r="A24" s="18"/>
      <c r="B24" s="36" t="s">
        <v>415</v>
      </c>
      <c r="C24" s="18"/>
      <c r="D24" s="18"/>
      <c r="E24" s="18"/>
      <c r="F24" s="18"/>
      <c r="G24" s="120"/>
      <c r="H24" s="120"/>
      <c r="I24" s="120"/>
      <c r="J24" s="120"/>
      <c r="K24" s="120"/>
      <c r="L24" s="120"/>
      <c r="M24" s="120"/>
      <c r="N24" s="318">
        <f t="shared" ref="N24:AH24" si="29">N16-N20</f>
        <v>0.16007783858874758</v>
      </c>
      <c r="O24" s="318">
        <f t="shared" si="29"/>
        <v>-4.9234815408059296E-2</v>
      </c>
      <c r="P24" s="318">
        <f t="shared" si="29"/>
        <v>0.11333204047217316</v>
      </c>
      <c r="Q24" s="318">
        <f t="shared" si="29"/>
        <v>-5.3392598889948184E-2</v>
      </c>
      <c r="R24" s="318">
        <f t="shared" si="29"/>
        <v>-1.0881970610059355E-2</v>
      </c>
      <c r="S24" s="318">
        <f t="shared" si="29"/>
        <v>1.4917818471571809E-2</v>
      </c>
      <c r="T24" s="318">
        <f t="shared" si="29"/>
        <v>0.35808152294358409</v>
      </c>
      <c r="U24" s="318">
        <f t="shared" si="29"/>
        <v>-9.4367374820437666E-2</v>
      </c>
      <c r="V24" s="318">
        <f t="shared" si="29"/>
        <v>0.14425576756917025</v>
      </c>
      <c r="W24" s="318">
        <f t="shared" si="29"/>
        <v>0.15285385165464627</v>
      </c>
      <c r="X24" s="318">
        <f t="shared" si="29"/>
        <v>0.23863645934325373</v>
      </c>
      <c r="Y24" s="318">
        <f t="shared" si="29"/>
        <v>0.1277122523765114</v>
      </c>
      <c r="Z24" s="318">
        <f t="shared" si="29"/>
        <v>0.11005083682778616</v>
      </c>
      <c r="AA24" s="318">
        <f t="shared" si="29"/>
        <v>-4.8299287329990115E-2</v>
      </c>
      <c r="AB24" s="318">
        <f t="shared" si="29"/>
        <v>-3.3140781752001969E-2</v>
      </c>
      <c r="AC24" s="318">
        <f t="shared" si="29"/>
        <v>-7.3710115649812114E-3</v>
      </c>
      <c r="AD24" s="318">
        <f t="shared" si="29"/>
        <v>0.29467594387060214</v>
      </c>
      <c r="AE24" s="318">
        <f t="shared" si="29"/>
        <v>1.7275876587193206E-2</v>
      </c>
      <c r="AF24" s="318">
        <f t="shared" si="29"/>
        <v>0.300611660603326</v>
      </c>
      <c r="AG24" s="318">
        <f t="shared" si="29"/>
        <v>-7.7393075966311731E-2</v>
      </c>
      <c r="AH24" s="318">
        <f t="shared" ca="1" si="29"/>
        <v>0.28398623145926138</v>
      </c>
      <c r="AI24" s="18"/>
    </row>
    <row r="25" spans="1:35" s="54" customFormat="1" ht="11.25" customHeight="1">
      <c r="A25" s="18"/>
      <c r="B25" s="36" t="s">
        <v>420</v>
      </c>
      <c r="C25" s="18"/>
      <c r="D25" s="18"/>
      <c r="E25" s="18"/>
      <c r="F25" s="18"/>
      <c r="G25" s="120"/>
      <c r="H25" s="120"/>
      <c r="I25" s="120"/>
      <c r="J25" s="120"/>
      <c r="K25" s="120"/>
      <c r="L25" s="120"/>
      <c r="M25" s="120"/>
      <c r="N25" s="318">
        <f t="shared" ref="N25:AH25" si="30">N16-N21</f>
        <v>-8.0922161411252413E-2</v>
      </c>
      <c r="O25" s="318">
        <f t="shared" si="30"/>
        <v>2.3640139547644212E-2</v>
      </c>
      <c r="P25" s="318">
        <f t="shared" si="30"/>
        <v>9.6470022219691254E-2</v>
      </c>
      <c r="Q25" s="318">
        <f t="shared" si="30"/>
        <v>-3.3932359337326856E-2</v>
      </c>
      <c r="R25" s="318">
        <f t="shared" si="30"/>
        <v>4.3294038198161799E-2</v>
      </c>
      <c r="S25" s="318">
        <f t="shared" si="30"/>
        <v>1.9619506209600179E-2</v>
      </c>
      <c r="T25" s="318">
        <f t="shared" si="30"/>
        <v>6.9710517819712825E-2</v>
      </c>
      <c r="U25" s="318">
        <f t="shared" si="30"/>
        <v>-0.11418937203964674</v>
      </c>
      <c r="V25" s="318">
        <f t="shared" si="30"/>
        <v>0.20187800849784443</v>
      </c>
      <c r="W25" s="318">
        <f t="shared" si="30"/>
        <v>0.16167034281416637</v>
      </c>
      <c r="X25" s="318">
        <f t="shared" si="30"/>
        <v>0.16847480885311006</v>
      </c>
      <c r="Y25" s="318">
        <f t="shared" si="30"/>
        <v>7.3686106562375508E-2</v>
      </c>
      <c r="Z25" s="318">
        <f t="shared" si="30"/>
        <v>4.4468076422414571E-2</v>
      </c>
      <c r="AA25" s="318">
        <f t="shared" si="30"/>
        <v>-0.13580411487343458</v>
      </c>
      <c r="AB25" s="318">
        <f t="shared" si="30"/>
        <v>-7.3145049990666955E-2</v>
      </c>
      <c r="AC25" s="318">
        <f t="shared" si="30"/>
        <v>3.1079569342432167E-2</v>
      </c>
      <c r="AD25" s="318">
        <f t="shared" si="30"/>
        <v>0.12396567673651537</v>
      </c>
      <c r="AE25" s="318">
        <f t="shared" si="30"/>
        <v>-7.2977893350454792E-2</v>
      </c>
      <c r="AF25" s="318">
        <f t="shared" si="30"/>
        <v>0.35022537128285824</v>
      </c>
      <c r="AG25" s="318">
        <f t="shared" si="30"/>
        <v>-4.087848121535631E-2</v>
      </c>
      <c r="AH25" s="318">
        <f t="shared" ca="1" si="30"/>
        <v>0.11066184801603907</v>
      </c>
      <c r="AI25" s="18"/>
    </row>
    <row r="26" spans="1:35" s="54" customFormat="1" ht="11.25" customHeight="1">
      <c r="A26" s="18"/>
      <c r="B26" s="36"/>
      <c r="C26" s="18"/>
      <c r="D26" s="18"/>
      <c r="E26" s="18"/>
      <c r="F26" s="18"/>
      <c r="G26" s="120"/>
      <c r="H26" s="120"/>
      <c r="I26" s="120"/>
      <c r="J26" s="120"/>
      <c r="K26" s="120"/>
      <c r="L26" s="120"/>
      <c r="M26" s="120"/>
      <c r="N26" s="120"/>
      <c r="O26" s="120"/>
      <c r="P26" s="120"/>
      <c r="Q26" s="120"/>
      <c r="R26" s="120"/>
      <c r="S26" s="120"/>
      <c r="T26" s="120"/>
      <c r="U26" s="120"/>
      <c r="V26" s="120"/>
      <c r="W26" s="120"/>
      <c r="X26" s="120"/>
      <c r="Y26" s="120"/>
      <c r="Z26" s="120"/>
      <c r="AA26" s="252"/>
      <c r="AB26" s="252"/>
      <c r="AC26" s="252"/>
      <c r="AD26" s="252"/>
      <c r="AE26" s="252"/>
      <c r="AF26" s="252"/>
      <c r="AG26" s="252"/>
      <c r="AH26" s="252"/>
      <c r="AI26" s="18"/>
    </row>
    <row r="27" spans="1:35" s="54" customFormat="1" ht="13.5" customHeight="1">
      <c r="A27" s="18"/>
      <c r="B27" s="36"/>
      <c r="C27" s="18"/>
      <c r="D27" s="18"/>
      <c r="E27" s="18"/>
      <c r="F27" s="18"/>
      <c r="G27" s="120"/>
      <c r="H27" s="120"/>
      <c r="I27" s="120"/>
      <c r="J27" s="120"/>
      <c r="K27" s="120"/>
      <c r="L27" s="120"/>
      <c r="M27" s="120"/>
      <c r="N27" s="120"/>
      <c r="O27" s="120"/>
      <c r="P27" s="120"/>
      <c r="Q27" s="120"/>
      <c r="R27" s="120"/>
      <c r="S27" s="120"/>
      <c r="T27" s="120"/>
      <c r="U27" s="120"/>
      <c r="V27" s="120"/>
      <c r="W27" s="120"/>
      <c r="X27" s="120"/>
      <c r="Y27" s="120"/>
      <c r="AA27" s="120"/>
      <c r="AB27" s="120"/>
      <c r="AD27" s="338" t="s">
        <v>449</v>
      </c>
      <c r="AE27" s="339"/>
      <c r="AF27" s="340"/>
      <c r="AG27" s="341"/>
      <c r="AH27" s="342"/>
      <c r="AI27" s="18"/>
    </row>
    <row r="28" spans="1:35" s="54" customFormat="1" ht="11.25" customHeight="1">
      <c r="A28" s="18"/>
      <c r="B28" s="36"/>
      <c r="C28" s="18"/>
      <c r="D28" s="18"/>
      <c r="E28" s="18"/>
      <c r="F28" s="18"/>
      <c r="G28" s="120"/>
      <c r="H28" s="120"/>
      <c r="I28" s="120"/>
      <c r="J28" s="120"/>
      <c r="K28" s="120"/>
      <c r="L28" s="120"/>
      <c r="M28" s="120"/>
      <c r="N28" s="120"/>
      <c r="O28" s="120"/>
      <c r="P28" s="120"/>
      <c r="Q28" s="120"/>
      <c r="R28" s="120"/>
      <c r="S28" s="120"/>
      <c r="T28" s="120"/>
      <c r="U28" s="120"/>
      <c r="V28" s="120"/>
      <c r="W28" s="120"/>
      <c r="X28" s="120"/>
      <c r="Y28" s="120"/>
      <c r="Z28" s="120"/>
      <c r="AA28" s="252"/>
      <c r="AB28" s="252"/>
      <c r="AD28" s="346">
        <v>0.1</v>
      </c>
      <c r="AE28" s="347">
        <f>AD28+0.2</f>
        <v>0.30000000000000004</v>
      </c>
      <c r="AF28" s="347">
        <f>AE28+0.2</f>
        <v>0.5</v>
      </c>
      <c r="AG28" s="347">
        <f>AF28+0.2</f>
        <v>0.7</v>
      </c>
      <c r="AH28" s="348">
        <f>AG28+0.2</f>
        <v>0.89999999999999991</v>
      </c>
      <c r="AI28" s="18"/>
    </row>
    <row r="29" spans="1:35" s="54" customFormat="1" ht="11.25" customHeight="1">
      <c r="A29" s="18"/>
      <c r="B29" s="36"/>
      <c r="C29" s="18"/>
      <c r="D29" s="18"/>
      <c r="E29" s="18"/>
      <c r="F29" s="18"/>
      <c r="G29" s="120"/>
      <c r="H29" s="120"/>
      <c r="I29" s="120"/>
      <c r="J29" s="120"/>
      <c r="K29" s="120"/>
      <c r="L29" s="120"/>
      <c r="M29" s="120"/>
      <c r="N29" s="120"/>
      <c r="O29" s="120"/>
      <c r="P29" s="120"/>
      <c r="Q29" s="120"/>
      <c r="R29" s="120"/>
      <c r="S29" s="120"/>
      <c r="T29" s="120"/>
      <c r="U29" s="120"/>
      <c r="V29" s="120"/>
      <c r="W29" s="120"/>
      <c r="X29" s="120"/>
      <c r="Y29" s="120"/>
      <c r="Z29" s="120"/>
      <c r="AA29" s="252"/>
      <c r="AB29" s="252"/>
      <c r="AD29" s="343">
        <f ca="1">_xlfn.PERCENTILE.EXC($H$16:$AH$16,AD$28)</f>
        <v>-5.8560424355698644E-2</v>
      </c>
      <c r="AE29" s="344">
        <f ca="1">_xlfn.PERCENTILE.EXC($H$16:$AH$16,AE$28)</f>
        <v>3.6750090597732044E-2</v>
      </c>
      <c r="AF29" s="344">
        <f ca="1">_xlfn.PERCENTILE.EXC($H$16:$AH$16,AF$28)</f>
        <v>0.178154693188882</v>
      </c>
      <c r="AG29" s="344">
        <f ca="1">_xlfn.PERCENTILE.EXC($H$16:$AH$16,AG$28)</f>
        <v>0.26090951627965647</v>
      </c>
      <c r="AH29" s="345">
        <f ca="1">_xlfn.PERCENTILE.EXC($H$16:$AH$16,AH$28)</f>
        <v>0.43074156900055616</v>
      </c>
      <c r="AI29" s="18"/>
    </row>
    <row r="30" spans="1:35" ht="11.25" customHeight="1">
      <c r="A30" s="2"/>
      <c r="B30" s="9"/>
      <c r="C30" s="2"/>
      <c r="D30" s="2"/>
      <c r="E30" s="2"/>
      <c r="F30" s="2"/>
      <c r="G30" s="2"/>
      <c r="H30" s="2"/>
      <c r="I30" s="2"/>
      <c r="J30" s="2"/>
      <c r="K30" s="2"/>
      <c r="L30" s="2"/>
      <c r="M30" s="2"/>
      <c r="N30" s="2"/>
      <c r="O30" s="2"/>
      <c r="P30" s="2"/>
      <c r="Q30" s="2"/>
      <c r="R30" s="2"/>
      <c r="S30" s="2"/>
      <c r="T30" s="2"/>
      <c r="U30" s="2"/>
      <c r="V30" s="2"/>
      <c r="W30" s="2"/>
      <c r="X30" s="2"/>
      <c r="Y30" s="2"/>
      <c r="Z30" s="43"/>
      <c r="AA30" s="43"/>
      <c r="AB30" s="43"/>
      <c r="AC30" s="43"/>
      <c r="AD30" s="43"/>
      <c r="AE30" s="43"/>
      <c r="AF30" s="43"/>
      <c r="AG30" s="43"/>
      <c r="AH30" s="43"/>
      <c r="AI30" s="2"/>
    </row>
    <row r="31" spans="1:35" s="54" customFormat="1" ht="11.25" customHeight="1">
      <c r="A31" s="55"/>
      <c r="B31" s="204" t="s">
        <v>137</v>
      </c>
      <c r="C31" s="205"/>
      <c r="D31" s="205"/>
      <c r="E31" s="205"/>
      <c r="F31" s="205"/>
      <c r="G31" s="320">
        <f>'Historical Financials'!AC29/1000</f>
        <v>2.1085E-2</v>
      </c>
      <c r="H31" s="320">
        <f>'Historical Financials'!AD29/1000</f>
        <v>1.9344999999999994E-2</v>
      </c>
      <c r="I31" s="320">
        <f>'Historical Financials'!AE29/1000</f>
        <v>3.1506999999999993E-2</v>
      </c>
      <c r="J31" s="320">
        <f>'Historical Financials'!AF29/1000</f>
        <v>7.6516000000000001E-2</v>
      </c>
      <c r="K31" s="320">
        <f>'Historical Financials'!AG29/1000</f>
        <v>3.3657000000000013E-2</v>
      </c>
      <c r="L31" s="320">
        <f>'Historical Financials'!AH29/1000</f>
        <v>5.2312999999999991E-2</v>
      </c>
      <c r="M31" s="320">
        <f>'Historical Financials'!AI29/1000</f>
        <v>7.488400000000002E-2</v>
      </c>
      <c r="N31" s="320">
        <f>'Historical Financials'!AJ29/1000</f>
        <v>0.11581900000000002</v>
      </c>
      <c r="O31" s="320">
        <f>'Historical Financials'!AK29/1000</f>
        <v>0.118203</v>
      </c>
      <c r="P31" s="320">
        <f>'Historical Financials'!AL29/1000</f>
        <v>0.15580999999999998</v>
      </c>
      <c r="Q31" s="320">
        <f>'Historical Financials'!AM29/1000</f>
        <v>0.14235</v>
      </c>
      <c r="R31" s="320">
        <f>'Historical Financials'!AN29/1000</f>
        <v>0.14175000000000001</v>
      </c>
      <c r="S31" s="320">
        <f>'Historical Financials'!AO29/1000</f>
        <v>0.129329</v>
      </c>
      <c r="T31" s="320">
        <f>'Historical Financials'!AP29/1000</f>
        <v>0.20705400000000002</v>
      </c>
      <c r="U31" s="320">
        <f>'Historical Financials'!AQ29/1000</f>
        <v>0.19406900000000002</v>
      </c>
      <c r="V31" s="320">
        <f>'Historical Financials'!AR29/1000</f>
        <v>0.24413699999999999</v>
      </c>
      <c r="W31" s="320">
        <f>'Historical Financials'!AS29/1000</f>
        <v>0.280945</v>
      </c>
      <c r="X31" s="320">
        <f>'Historical Financials'!AT29/1000</f>
        <v>0.37772200000000006</v>
      </c>
      <c r="Y31" s="320">
        <f>'Historical Financials'!AU29/1000</f>
        <v>0.41039499999999995</v>
      </c>
      <c r="Z31" s="320">
        <f>'Historical Financials'!AV29/1000</f>
        <v>0.47483199999999998</v>
      </c>
      <c r="AA31" s="320">
        <f>'Historical Financials'!AW29/1000</f>
        <v>0.49482599999999993</v>
      </c>
      <c r="AB31" s="320">
        <f>'Historical Financials'!AX29/1000</f>
        <v>0.49787355700000002</v>
      </c>
      <c r="AC31" s="320">
        <f>'Historical Financials'!AY29/1000</f>
        <v>0.49270244800000013</v>
      </c>
      <c r="AD31" s="320">
        <f>'Historical Financials'!AZ29/1000</f>
        <v>0.71112981100000006</v>
      </c>
      <c r="AE31" s="320">
        <f>'Historical Financials'!BA29/1000</f>
        <v>0.81953703699999969</v>
      </c>
      <c r="AF31" s="320">
        <f>'Historical Financials'!BB29/1000</f>
        <v>1.3483552920000001</v>
      </c>
      <c r="AG31" s="320">
        <f>'Historical Financials'!BC29/1000</f>
        <v>1.1751109999999998</v>
      </c>
      <c r="AH31" s="320">
        <f ca="1">'Historical Financials'!BD29/1000</f>
        <v>1.611438786739388</v>
      </c>
      <c r="AI31" s="55"/>
    </row>
    <row r="32" spans="1:35" s="54" customFormat="1" ht="11.25" customHeight="1">
      <c r="A32" s="18"/>
      <c r="B32" s="36" t="s">
        <v>249</v>
      </c>
      <c r="C32" s="18"/>
      <c r="D32" s="18"/>
      <c r="E32" s="18"/>
      <c r="F32" s="18"/>
      <c r="G32" s="120"/>
      <c r="H32" s="120">
        <f>IF(AND(H31&gt;0,G31&gt;0),H31/G31-1,"n/m")</f>
        <v>-8.2523120701921027E-2</v>
      </c>
      <c r="I32" s="120">
        <f t="shared" ref="I32:AH32" si="31">IF(AND(I31&gt;0,H31&gt;0),I31/H31-1,"n/m")</f>
        <v>0.62868958387180163</v>
      </c>
      <c r="J32" s="120">
        <f t="shared" si="31"/>
        <v>1.4285396895927893</v>
      </c>
      <c r="K32" s="120">
        <f t="shared" si="31"/>
        <v>-0.56013121438653335</v>
      </c>
      <c r="L32" s="120">
        <f t="shared" si="31"/>
        <v>0.5542977686662498</v>
      </c>
      <c r="M32" s="120">
        <f t="shared" si="31"/>
        <v>0.43146063120065814</v>
      </c>
      <c r="N32" s="120">
        <f t="shared" si="31"/>
        <v>0.54664547833983201</v>
      </c>
      <c r="O32" s="120">
        <f t="shared" si="31"/>
        <v>2.0583842029373356E-2</v>
      </c>
      <c r="P32" s="120">
        <f t="shared" si="31"/>
        <v>0.31815605356886012</v>
      </c>
      <c r="Q32" s="120">
        <f t="shared" si="31"/>
        <v>-8.6387266542583774E-2</v>
      </c>
      <c r="R32" s="120">
        <f t="shared" si="31"/>
        <v>-4.2149631190726566E-3</v>
      </c>
      <c r="S32" s="120">
        <f t="shared" si="31"/>
        <v>-8.7626102292769015E-2</v>
      </c>
      <c r="T32" s="120">
        <f t="shared" si="31"/>
        <v>0.60098663099536842</v>
      </c>
      <c r="U32" s="120">
        <f t="shared" si="31"/>
        <v>-6.2713108657644789E-2</v>
      </c>
      <c r="V32" s="120">
        <f t="shared" si="31"/>
        <v>0.25799071464273005</v>
      </c>
      <c r="W32" s="120">
        <f t="shared" si="31"/>
        <v>0.15076780660039235</v>
      </c>
      <c r="X32" s="120">
        <f t="shared" si="31"/>
        <v>0.34446955809856039</v>
      </c>
      <c r="Y32" s="120">
        <f t="shared" si="31"/>
        <v>8.6500124430136216E-2</v>
      </c>
      <c r="Z32" s="120">
        <f t="shared" si="31"/>
        <v>0.15701214683414766</v>
      </c>
      <c r="AA32" s="120">
        <f t="shared" si="31"/>
        <v>4.2107524345452507E-2</v>
      </c>
      <c r="AB32" s="120">
        <f t="shared" si="31"/>
        <v>6.1588457356729354E-3</v>
      </c>
      <c r="AC32" s="120">
        <f t="shared" si="31"/>
        <v>-1.0386390133187762E-2</v>
      </c>
      <c r="AD32" s="120">
        <f t="shared" si="31"/>
        <v>0.44332510196904851</v>
      </c>
      <c r="AE32" s="120">
        <f t="shared" si="31"/>
        <v>0.15244365279463667</v>
      </c>
      <c r="AF32" s="120">
        <f t="shared" si="31"/>
        <v>0.64526462029805809</v>
      </c>
      <c r="AG32" s="120">
        <f t="shared" si="31"/>
        <v>-0.12848563952534275</v>
      </c>
      <c r="AH32" s="120">
        <f t="shared" ca="1" si="31"/>
        <v>0.37130772049567096</v>
      </c>
      <c r="AI32" s="18"/>
    </row>
    <row r="33" spans="1:35" s="54" customFormat="1" ht="11.25" customHeight="1">
      <c r="A33" s="18"/>
      <c r="B33" s="36" t="s">
        <v>17</v>
      </c>
      <c r="C33" s="18"/>
      <c r="D33" s="18"/>
      <c r="E33" s="18"/>
      <c r="F33" s="18"/>
      <c r="G33" s="120">
        <f t="shared" ref="G33:AH33" si="32">IFERROR(G31/G15,"n/a")</f>
        <v>0.48000091060168004</v>
      </c>
      <c r="H33" s="120">
        <f t="shared" si="32"/>
        <v>0.38366189361786512</v>
      </c>
      <c r="I33" s="120">
        <f t="shared" si="32"/>
        <v>0.43120697442073708</v>
      </c>
      <c r="J33" s="120">
        <f t="shared" si="32"/>
        <v>0.4603906184189942</v>
      </c>
      <c r="K33" s="120">
        <f t="shared" si="32"/>
        <v>0.26736306946816552</v>
      </c>
      <c r="L33" s="120">
        <f t="shared" si="32"/>
        <v>0.32232087294594608</v>
      </c>
      <c r="M33" s="120">
        <f t="shared" si="32"/>
        <v>0.36889215111553381</v>
      </c>
      <c r="N33" s="120">
        <f t="shared" si="32"/>
        <v>0.45028439464568282</v>
      </c>
      <c r="O33" s="120">
        <f t="shared" si="32"/>
        <v>0.4434303078048506</v>
      </c>
      <c r="P33" s="120">
        <f t="shared" si="32"/>
        <v>0.49088394395838775</v>
      </c>
      <c r="Q33" s="120">
        <f t="shared" si="32"/>
        <v>0.44121749372346036</v>
      </c>
      <c r="R33" s="120">
        <f t="shared" si="32"/>
        <v>0.4254737992183889</v>
      </c>
      <c r="S33" s="120">
        <f t="shared" si="32"/>
        <v>0.43730346044863427</v>
      </c>
      <c r="T33" s="120">
        <f t="shared" si="32"/>
        <v>0.49352859574102942</v>
      </c>
      <c r="U33" s="120">
        <f t="shared" si="32"/>
        <v>0.45440794603365636</v>
      </c>
      <c r="V33" s="120">
        <f t="shared" si="32"/>
        <v>0.4817748571766865</v>
      </c>
      <c r="W33" s="120">
        <f t="shared" si="32"/>
        <v>0.47057572224902183</v>
      </c>
      <c r="X33" s="120">
        <f t="shared" si="32"/>
        <v>0.49517439558682025</v>
      </c>
      <c r="Y33" s="120">
        <f t="shared" si="32"/>
        <v>0.48653996398327437</v>
      </c>
      <c r="Z33" s="120">
        <f t="shared" si="32"/>
        <v>0.50091039709348084</v>
      </c>
      <c r="AA33" s="120">
        <f t="shared" si="32"/>
        <v>0.50624330526361017</v>
      </c>
      <c r="AB33" s="120">
        <f t="shared" si="32"/>
        <v>0.48268184251668611</v>
      </c>
      <c r="AC33" s="120">
        <f t="shared" si="32"/>
        <v>0.46047584004151809</v>
      </c>
      <c r="AD33" s="120">
        <f t="shared" si="32"/>
        <v>0.5309891778316711</v>
      </c>
      <c r="AE33" s="120">
        <f t="shared" si="32"/>
        <v>0.51627143368177619</v>
      </c>
      <c r="AF33" s="120">
        <f t="shared" si="32"/>
        <v>0.59559188940066832</v>
      </c>
      <c r="AG33" s="120">
        <f t="shared" si="32"/>
        <v>0.54359598026771072</v>
      </c>
      <c r="AH33" s="120">
        <f t="shared" ca="1" si="32"/>
        <v>0.5581725890368997</v>
      </c>
      <c r="AI33" s="18"/>
    </row>
    <row r="34" spans="1:35" s="54" customFormat="1" ht="11.25" customHeight="1">
      <c r="A34" s="18"/>
      <c r="B34" s="36" t="s">
        <v>100</v>
      </c>
      <c r="C34" s="18"/>
      <c r="D34" s="18"/>
      <c r="E34" s="18"/>
      <c r="F34" s="18"/>
      <c r="G34" s="120"/>
      <c r="H34" s="120">
        <f t="shared" ref="H34:AH34" si="33">IF(H15&gt;G15,((H31-G31)/(H15-G15)),"n/m")</f>
        <v>-0.26789838337182559</v>
      </c>
      <c r="I34" s="120">
        <f t="shared" si="33"/>
        <v>0.53707220136895562</v>
      </c>
      <c r="J34" s="120">
        <f t="shared" si="33"/>
        <v>0.48328698285211152</v>
      </c>
      <c r="K34" s="120" t="str">
        <f t="shared" si="33"/>
        <v>n/m</v>
      </c>
      <c r="L34" s="120">
        <f t="shared" si="33"/>
        <v>0.51230228471001693</v>
      </c>
      <c r="M34" s="120">
        <f t="shared" si="33"/>
        <v>0.55462453312364912</v>
      </c>
      <c r="N34" s="120">
        <f t="shared" si="33"/>
        <v>0.75503541389995554</v>
      </c>
      <c r="O34" s="120">
        <f t="shared" si="33"/>
        <v>0.25491873396064912</v>
      </c>
      <c r="P34" s="120">
        <f t="shared" si="33"/>
        <v>0.7396837260532626</v>
      </c>
      <c r="Q34" s="120">
        <f t="shared" si="33"/>
        <v>-2.5770629906184244</v>
      </c>
      <c r="R34" s="120">
        <f t="shared" si="33"/>
        <v>-5.6990881458965359E-2</v>
      </c>
      <c r="S34" s="120" t="str">
        <f t="shared" si="33"/>
        <v>n/m</v>
      </c>
      <c r="T34" s="120">
        <f t="shared" si="33"/>
        <v>0.62784742641119262</v>
      </c>
      <c r="U34" s="120">
        <f t="shared" si="33"/>
        <v>-1.7214636086437702</v>
      </c>
      <c r="V34" s="120">
        <f t="shared" si="33"/>
        <v>0.62848965655754163</v>
      </c>
      <c r="W34" s="120">
        <f t="shared" si="33"/>
        <v>0.40771386479690747</v>
      </c>
      <c r="X34" s="120">
        <f t="shared" si="33"/>
        <v>0.58376060127154938</v>
      </c>
      <c r="Y34" s="120">
        <f t="shared" si="33"/>
        <v>0.40491504628768954</v>
      </c>
      <c r="Z34" s="120">
        <f t="shared" si="33"/>
        <v>0.61697034689441899</v>
      </c>
      <c r="AA34" s="120">
        <f t="shared" si="33"/>
        <v>0.67755599986444903</v>
      </c>
      <c r="AB34" s="120">
        <f t="shared" si="33"/>
        <v>5.6408499249731604E-2</v>
      </c>
      <c r="AC34" s="120">
        <f t="shared" si="33"/>
        <v>-0.13427304829045841</v>
      </c>
      <c r="AD34" s="120">
        <f t="shared" si="33"/>
        <v>0.81118535197039876</v>
      </c>
      <c r="AE34" s="120">
        <f t="shared" si="33"/>
        <v>0.43684367856757084</v>
      </c>
      <c r="AF34" s="120">
        <f t="shared" si="33"/>
        <v>0.781724785003725</v>
      </c>
      <c r="AG34" s="120" t="str">
        <f t="shared" si="33"/>
        <v>n/m</v>
      </c>
      <c r="AH34" s="120">
        <f t="shared" ca="1" si="33"/>
        <v>0.60162050086574126</v>
      </c>
      <c r="AI34" s="18"/>
    </row>
    <row r="35" spans="1:35" s="54" customFormat="1" ht="11.25" customHeight="1">
      <c r="A35" s="18"/>
      <c r="B35" s="36"/>
      <c r="C35" s="18"/>
      <c r="D35" s="18"/>
      <c r="E35" s="18"/>
      <c r="F35" s="18"/>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8"/>
    </row>
    <row r="36" spans="1:35" s="54" customFormat="1" ht="11.25" customHeight="1">
      <c r="A36" s="18"/>
      <c r="B36" s="324" t="s">
        <v>416</v>
      </c>
      <c r="C36" s="18"/>
      <c r="D36" s="18"/>
      <c r="E36" s="18"/>
      <c r="F36" s="18"/>
      <c r="G36" s="120"/>
      <c r="H36" s="120"/>
      <c r="I36" s="120"/>
      <c r="J36" s="120"/>
      <c r="K36" s="120"/>
      <c r="L36" s="120"/>
      <c r="M36" s="120"/>
      <c r="N36" s="120"/>
      <c r="O36" s="120"/>
      <c r="P36" s="120"/>
      <c r="Q36" s="120"/>
      <c r="R36" s="120"/>
      <c r="S36" s="120"/>
      <c r="T36" s="120"/>
      <c r="U36" s="120"/>
      <c r="V36" s="120"/>
      <c r="W36" s="120"/>
      <c r="X36" s="120"/>
      <c r="Y36" s="120"/>
      <c r="Z36" s="120"/>
      <c r="AA36" s="120"/>
      <c r="AB36" s="120"/>
      <c r="AC36" s="120"/>
      <c r="AD36" s="120"/>
      <c r="AE36" s="120"/>
      <c r="AF36" s="120"/>
      <c r="AG36" s="120"/>
      <c r="AH36" s="120"/>
      <c r="AI36" s="18"/>
    </row>
    <row r="37" spans="1:35" s="54" customFormat="1" ht="11.25" customHeight="1">
      <c r="A37" s="18"/>
      <c r="B37" s="36" t="s">
        <v>415</v>
      </c>
      <c r="C37" s="18"/>
      <c r="D37" s="18"/>
      <c r="E37" s="18"/>
      <c r="F37" s="18"/>
      <c r="G37" s="120"/>
      <c r="H37" s="120"/>
      <c r="I37" s="120"/>
      <c r="J37" s="120"/>
      <c r="K37" s="120"/>
      <c r="L37" s="120"/>
      <c r="M37" s="120"/>
      <c r="N37" s="120"/>
      <c r="O37" s="120">
        <f t="shared" ref="O37:AG37" si="34">IF(AND(O91&gt;0,N91&gt;0),O91/N91-1,"n/m")</f>
        <v>5.8849383934382882E-2</v>
      </c>
      <c r="P37" s="120">
        <f t="shared" si="34"/>
        <v>0.12324591653700234</v>
      </c>
      <c r="Q37" s="120">
        <f t="shared" si="34"/>
        <v>6.2873114552564058E-2</v>
      </c>
      <c r="R37" s="120">
        <f t="shared" si="34"/>
        <v>-2.5891014736795226E-2</v>
      </c>
      <c r="S37" s="120">
        <f t="shared" si="34"/>
        <v>-4.0607126818005934E-2</v>
      </c>
      <c r="T37" s="120">
        <f t="shared" si="34"/>
        <v>4.2489412389404624E-2</v>
      </c>
      <c r="U37" s="120">
        <f t="shared" si="34"/>
        <v>8.1485846343348323E-2</v>
      </c>
      <c r="V37" s="120">
        <f t="shared" si="34"/>
        <v>3.5561662627790813E-2</v>
      </c>
      <c r="W37" s="120">
        <f t="shared" si="34"/>
        <v>3.9547393498982064E-2</v>
      </c>
      <c r="X37" s="120">
        <f t="shared" si="34"/>
        <v>5.6738856089768364E-2</v>
      </c>
      <c r="Y37" s="120">
        <f t="shared" si="34"/>
        <v>-2.6371216243531448E-3</v>
      </c>
      <c r="Z37" s="120">
        <f t="shared" si="34"/>
        <v>1.2381860202145267E-2</v>
      </c>
      <c r="AA37" s="120">
        <f t="shared" si="34"/>
        <v>6.5982538792088263E-2</v>
      </c>
      <c r="AB37" s="120">
        <f t="shared" si="34"/>
        <v>8.7764054062224428E-2</v>
      </c>
      <c r="AC37" s="120">
        <f t="shared" si="34"/>
        <v>6.045554336864889E-2</v>
      </c>
      <c r="AD37" s="120">
        <f t="shared" si="34"/>
        <v>-5.8366690486470918E-2</v>
      </c>
      <c r="AE37" s="120">
        <f t="shared" si="34"/>
        <v>0.22408806718494789</v>
      </c>
      <c r="AF37" s="120">
        <f t="shared" si="34"/>
        <v>5.4479092433547427E-2</v>
      </c>
      <c r="AG37" s="120">
        <f t="shared" si="34"/>
        <v>5.6007738813661057E-2</v>
      </c>
      <c r="AH37" s="120"/>
      <c r="AI37" s="18"/>
    </row>
    <row r="38" spans="1:35" s="54" customFormat="1" ht="11.25" customHeight="1">
      <c r="A38" s="18"/>
      <c r="B38" s="36" t="s">
        <v>420</v>
      </c>
      <c r="C38" s="18"/>
      <c r="D38" s="18"/>
      <c r="E38" s="18"/>
      <c r="F38" s="18"/>
      <c r="G38" s="120"/>
      <c r="H38" s="120"/>
      <c r="I38" s="120"/>
      <c r="J38" s="120"/>
      <c r="K38" s="120"/>
      <c r="L38" s="120"/>
      <c r="M38" s="120"/>
      <c r="N38" s="120"/>
      <c r="O38" s="120">
        <f t="shared" ref="O38:AG38" si="35">IF(AND(O96&gt;0,N96&gt;0),O96/N96-1,"n/m")</f>
        <v>4.4020215485125247E-2</v>
      </c>
      <c r="P38" s="120">
        <f t="shared" si="35"/>
        <v>6.309389193147541E-2</v>
      </c>
      <c r="Q38" s="120">
        <f t="shared" si="35"/>
        <v>2.5263383685741658E-2</v>
      </c>
      <c r="R38" s="120">
        <f t="shared" si="35"/>
        <v>-2.8720619557488059E-2</v>
      </c>
      <c r="S38" s="120">
        <f t="shared" si="35"/>
        <v>-0.14455381272502943</v>
      </c>
      <c r="T38" s="120">
        <f t="shared" si="35"/>
        <v>0.57850649584721792</v>
      </c>
      <c r="U38" s="120">
        <f t="shared" si="35"/>
        <v>8.5476763279926926E-2</v>
      </c>
      <c r="V38" s="120">
        <f t="shared" si="35"/>
        <v>-4.1632251690400524E-2</v>
      </c>
      <c r="W38" s="120">
        <f t="shared" si="35"/>
        <v>2.3810970080956784E-2</v>
      </c>
      <c r="X38" s="120">
        <f t="shared" si="35"/>
        <v>0.16345354407821255</v>
      </c>
      <c r="Y38" s="120">
        <f t="shared" si="35"/>
        <v>2.402319753980664E-2</v>
      </c>
      <c r="Z38" s="120">
        <f t="shared" si="35"/>
        <v>0.10845979895379232</v>
      </c>
      <c r="AA38" s="120">
        <f t="shared" si="35"/>
        <v>0.2088036786640497</v>
      </c>
      <c r="AB38" s="120">
        <f t="shared" si="35"/>
        <v>0.15856397857122229</v>
      </c>
      <c r="AC38" s="120">
        <f t="shared" si="35"/>
        <v>-3.1479157741433061E-2</v>
      </c>
      <c r="AD38" s="120">
        <f t="shared" si="35"/>
        <v>0.10894700860556594</v>
      </c>
      <c r="AE38" s="120">
        <f t="shared" si="35"/>
        <v>0.27718698009688802</v>
      </c>
      <c r="AF38" s="120">
        <f t="shared" si="35"/>
        <v>2.5510783445126695E-2</v>
      </c>
      <c r="AG38" s="120">
        <f t="shared" si="35"/>
        <v>5.0646248692265416E-4</v>
      </c>
      <c r="AH38" s="120"/>
      <c r="AI38" s="18"/>
    </row>
    <row r="39" spans="1:35" s="54" customFormat="1" ht="11.25" customHeight="1">
      <c r="A39" s="18"/>
      <c r="B39" s="36"/>
      <c r="C39" s="18"/>
      <c r="D39" s="18"/>
      <c r="E39" s="18"/>
      <c r="F39" s="18"/>
      <c r="G39" s="120"/>
      <c r="H39" s="120"/>
      <c r="I39" s="120"/>
      <c r="J39" s="120"/>
      <c r="K39" s="120"/>
      <c r="L39" s="120"/>
      <c r="M39" s="120"/>
      <c r="N39" s="120"/>
      <c r="O39" s="120"/>
      <c r="P39" s="120"/>
      <c r="Q39" s="120"/>
      <c r="R39" s="120"/>
      <c r="S39" s="120"/>
      <c r="T39" s="120"/>
      <c r="U39" s="120"/>
      <c r="V39" s="120"/>
      <c r="W39" s="120"/>
      <c r="X39" s="120"/>
      <c r="Y39" s="120"/>
      <c r="Z39" s="120"/>
      <c r="AA39" s="120"/>
      <c r="AB39" s="120"/>
      <c r="AC39" s="120"/>
      <c r="AD39" s="120"/>
      <c r="AE39" s="120"/>
      <c r="AF39" s="120"/>
      <c r="AG39" s="120"/>
      <c r="AH39" s="120"/>
      <c r="AI39" s="18"/>
    </row>
    <row r="40" spans="1:35" s="54" customFormat="1" ht="11.25" customHeight="1">
      <c r="A40" s="18"/>
      <c r="B40" s="324" t="s">
        <v>418</v>
      </c>
      <c r="C40" s="18"/>
      <c r="D40" s="18"/>
      <c r="E40" s="18"/>
      <c r="F40" s="18"/>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8"/>
    </row>
    <row r="41" spans="1:35" s="54" customFormat="1" ht="11.25" customHeight="1">
      <c r="A41" s="18"/>
      <c r="B41" s="36" t="s">
        <v>415</v>
      </c>
      <c r="C41" s="18"/>
      <c r="D41" s="18"/>
      <c r="E41" s="18"/>
      <c r="F41" s="18"/>
      <c r="G41" s="120"/>
      <c r="H41" s="120"/>
      <c r="I41" s="120"/>
      <c r="J41" s="120"/>
      <c r="K41" s="120"/>
      <c r="L41" s="120"/>
      <c r="M41" s="120"/>
      <c r="N41" s="120"/>
      <c r="O41" s="318">
        <f>O$32-O37</f>
        <v>-3.8265541905009526E-2</v>
      </c>
      <c r="P41" s="318">
        <f t="shared" ref="P41:AG41" si="36">P$32-P37</f>
        <v>0.19491013703185778</v>
      </c>
      <c r="Q41" s="318">
        <f t="shared" si="36"/>
        <v>-0.14926038109514783</v>
      </c>
      <c r="R41" s="318">
        <f t="shared" si="36"/>
        <v>2.1676051617722569E-2</v>
      </c>
      <c r="S41" s="318">
        <f t="shared" si="36"/>
        <v>-4.7018975474763081E-2</v>
      </c>
      <c r="T41" s="318">
        <f t="shared" si="36"/>
        <v>0.5584972186059638</v>
      </c>
      <c r="U41" s="318">
        <f t="shared" si="36"/>
        <v>-0.14419895500099311</v>
      </c>
      <c r="V41" s="318">
        <f t="shared" si="36"/>
        <v>0.22242905201493923</v>
      </c>
      <c r="W41" s="318">
        <f t="shared" si="36"/>
        <v>0.11122041310141029</v>
      </c>
      <c r="X41" s="318">
        <f t="shared" si="36"/>
        <v>0.28773070200879203</v>
      </c>
      <c r="Y41" s="318">
        <f t="shared" si="36"/>
        <v>8.9137246054489361E-2</v>
      </c>
      <c r="Z41" s="318">
        <f t="shared" si="36"/>
        <v>0.14463028663200239</v>
      </c>
      <c r="AA41" s="318">
        <f t="shared" si="36"/>
        <v>-2.3875014446635756E-2</v>
      </c>
      <c r="AB41" s="318">
        <f t="shared" si="36"/>
        <v>-8.1605208326551493E-2</v>
      </c>
      <c r="AC41" s="318">
        <f t="shared" si="36"/>
        <v>-7.0841933501836651E-2</v>
      </c>
      <c r="AD41" s="318">
        <f t="shared" si="36"/>
        <v>0.50169179245551943</v>
      </c>
      <c r="AE41" s="318">
        <f t="shared" si="36"/>
        <v>-7.1644414390311217E-2</v>
      </c>
      <c r="AF41" s="318">
        <f t="shared" si="36"/>
        <v>0.59078552786451066</v>
      </c>
      <c r="AG41" s="318">
        <f t="shared" si="36"/>
        <v>-0.18449337833900381</v>
      </c>
      <c r="AH41" s="120"/>
      <c r="AI41" s="18"/>
    </row>
    <row r="42" spans="1:35" s="54" customFormat="1" ht="11.25" customHeight="1">
      <c r="A42" s="18"/>
      <c r="B42" s="36" t="s">
        <v>420</v>
      </c>
      <c r="C42" s="18"/>
      <c r="D42" s="18"/>
      <c r="E42" s="18"/>
      <c r="F42" s="18"/>
      <c r="G42" s="120"/>
      <c r="H42" s="120"/>
      <c r="I42" s="120"/>
      <c r="J42" s="120"/>
      <c r="K42" s="120"/>
      <c r="L42" s="120"/>
      <c r="M42" s="120"/>
      <c r="N42" s="318"/>
      <c r="O42" s="318">
        <f>O$32-O38</f>
        <v>-2.3436373455751891E-2</v>
      </c>
      <c r="P42" s="318">
        <f t="shared" ref="P42:AG42" si="37">P$32-P38</f>
        <v>0.25506216163738471</v>
      </c>
      <c r="Q42" s="318">
        <f t="shared" si="37"/>
        <v>-0.11165065022832543</v>
      </c>
      <c r="R42" s="318">
        <f t="shared" si="37"/>
        <v>2.4505656438415402E-2</v>
      </c>
      <c r="S42" s="318">
        <f t="shared" si="37"/>
        <v>5.6927710432260414E-2</v>
      </c>
      <c r="T42" s="318">
        <f t="shared" si="37"/>
        <v>2.2480135148150504E-2</v>
      </c>
      <c r="U42" s="318">
        <f t="shared" si="37"/>
        <v>-0.14818987193757172</v>
      </c>
      <c r="V42" s="318">
        <f t="shared" si="37"/>
        <v>0.29962296633313057</v>
      </c>
      <c r="W42" s="318">
        <f t="shared" si="37"/>
        <v>0.12695683651943557</v>
      </c>
      <c r="X42" s="318">
        <f t="shared" si="37"/>
        <v>0.18101601402034784</v>
      </c>
      <c r="Y42" s="318">
        <f t="shared" si="37"/>
        <v>6.2476926890329576E-2</v>
      </c>
      <c r="Z42" s="318">
        <f t="shared" si="37"/>
        <v>4.855234788035534E-2</v>
      </c>
      <c r="AA42" s="318">
        <f t="shared" si="37"/>
        <v>-0.16669615431859719</v>
      </c>
      <c r="AB42" s="318">
        <f t="shared" si="37"/>
        <v>-0.15240513283554935</v>
      </c>
      <c r="AC42" s="318">
        <f t="shared" si="37"/>
        <v>2.10927676082453E-2</v>
      </c>
      <c r="AD42" s="318">
        <f t="shared" si="37"/>
        <v>0.33437809336348256</v>
      </c>
      <c r="AE42" s="318">
        <f t="shared" si="37"/>
        <v>-0.12474332730225135</v>
      </c>
      <c r="AF42" s="318">
        <f t="shared" si="37"/>
        <v>0.61975383685293139</v>
      </c>
      <c r="AG42" s="318">
        <f t="shared" si="37"/>
        <v>-0.12899210201226541</v>
      </c>
      <c r="AH42" s="120"/>
      <c r="AI42" s="18"/>
    </row>
    <row r="43" spans="1:35" s="54" customFormat="1" ht="11.25" customHeight="1">
      <c r="A43" s="18"/>
      <c r="B43" s="36"/>
      <c r="C43" s="18"/>
      <c r="D43" s="18"/>
      <c r="E43" s="18"/>
      <c r="F43" s="18"/>
      <c r="G43" s="120"/>
      <c r="H43" s="120"/>
      <c r="I43" s="120"/>
      <c r="J43" s="120"/>
      <c r="K43" s="120"/>
      <c r="L43" s="120"/>
      <c r="M43" s="120"/>
      <c r="N43" s="120"/>
      <c r="O43" s="120"/>
      <c r="P43" s="120"/>
      <c r="Q43" s="120"/>
      <c r="R43" s="120"/>
      <c r="S43" s="120"/>
      <c r="T43" s="120"/>
      <c r="U43" s="120"/>
      <c r="V43" s="120"/>
      <c r="W43" s="120"/>
      <c r="X43" s="120"/>
      <c r="Y43" s="120"/>
      <c r="Z43" s="120"/>
      <c r="AA43" s="120"/>
      <c r="AB43" s="120"/>
      <c r="AC43" s="120"/>
      <c r="AD43" s="120"/>
      <c r="AE43" s="120"/>
      <c r="AF43" s="120"/>
      <c r="AG43" s="120"/>
      <c r="AH43" s="120"/>
      <c r="AI43" s="18"/>
    </row>
    <row r="44" spans="1:35" s="54" customFormat="1" ht="11.25" customHeight="1">
      <c r="A44" s="18"/>
      <c r="B44" s="324" t="s">
        <v>417</v>
      </c>
      <c r="C44" s="18"/>
      <c r="D44" s="18"/>
      <c r="E44" s="18"/>
      <c r="F44" s="18"/>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20"/>
      <c r="AG44" s="120"/>
      <c r="AH44" s="120"/>
      <c r="AI44" s="18"/>
    </row>
    <row r="45" spans="1:35" s="54" customFormat="1" ht="11.25" customHeight="1">
      <c r="A45" s="18"/>
      <c r="B45" s="36" t="s">
        <v>415</v>
      </c>
      <c r="C45" s="18"/>
      <c r="D45" s="18"/>
      <c r="E45" s="18"/>
      <c r="F45" s="18"/>
      <c r="G45" s="120"/>
      <c r="H45" s="120"/>
      <c r="I45" s="120"/>
      <c r="J45" s="120"/>
      <c r="K45" s="120"/>
      <c r="L45" s="120"/>
      <c r="M45" s="120"/>
      <c r="N45" s="120">
        <f t="shared" ref="N45:AG45" si="38">N91/N90</f>
        <v>0.3693577543174707</v>
      </c>
      <c r="O45" s="120">
        <f t="shared" si="38"/>
        <v>0.36025835401603085</v>
      </c>
      <c r="P45" s="120">
        <f t="shared" si="38"/>
        <v>0.3755888345440262</v>
      </c>
      <c r="Q45" s="120">
        <f t="shared" si="38"/>
        <v>0.37314024451202155</v>
      </c>
      <c r="R45" s="120">
        <f t="shared" si="38"/>
        <v>0.34832243965075521</v>
      </c>
      <c r="S45" s="120">
        <f t="shared" si="38"/>
        <v>0.38289138072820694</v>
      </c>
      <c r="T45" s="120">
        <f t="shared" si="38"/>
        <v>0.37638405831715321</v>
      </c>
      <c r="U45" s="120">
        <f t="shared" si="38"/>
        <v>0.36594169847647173</v>
      </c>
      <c r="V45" s="120">
        <f t="shared" si="38"/>
        <v>0.36358444565620052</v>
      </c>
      <c r="W45" s="120">
        <f t="shared" si="38"/>
        <v>0.36863645038377257</v>
      </c>
      <c r="X45" s="120">
        <f t="shared" si="38"/>
        <v>0.37491424539232016</v>
      </c>
      <c r="Y45" s="120">
        <f t="shared" si="38"/>
        <v>0.38230977305514913</v>
      </c>
      <c r="Z45" s="120">
        <f t="shared" si="38"/>
        <v>0.38178695379356409</v>
      </c>
      <c r="AA45" s="120">
        <f t="shared" si="38"/>
        <v>0.37703104254673236</v>
      </c>
      <c r="AB45" s="120">
        <f t="shared" si="38"/>
        <v>0.37680592850470135</v>
      </c>
      <c r="AC45" s="120">
        <f t="shared" si="38"/>
        <v>0.38248584215876824</v>
      </c>
      <c r="AD45" s="120">
        <f t="shared" si="38"/>
        <v>0.37635164744051941</v>
      </c>
      <c r="AE45" s="120">
        <f t="shared" si="38"/>
        <v>0.39441706581804509</v>
      </c>
      <c r="AF45" s="120">
        <f t="shared" si="38"/>
        <v>0.36951624781022541</v>
      </c>
      <c r="AG45" s="120">
        <f t="shared" si="38"/>
        <v>0.37801377222968019</v>
      </c>
      <c r="AH45" s="120"/>
      <c r="AI45" s="18"/>
    </row>
    <row r="46" spans="1:35" s="54" customFormat="1" ht="11.25" customHeight="1">
      <c r="A46" s="18"/>
      <c r="B46" s="36" t="s">
        <v>420</v>
      </c>
      <c r="C46" s="18"/>
      <c r="D46" s="18"/>
      <c r="E46" s="18"/>
      <c r="F46" s="18"/>
      <c r="G46" s="120"/>
      <c r="H46" s="120"/>
      <c r="I46" s="120"/>
      <c r="J46" s="120"/>
      <c r="K46" s="120"/>
      <c r="L46" s="120"/>
      <c r="M46" s="120"/>
      <c r="N46" s="120">
        <f t="shared" ref="N46:AG46" si="39">N96/N95</f>
        <v>0.4846822598832361</v>
      </c>
      <c r="O46" s="120">
        <f t="shared" si="39"/>
        <v>0.4996629485941545</v>
      </c>
      <c r="P46" s="120">
        <f t="shared" si="39"/>
        <v>0.48543173894583258</v>
      </c>
      <c r="Q46" s="120">
        <f t="shared" si="39"/>
        <v>0.47382071153328292</v>
      </c>
      <c r="R46" s="120">
        <f t="shared" si="39"/>
        <v>0.46517205902399128</v>
      </c>
      <c r="S46" s="120">
        <f t="shared" si="39"/>
        <v>0.45840553924030542</v>
      </c>
      <c r="T46" s="120">
        <f t="shared" si="39"/>
        <v>0.53644055748625696</v>
      </c>
      <c r="U46" s="120">
        <f t="shared" si="39"/>
        <v>0.5143171453843558</v>
      </c>
      <c r="V46" s="120">
        <f t="shared" si="39"/>
        <v>0.50058730161832732</v>
      </c>
      <c r="W46" s="120">
        <f t="shared" si="39"/>
        <v>0.50419543664507804</v>
      </c>
      <c r="X46" s="120">
        <f t="shared" si="39"/>
        <v>0.52885402950782856</v>
      </c>
      <c r="Y46" s="120">
        <f t="shared" si="39"/>
        <v>0.52471761299229291</v>
      </c>
      <c r="Z46" s="120">
        <f t="shared" si="39"/>
        <v>0.53886862778260514</v>
      </c>
      <c r="AA46" s="120">
        <f t="shared" si="39"/>
        <v>0.55820337565705425</v>
      </c>
      <c r="AB46" s="120">
        <f t="shared" si="39"/>
        <v>0.57311583073210082</v>
      </c>
      <c r="AC46" s="120">
        <f t="shared" si="39"/>
        <v>0.55162301120191215</v>
      </c>
      <c r="AD46" s="120">
        <f t="shared" si="39"/>
        <v>0.54245400113471076</v>
      </c>
      <c r="AE46" s="120">
        <f t="shared" si="39"/>
        <v>0.5506070705654541</v>
      </c>
      <c r="AF46" s="120">
        <f t="shared" si="39"/>
        <v>0.52480786519069822</v>
      </c>
      <c r="AG46" s="120">
        <f t="shared" si="39"/>
        <v>0.5273122492806257</v>
      </c>
      <c r="AH46" s="120"/>
      <c r="AI46" s="18"/>
    </row>
    <row r="47" spans="1:35" s="54" customFormat="1" ht="11.25" customHeight="1">
      <c r="A47" s="18"/>
      <c r="B47" s="36"/>
      <c r="C47" s="18"/>
      <c r="D47" s="18"/>
      <c r="E47" s="18"/>
      <c r="F47" s="18"/>
      <c r="G47" s="120"/>
      <c r="H47" s="120"/>
      <c r="I47" s="120"/>
      <c r="J47" s="120"/>
      <c r="K47" s="120"/>
      <c r="L47" s="120"/>
      <c r="M47" s="120"/>
      <c r="N47" s="120"/>
      <c r="O47" s="120"/>
      <c r="P47" s="120"/>
      <c r="Q47" s="120"/>
      <c r="R47" s="120"/>
      <c r="S47" s="120"/>
      <c r="T47" s="120"/>
      <c r="U47" s="120"/>
      <c r="V47" s="120"/>
      <c r="W47" s="120"/>
      <c r="X47" s="120"/>
      <c r="Y47" s="120"/>
      <c r="Z47" s="120"/>
      <c r="AA47" s="120"/>
      <c r="AB47" s="120"/>
      <c r="AC47" s="120"/>
      <c r="AD47" s="120"/>
      <c r="AE47" s="120"/>
      <c r="AF47" s="120"/>
      <c r="AG47" s="120"/>
      <c r="AH47" s="120"/>
      <c r="AI47" s="18"/>
    </row>
    <row r="48" spans="1:35" s="54" customFormat="1" ht="11.25" customHeight="1">
      <c r="A48" s="18"/>
      <c r="B48" s="324" t="s">
        <v>419</v>
      </c>
      <c r="C48" s="18"/>
      <c r="D48" s="18"/>
      <c r="E48" s="18"/>
      <c r="F48" s="18"/>
      <c r="G48" s="120"/>
      <c r="H48" s="120"/>
      <c r="I48" s="120"/>
      <c r="J48" s="120"/>
      <c r="K48" s="120"/>
      <c r="L48" s="120"/>
      <c r="M48" s="120"/>
      <c r="N48" s="120"/>
      <c r="O48" s="120"/>
      <c r="P48" s="120"/>
      <c r="Q48" s="120"/>
      <c r="R48" s="120"/>
      <c r="S48" s="120"/>
      <c r="T48" s="120"/>
      <c r="U48" s="120"/>
      <c r="V48" s="120"/>
      <c r="W48" s="120"/>
      <c r="X48" s="120"/>
      <c r="Y48" s="120"/>
      <c r="Z48" s="120"/>
      <c r="AA48" s="120"/>
      <c r="AB48" s="120"/>
      <c r="AC48" s="120"/>
      <c r="AD48" s="120"/>
      <c r="AE48" s="120"/>
      <c r="AF48" s="120"/>
      <c r="AG48" s="120"/>
      <c r="AH48" s="120"/>
      <c r="AI48" s="18"/>
    </row>
    <row r="49" spans="1:35" s="54" customFormat="1" ht="11.25" customHeight="1">
      <c r="A49" s="18"/>
      <c r="B49" s="36" t="s">
        <v>415</v>
      </c>
      <c r="C49" s="18"/>
      <c r="D49" s="18"/>
      <c r="E49" s="18"/>
      <c r="F49" s="18"/>
      <c r="G49" s="120"/>
      <c r="H49" s="120"/>
      <c r="I49" s="120"/>
      <c r="J49" s="120"/>
      <c r="K49" s="120"/>
      <c r="L49" s="120"/>
      <c r="M49" s="120"/>
      <c r="N49" s="318">
        <f>N$33-N45</f>
        <v>8.0926640328212118E-2</v>
      </c>
      <c r="O49" s="318">
        <f t="shared" ref="O49:AG49" si="40">O$33-O45</f>
        <v>8.3171953788819752E-2</v>
      </c>
      <c r="P49" s="318">
        <f t="shared" si="40"/>
        <v>0.11529510941436155</v>
      </c>
      <c r="Q49" s="318">
        <f t="shared" si="40"/>
        <v>6.8077249211438817E-2</v>
      </c>
      <c r="R49" s="318">
        <f t="shared" si="40"/>
        <v>7.7151359567633693E-2</v>
      </c>
      <c r="S49" s="318">
        <f t="shared" si="40"/>
        <v>5.4412079720427331E-2</v>
      </c>
      <c r="T49" s="318">
        <f t="shared" si="40"/>
        <v>0.1171445374238762</v>
      </c>
      <c r="U49" s="318">
        <f t="shared" si="40"/>
        <v>8.846624755718463E-2</v>
      </c>
      <c r="V49" s="318">
        <f t="shared" si="40"/>
        <v>0.11819041152048598</v>
      </c>
      <c r="W49" s="318">
        <f t="shared" si="40"/>
        <v>0.10193927186524926</v>
      </c>
      <c r="X49" s="318">
        <f t="shared" si="40"/>
        <v>0.12026015019450009</v>
      </c>
      <c r="Y49" s="318">
        <f t="shared" si="40"/>
        <v>0.10423019092812524</v>
      </c>
      <c r="Z49" s="318">
        <f t="shared" si="40"/>
        <v>0.11912344329991675</v>
      </c>
      <c r="AA49" s="318">
        <f t="shared" si="40"/>
        <v>0.1292122627168778</v>
      </c>
      <c r="AB49" s="318">
        <f t="shared" si="40"/>
        <v>0.10587591401198476</v>
      </c>
      <c r="AC49" s="318">
        <f t="shared" si="40"/>
        <v>7.7989997882749851E-2</v>
      </c>
      <c r="AD49" s="318">
        <f t="shared" si="40"/>
        <v>0.15463753039115169</v>
      </c>
      <c r="AE49" s="318">
        <f t="shared" si="40"/>
        <v>0.12185436786373111</v>
      </c>
      <c r="AF49" s="318">
        <f t="shared" si="40"/>
        <v>0.22607564159044291</v>
      </c>
      <c r="AG49" s="318">
        <f t="shared" si="40"/>
        <v>0.16558220803803053</v>
      </c>
      <c r="AH49" s="120"/>
      <c r="AI49" s="18"/>
    </row>
    <row r="50" spans="1:35" s="54" customFormat="1" ht="11.25" customHeight="1">
      <c r="A50" s="18"/>
      <c r="B50" s="36" t="s">
        <v>420</v>
      </c>
      <c r="C50" s="18"/>
      <c r="D50" s="18"/>
      <c r="E50" s="18"/>
      <c r="F50" s="18"/>
      <c r="G50" s="120"/>
      <c r="H50" s="120"/>
      <c r="I50" s="120"/>
      <c r="J50" s="120"/>
      <c r="K50" s="120"/>
      <c r="L50" s="120"/>
      <c r="M50" s="120"/>
      <c r="N50" s="318">
        <f>N$33-N46</f>
        <v>-3.4397865237553282E-2</v>
      </c>
      <c r="O50" s="318">
        <f t="shared" ref="O50:AG50" si="41">O$33-O46</f>
        <v>-5.62326407893039E-2</v>
      </c>
      <c r="P50" s="318">
        <f t="shared" si="41"/>
        <v>5.4522050125551669E-3</v>
      </c>
      <c r="Q50" s="318">
        <f t="shared" si="41"/>
        <v>-3.260321780982256E-2</v>
      </c>
      <c r="R50" s="318">
        <f t="shared" si="41"/>
        <v>-3.9698259805602376E-2</v>
      </c>
      <c r="S50" s="318">
        <f t="shared" si="41"/>
        <v>-2.1102078791671142E-2</v>
      </c>
      <c r="T50" s="318">
        <f t="shared" si="41"/>
        <v>-4.2911961745227545E-2</v>
      </c>
      <c r="U50" s="318">
        <f t="shared" si="41"/>
        <v>-5.9909199350699438E-2</v>
      </c>
      <c r="V50" s="318">
        <f t="shared" si="41"/>
        <v>-1.8812444441640819E-2</v>
      </c>
      <c r="W50" s="318">
        <f t="shared" si="41"/>
        <v>-3.3619714396056211E-2</v>
      </c>
      <c r="X50" s="318">
        <f t="shared" si="41"/>
        <v>-3.3679633921008312E-2</v>
      </c>
      <c r="Y50" s="318">
        <f t="shared" si="41"/>
        <v>-3.8177649009018544E-2</v>
      </c>
      <c r="Z50" s="318">
        <f t="shared" si="41"/>
        <v>-3.7958230689124295E-2</v>
      </c>
      <c r="AA50" s="318">
        <f t="shared" si="41"/>
        <v>-5.196007039344408E-2</v>
      </c>
      <c r="AB50" s="318">
        <f t="shared" si="41"/>
        <v>-9.0433988215414707E-2</v>
      </c>
      <c r="AC50" s="318">
        <f t="shared" si="41"/>
        <v>-9.1147171160394058E-2</v>
      </c>
      <c r="AD50" s="318">
        <f t="shared" si="41"/>
        <v>-1.1464823303039662E-2</v>
      </c>
      <c r="AE50" s="318">
        <f t="shared" si="41"/>
        <v>-3.4335636883677911E-2</v>
      </c>
      <c r="AF50" s="318">
        <f t="shared" si="41"/>
        <v>7.0784024209970098E-2</v>
      </c>
      <c r="AG50" s="318">
        <f t="shared" si="41"/>
        <v>1.6283730987085021E-2</v>
      </c>
      <c r="AH50" s="120"/>
      <c r="AI50" s="18"/>
    </row>
    <row r="51" spans="1:35" s="54" customFormat="1" ht="11.25" customHeight="1">
      <c r="A51" s="18"/>
      <c r="B51" s="36"/>
      <c r="C51" s="18"/>
      <c r="D51" s="18"/>
      <c r="E51" s="18"/>
      <c r="F51" s="18"/>
      <c r="G51" s="203"/>
      <c r="H51" s="203"/>
      <c r="I51" s="203"/>
      <c r="J51" s="203"/>
      <c r="K51" s="203"/>
      <c r="L51" s="203"/>
      <c r="M51" s="203"/>
      <c r="N51" s="203"/>
      <c r="O51" s="203"/>
      <c r="P51" s="203"/>
      <c r="Q51" s="203"/>
      <c r="R51" s="203"/>
      <c r="S51" s="203"/>
      <c r="T51" s="203"/>
      <c r="U51" s="203"/>
      <c r="V51" s="203"/>
      <c r="W51" s="203"/>
      <c r="X51" s="203"/>
      <c r="Y51" s="203"/>
      <c r="Z51" s="203"/>
      <c r="AA51" s="203"/>
      <c r="AB51" s="203"/>
      <c r="AC51" s="203"/>
      <c r="AD51" s="203"/>
      <c r="AE51" s="203"/>
      <c r="AF51" s="203"/>
      <c r="AG51" s="203"/>
      <c r="AH51" s="203"/>
      <c r="AI51" s="18"/>
    </row>
    <row r="52" spans="1:35" s="54" customFormat="1" ht="11.25" customHeight="1">
      <c r="A52" s="55"/>
      <c r="B52" s="204" t="s">
        <v>250</v>
      </c>
      <c r="C52" s="205"/>
      <c r="D52" s="205"/>
      <c r="E52" s="205"/>
      <c r="F52" s="205"/>
      <c r="G52" s="320">
        <f>'Historical Financials'!AC50/1000</f>
        <v>1.4928E-2</v>
      </c>
      <c r="H52" s="320">
        <f>'Historical Financials'!AD50/1000</f>
        <v>1.3807999999999996E-2</v>
      </c>
      <c r="I52" s="320">
        <f>'Historical Financials'!AE50/1000</f>
        <v>2.4829999999999991E-2</v>
      </c>
      <c r="J52" s="320">
        <f>'Historical Financials'!AF50/1000</f>
        <v>6.1295000000000002E-2</v>
      </c>
      <c r="K52" s="320">
        <f>'Historical Financials'!AG50/1000</f>
        <v>1.2778000000000013E-2</v>
      </c>
      <c r="L52" s="320">
        <f>'Historical Financials'!AH50/1000</f>
        <v>3.1588999999999985E-2</v>
      </c>
      <c r="M52" s="320">
        <f>'Historical Financials'!AI50/1000</f>
        <v>5.1301000000000013E-2</v>
      </c>
      <c r="N52" s="320">
        <f>'Historical Financials'!AJ50/1000</f>
        <v>8.8482000000000019E-2</v>
      </c>
      <c r="O52" s="320">
        <f>'Historical Financials'!AK50/1000</f>
        <v>9.0968000000000007E-2</v>
      </c>
      <c r="P52" s="320">
        <f>'Historical Financials'!AL50/1000</f>
        <v>0.12726499999999996</v>
      </c>
      <c r="Q52" s="320">
        <f>'Historical Financials'!AM50/1000</f>
        <v>0.11172199999999999</v>
      </c>
      <c r="R52" s="320">
        <f>'Historical Financials'!AN50/1000</f>
        <v>0.10443500000000003</v>
      </c>
      <c r="S52" s="320">
        <f>'Historical Financials'!AO50/1000</f>
        <v>9.1962000000000016E-2</v>
      </c>
      <c r="T52" s="320">
        <f>'Historical Financials'!AP50/1000</f>
        <v>0.15917500000000001</v>
      </c>
      <c r="U52" s="320">
        <f>'Historical Financials'!AQ50/1000</f>
        <v>0.14155700000000002</v>
      </c>
      <c r="V52" s="320">
        <f>'Historical Financials'!AR50/1000</f>
        <v>0.181177</v>
      </c>
      <c r="W52" s="320">
        <f>'Historical Financials'!AS50/1000</f>
        <v>0.20942899999999998</v>
      </c>
      <c r="X52" s="320">
        <f>'Historical Financials'!AT50/1000</f>
        <v>0.29587000000000008</v>
      </c>
      <c r="Y52" s="320">
        <f>'Historical Financials'!AU50/1000</f>
        <v>0.320048</v>
      </c>
      <c r="Z52" s="320">
        <f>'Historical Financials'!AV50/1000</f>
        <v>0.37795799999999996</v>
      </c>
      <c r="AA52" s="320">
        <f>'Historical Financials'!AW50/1000</f>
        <v>0.38555899999999993</v>
      </c>
      <c r="AB52" s="320">
        <f>'Historical Financials'!AX50/1000</f>
        <v>0.383623557</v>
      </c>
      <c r="AC52" s="320">
        <f>'Historical Financials'!AY50/1000</f>
        <v>0.37270144800000016</v>
      </c>
      <c r="AD52" s="320">
        <f>'Historical Financials'!AZ50/1000</f>
        <v>0.56678381099999997</v>
      </c>
      <c r="AE52" s="320">
        <f>'Historical Financials'!BA50/1000</f>
        <v>0.64998103699999965</v>
      </c>
      <c r="AF52" s="320">
        <f>'Historical Financials'!BB50/1000</f>
        <v>1.1212792920000001</v>
      </c>
      <c r="AG52" s="320">
        <f>'Historical Financials'!BC50/1000</f>
        <v>0.9214659999999999</v>
      </c>
      <c r="AH52" s="320">
        <f ca="1">'Historical Financials'!BD50/1000</f>
        <v>1.3053836868813955</v>
      </c>
      <c r="AI52" s="55"/>
    </row>
    <row r="53" spans="1:35" s="54" customFormat="1" ht="11.25" customHeight="1">
      <c r="A53" s="18"/>
      <c r="B53" s="36" t="s">
        <v>249</v>
      </c>
      <c r="C53" s="18"/>
      <c r="D53" s="18"/>
      <c r="E53" s="18"/>
      <c r="F53" s="18"/>
      <c r="G53" s="120"/>
      <c r="H53" s="120">
        <f>IF(AND(H52&gt;0,G52&gt;0),H52/G52-1,"n/m")</f>
        <v>-7.5026795284030334E-2</v>
      </c>
      <c r="I53" s="120">
        <f t="shared" ref="I53:AH53" si="42">IF(AND(I52&gt;0,H52&gt;0),I52/H52-1,"n/m")</f>
        <v>0.79823290845886441</v>
      </c>
      <c r="J53" s="120">
        <f t="shared" si="42"/>
        <v>1.4685863874345562</v>
      </c>
      <c r="K53" s="120">
        <f t="shared" si="42"/>
        <v>-0.79153275144791557</v>
      </c>
      <c r="L53" s="120">
        <f t="shared" si="42"/>
        <v>1.4721396149632144</v>
      </c>
      <c r="M53" s="120">
        <f t="shared" si="42"/>
        <v>0.62401468865744514</v>
      </c>
      <c r="N53" s="120">
        <f t="shared" si="42"/>
        <v>0.72476170055164602</v>
      </c>
      <c r="O53" s="120">
        <f t="shared" si="42"/>
        <v>2.8096109943265057E-2</v>
      </c>
      <c r="P53" s="120">
        <f t="shared" si="42"/>
        <v>0.39900844252924061</v>
      </c>
      <c r="Q53" s="120">
        <f t="shared" si="42"/>
        <v>-0.12213098652418164</v>
      </c>
      <c r="R53" s="120">
        <f t="shared" si="42"/>
        <v>-6.522439626931098E-2</v>
      </c>
      <c r="S53" s="120">
        <f t="shared" si="42"/>
        <v>-0.11943314023076568</v>
      </c>
      <c r="T53" s="120">
        <f t="shared" si="42"/>
        <v>0.73087797133598653</v>
      </c>
      <c r="U53" s="120">
        <f t="shared" si="42"/>
        <v>-0.11068321030312545</v>
      </c>
      <c r="V53" s="120">
        <f t="shared" si="42"/>
        <v>0.27988725389772307</v>
      </c>
      <c r="W53" s="120">
        <f t="shared" si="42"/>
        <v>0.15593590797948953</v>
      </c>
      <c r="X53" s="120">
        <f t="shared" si="42"/>
        <v>0.41274608578563665</v>
      </c>
      <c r="Y53" s="120">
        <f t="shared" si="42"/>
        <v>8.1718322236116858E-2</v>
      </c>
      <c r="Z53" s="120">
        <f t="shared" si="42"/>
        <v>0.18094160875868615</v>
      </c>
      <c r="AA53" s="120">
        <f t="shared" si="42"/>
        <v>2.0110700130702375E-2</v>
      </c>
      <c r="AB53" s="120">
        <f t="shared" si="42"/>
        <v>-5.0198361340285658E-3</v>
      </c>
      <c r="AC53" s="120">
        <f t="shared" si="42"/>
        <v>-2.8470902791821628E-2</v>
      </c>
      <c r="AD53" s="120">
        <f t="shared" si="42"/>
        <v>0.52074485903258338</v>
      </c>
      <c r="AE53" s="120">
        <f t="shared" si="42"/>
        <v>0.14678828926537513</v>
      </c>
      <c r="AF53" s="120">
        <f t="shared" si="42"/>
        <v>0.72509539228296083</v>
      </c>
      <c r="AG53" s="120">
        <f t="shared" si="42"/>
        <v>-0.17820117915813627</v>
      </c>
      <c r="AH53" s="120">
        <f t="shared" ca="1" si="42"/>
        <v>0.41663793008249428</v>
      </c>
      <c r="AI53" s="18"/>
    </row>
    <row r="54" spans="1:35" s="54" customFormat="1" ht="11.25" customHeight="1">
      <c r="A54" s="18"/>
      <c r="B54" s="36" t="s">
        <v>17</v>
      </c>
      <c r="C54" s="18"/>
      <c r="D54" s="18"/>
      <c r="E54" s="18"/>
      <c r="F54" s="18"/>
      <c r="G54" s="120">
        <f t="shared" ref="G54:AH54" si="43">IFERROR(G52/G15,"n/a")</f>
        <v>0.33983654699842919</v>
      </c>
      <c r="H54" s="120">
        <f t="shared" si="43"/>
        <v>0.2738487168299551</v>
      </c>
      <c r="I54" s="120">
        <f t="shared" si="43"/>
        <v>0.33982509203881361</v>
      </c>
      <c r="J54" s="120">
        <f t="shared" si="43"/>
        <v>0.36880708552449487</v>
      </c>
      <c r="K54" s="120">
        <f t="shared" si="43"/>
        <v>0.10150534217738423</v>
      </c>
      <c r="L54" s="120">
        <f t="shared" si="43"/>
        <v>0.19463219573508472</v>
      </c>
      <c r="M54" s="120">
        <f t="shared" si="43"/>
        <v>0.25271802046335667</v>
      </c>
      <c r="N54" s="120">
        <f t="shared" si="43"/>
        <v>0.34400283033905754</v>
      </c>
      <c r="O54" s="120">
        <f t="shared" si="43"/>
        <v>0.34126010541518959</v>
      </c>
      <c r="P54" s="120">
        <f t="shared" si="43"/>
        <v>0.40095208990349918</v>
      </c>
      <c r="Q54" s="120">
        <f t="shared" si="43"/>
        <v>0.34628521836159065</v>
      </c>
      <c r="R54" s="120">
        <f t="shared" si="43"/>
        <v>0.31346988515959401</v>
      </c>
      <c r="S54" s="120">
        <f t="shared" si="43"/>
        <v>0.31095346619688785</v>
      </c>
      <c r="T54" s="120">
        <f t="shared" si="43"/>
        <v>0.37940544122344105</v>
      </c>
      <c r="U54" s="120">
        <f t="shared" si="43"/>
        <v>0.33145234744697144</v>
      </c>
      <c r="V54" s="120">
        <f t="shared" si="43"/>
        <v>0.35753090805040011</v>
      </c>
      <c r="W54" s="120">
        <f t="shared" si="43"/>
        <v>0.35078824301870609</v>
      </c>
      <c r="X54" s="120">
        <f t="shared" si="43"/>
        <v>0.38787057259644003</v>
      </c>
      <c r="Y54" s="120">
        <f t="shared" si="43"/>
        <v>0.37942992091258182</v>
      </c>
      <c r="Z54" s="120">
        <f t="shared" si="43"/>
        <v>0.39871594977730607</v>
      </c>
      <c r="AA54" s="120">
        <f t="shared" si="43"/>
        <v>0.39445514692868255</v>
      </c>
      <c r="AB54" s="120">
        <f t="shared" si="43"/>
        <v>0.37191797540186483</v>
      </c>
      <c r="AC54" s="120">
        <f t="shared" si="43"/>
        <v>0.34832384748469969</v>
      </c>
      <c r="AD54" s="120">
        <f t="shared" si="43"/>
        <v>0.42320834418118808</v>
      </c>
      <c r="AE54" s="120">
        <f t="shared" si="43"/>
        <v>0.40945878793511753</v>
      </c>
      <c r="AF54" s="120">
        <f t="shared" si="43"/>
        <v>0.49528848666996861</v>
      </c>
      <c r="AG54" s="120">
        <f t="shared" si="43"/>
        <v>0.42626204124833</v>
      </c>
      <c r="AH54" s="120">
        <f t="shared" ca="1" si="43"/>
        <v>0.45216076352949336</v>
      </c>
      <c r="AI54" s="18"/>
    </row>
    <row r="55" spans="1:35" s="54" customFormat="1" ht="11.25" customHeight="1">
      <c r="A55" s="18"/>
      <c r="B55" s="36" t="s">
        <v>100</v>
      </c>
      <c r="C55" s="18"/>
      <c r="D55" s="18"/>
      <c r="E55" s="18"/>
      <c r="F55" s="18"/>
      <c r="G55" s="120"/>
      <c r="H55" s="120">
        <f t="shared" ref="H55:AH55" si="44">IF(H15&gt;G15,((H52-G52)/(H15-G15)),"n/m")</f>
        <v>-0.1724403387220948</v>
      </c>
      <c r="I55" s="120">
        <f t="shared" si="44"/>
        <v>0.48672996246411993</v>
      </c>
      <c r="J55" s="120">
        <f t="shared" si="44"/>
        <v>0.39154524272261659</v>
      </c>
      <c r="K55" s="120" t="str">
        <f t="shared" si="44"/>
        <v>n/m</v>
      </c>
      <c r="L55" s="120">
        <f t="shared" si="44"/>
        <v>0.51655865553602731</v>
      </c>
      <c r="M55" s="120">
        <f t="shared" si="44"/>
        <v>0.48437192844505661</v>
      </c>
      <c r="N55" s="120">
        <f t="shared" si="44"/>
        <v>0.68579386159067424</v>
      </c>
      <c r="O55" s="120">
        <f t="shared" si="44"/>
        <v>0.2658254918733956</v>
      </c>
      <c r="P55" s="120">
        <f t="shared" si="44"/>
        <v>0.71391762715864748</v>
      </c>
      <c r="Q55" s="120">
        <f t="shared" si="44"/>
        <v>-2.9758759333716331</v>
      </c>
      <c r="R55" s="120">
        <f t="shared" si="44"/>
        <v>-0.69215425531914265</v>
      </c>
      <c r="S55" s="120" t="str">
        <f t="shared" si="44"/>
        <v>n/m</v>
      </c>
      <c r="T55" s="120">
        <f t="shared" si="44"/>
        <v>0.54293353581698911</v>
      </c>
      <c r="U55" s="120">
        <f t="shared" si="44"/>
        <v>-2.3356754606920247</v>
      </c>
      <c r="V55" s="120">
        <f t="shared" si="44"/>
        <v>0.49733882305683885</v>
      </c>
      <c r="W55" s="120">
        <f t="shared" si="44"/>
        <v>0.312940994029619</v>
      </c>
      <c r="X55" s="120">
        <f t="shared" si="44"/>
        <v>0.52141366372706355</v>
      </c>
      <c r="Y55" s="120">
        <f t="shared" si="44"/>
        <v>0.29963688639377339</v>
      </c>
      <c r="Z55" s="120">
        <f t="shared" si="44"/>
        <v>0.55447573271033368</v>
      </c>
      <c r="AA55" s="120">
        <f t="shared" si="44"/>
        <v>0.25758243247822682</v>
      </c>
      <c r="AB55" s="120">
        <f t="shared" si="44"/>
        <v>-3.5823918966369085E-2</v>
      </c>
      <c r="AC55" s="120">
        <f t="shared" si="44"/>
        <v>-0.28360354987501896</v>
      </c>
      <c r="AD55" s="120">
        <f t="shared" si="44"/>
        <v>0.72077402656461864</v>
      </c>
      <c r="AE55" s="120">
        <f t="shared" si="44"/>
        <v>0.33525608571939225</v>
      </c>
      <c r="AF55" s="120">
        <f t="shared" si="44"/>
        <v>0.69669593206933789</v>
      </c>
      <c r="AG55" s="120" t="str">
        <f t="shared" si="44"/>
        <v>n/m</v>
      </c>
      <c r="AH55" s="120">
        <f t="shared" ca="1" si="44"/>
        <v>0.5293560439935</v>
      </c>
      <c r="AI55" s="18"/>
    </row>
    <row r="56" spans="1:35" s="54" customFormat="1" ht="11.25" customHeight="1">
      <c r="A56" s="18"/>
      <c r="B56" s="36"/>
      <c r="C56" s="18"/>
      <c r="D56" s="18"/>
      <c r="E56" s="18"/>
      <c r="F56" s="18"/>
      <c r="G56" s="120"/>
      <c r="H56" s="120"/>
      <c r="I56" s="120"/>
      <c r="J56" s="120"/>
      <c r="K56" s="120"/>
      <c r="L56" s="120"/>
      <c r="M56" s="120"/>
      <c r="N56" s="120"/>
      <c r="O56" s="120"/>
      <c r="P56" s="120"/>
      <c r="Q56" s="120"/>
      <c r="R56" s="120"/>
      <c r="S56" s="120"/>
      <c r="T56" s="120"/>
      <c r="U56" s="120"/>
      <c r="V56" s="120"/>
      <c r="W56" s="120"/>
      <c r="X56" s="120"/>
      <c r="Y56" s="120"/>
      <c r="Z56" s="120"/>
      <c r="AA56" s="120"/>
      <c r="AB56" s="120"/>
      <c r="AC56" s="120"/>
      <c r="AD56" s="120"/>
      <c r="AE56" s="120"/>
      <c r="AF56" s="120"/>
      <c r="AG56" s="120"/>
      <c r="AH56" s="120"/>
      <c r="AI56" s="18"/>
    </row>
    <row r="57" spans="1:35" s="54" customFormat="1" ht="11.25" customHeight="1">
      <c r="A57" s="18"/>
      <c r="B57" s="324" t="s">
        <v>416</v>
      </c>
      <c r="C57" s="18"/>
      <c r="D57" s="18"/>
      <c r="E57" s="18"/>
      <c r="F57" s="18"/>
      <c r="G57" s="120"/>
      <c r="H57" s="120"/>
      <c r="I57" s="120"/>
      <c r="J57" s="120"/>
      <c r="K57" s="120"/>
      <c r="L57" s="120"/>
      <c r="M57" s="120"/>
      <c r="N57" s="120"/>
      <c r="O57" s="120"/>
      <c r="P57" s="120"/>
      <c r="Q57" s="120"/>
      <c r="R57" s="120"/>
      <c r="S57" s="120"/>
      <c r="T57" s="120"/>
      <c r="U57" s="120"/>
      <c r="V57" s="120"/>
      <c r="W57" s="120"/>
      <c r="X57" s="120"/>
      <c r="Y57" s="120"/>
      <c r="Z57" s="120"/>
      <c r="AA57" s="120"/>
      <c r="AB57" s="120"/>
      <c r="AC57" s="120"/>
      <c r="AD57" s="120"/>
      <c r="AE57" s="120"/>
      <c r="AF57" s="120"/>
      <c r="AG57" s="120"/>
      <c r="AH57" s="120"/>
      <c r="AI57" s="18"/>
    </row>
    <row r="58" spans="1:35" s="54" customFormat="1" ht="11.25" customHeight="1">
      <c r="A58" s="18"/>
      <c r="B58" s="36" t="s">
        <v>415</v>
      </c>
      <c r="C58" s="18"/>
      <c r="D58" s="18"/>
      <c r="E58" s="18"/>
      <c r="F58" s="18"/>
      <c r="G58" s="120"/>
      <c r="H58" s="120"/>
      <c r="I58" s="120"/>
      <c r="J58" s="120"/>
      <c r="K58" s="120"/>
      <c r="L58" s="120"/>
      <c r="M58" s="120"/>
      <c r="N58" s="120"/>
      <c r="O58" s="120">
        <f>IF(AND(O92&gt;0,N92&gt;0),O92/N92-1,"n/m")</f>
        <v>0.12358629370893004</v>
      </c>
      <c r="P58" s="120">
        <f t="shared" ref="P58:AG58" si="45">IF(AND(P92&gt;0,O92&gt;0),P92/O92-1,"n/m")</f>
        <v>0.1359629863449372</v>
      </c>
      <c r="Q58" s="120">
        <f t="shared" si="45"/>
        <v>1.4947138828581563E-2</v>
      </c>
      <c r="R58" s="120">
        <f t="shared" si="45"/>
        <v>1.92623929364788E-3</v>
      </c>
      <c r="S58" s="120">
        <f t="shared" si="45"/>
        <v>-0.17892759928263358</v>
      </c>
      <c r="T58" s="120">
        <f t="shared" si="45"/>
        <v>0.228930087266489</v>
      </c>
      <c r="U58" s="120">
        <f t="shared" si="45"/>
        <v>0.10727804135256447</v>
      </c>
      <c r="V58" s="120">
        <f t="shared" si="45"/>
        <v>4.0581372756546497E-2</v>
      </c>
      <c r="W58" s="120">
        <f t="shared" si="45"/>
        <v>5.1675743668526675E-2</v>
      </c>
      <c r="X58" s="120">
        <f t="shared" si="45"/>
        <v>3.1765863101827607E-2</v>
      </c>
      <c r="Y58" s="120">
        <f t="shared" si="45"/>
        <v>-4.6840352790454398E-2</v>
      </c>
      <c r="Z58" s="120">
        <f t="shared" si="45"/>
        <v>2.4311119610047616E-3</v>
      </c>
      <c r="AA58" s="120">
        <f t="shared" si="45"/>
        <v>0.11726502189835686</v>
      </c>
      <c r="AB58" s="120">
        <f t="shared" si="45"/>
        <v>0.10430182361515805</v>
      </c>
      <c r="AC58" s="120">
        <f t="shared" si="45"/>
        <v>3.1696156515491403E-2</v>
      </c>
      <c r="AD58" s="120">
        <f t="shared" si="45"/>
        <v>-0.17769270819439364</v>
      </c>
      <c r="AE58" s="120">
        <f t="shared" si="45"/>
        <v>0.51619994201529606</v>
      </c>
      <c r="AF58" s="120">
        <f t="shared" si="45"/>
        <v>6.1256528064578486E-2</v>
      </c>
      <c r="AG58" s="120">
        <f t="shared" si="45"/>
        <v>3.8942115617545792E-2</v>
      </c>
      <c r="AH58" s="120"/>
      <c r="AI58" s="18"/>
    </row>
    <row r="59" spans="1:35" s="54" customFormat="1" ht="11.25" customHeight="1">
      <c r="A59" s="18"/>
      <c r="B59" s="36" t="s">
        <v>420</v>
      </c>
      <c r="C59" s="18"/>
      <c r="D59" s="18"/>
      <c r="E59" s="18"/>
      <c r="F59" s="18"/>
      <c r="G59" s="120"/>
      <c r="H59" s="120"/>
      <c r="I59" s="120"/>
      <c r="J59" s="120"/>
      <c r="K59" s="120"/>
      <c r="L59" s="120"/>
      <c r="M59" s="120"/>
      <c r="N59" s="120"/>
      <c r="O59" s="120">
        <f>IF(AND(O97&gt;0,N97&gt;0),O97/N97-1,"n/m")</f>
        <v>5.9194891473907996E-2</v>
      </c>
      <c r="P59" s="120">
        <f t="shared" ref="P59:AG59" si="46">IF(AND(P97&gt;0,O97&gt;0),P97/O97-1,"n/m")</f>
        <v>-7.622110895150791E-2</v>
      </c>
      <c r="Q59" s="120">
        <f t="shared" si="46"/>
        <v>2.0502756191962845E-2</v>
      </c>
      <c r="R59" s="120">
        <f t="shared" si="46"/>
        <v>-0.18362662618094894</v>
      </c>
      <c r="S59" s="120">
        <f t="shared" si="46"/>
        <v>-0.25988016040043849</v>
      </c>
      <c r="T59" s="120">
        <f t="shared" si="46"/>
        <v>2.0274447378430094</v>
      </c>
      <c r="U59" s="120">
        <f t="shared" si="46"/>
        <v>-1.929654838623529E-2</v>
      </c>
      <c r="V59" s="120">
        <f t="shared" si="46"/>
        <v>-0.26758304026382917</v>
      </c>
      <c r="W59" s="120">
        <f t="shared" si="46"/>
        <v>3.1048037851918453E-2</v>
      </c>
      <c r="X59" s="120">
        <f t="shared" si="46"/>
        <v>0.40853094488666053</v>
      </c>
      <c r="Y59" s="120">
        <f t="shared" si="46"/>
        <v>-2.6631210658142335E-3</v>
      </c>
      <c r="Z59" s="120">
        <f t="shared" si="46"/>
        <v>0.11217696702259494</v>
      </c>
      <c r="AA59" s="120">
        <f t="shared" si="46"/>
        <v>0.42235458675125281</v>
      </c>
      <c r="AB59" s="120">
        <f t="shared" si="46"/>
        <v>0.29146208779782001</v>
      </c>
      <c r="AC59" s="120">
        <f t="shared" si="46"/>
        <v>-0.16501621580368531</v>
      </c>
      <c r="AD59" s="120">
        <f t="shared" si="46"/>
        <v>0.15909553978121305</v>
      </c>
      <c r="AE59" s="120">
        <f t="shared" si="46"/>
        <v>0.44494187639728522</v>
      </c>
      <c r="AF59" s="120">
        <f t="shared" si="46"/>
        <v>-0.1061610029764023</v>
      </c>
      <c r="AG59" s="120">
        <f t="shared" si="46"/>
        <v>-3.0242935607082355E-2</v>
      </c>
      <c r="AH59" s="120"/>
      <c r="AI59" s="18"/>
    </row>
    <row r="60" spans="1:35" s="54" customFormat="1" ht="11.25" customHeight="1">
      <c r="A60" s="18"/>
      <c r="B60" s="36"/>
      <c r="C60" s="18"/>
      <c r="D60" s="18"/>
      <c r="E60" s="18"/>
      <c r="F60" s="18"/>
      <c r="G60" s="120"/>
      <c r="H60" s="120"/>
      <c r="I60" s="120"/>
      <c r="J60" s="120"/>
      <c r="K60" s="120"/>
      <c r="L60" s="120"/>
      <c r="M60" s="120"/>
      <c r="N60" s="120"/>
      <c r="O60" s="120"/>
      <c r="P60" s="120"/>
      <c r="Q60" s="120"/>
      <c r="R60" s="120"/>
      <c r="S60" s="120"/>
      <c r="T60" s="120"/>
      <c r="U60" s="120"/>
      <c r="V60" s="120"/>
      <c r="W60" s="120"/>
      <c r="X60" s="120"/>
      <c r="Y60" s="120"/>
      <c r="Z60" s="120"/>
      <c r="AA60" s="120"/>
      <c r="AB60" s="120"/>
      <c r="AC60" s="120"/>
      <c r="AD60" s="120"/>
      <c r="AE60" s="120"/>
      <c r="AF60" s="120"/>
      <c r="AG60" s="120"/>
      <c r="AH60" s="120"/>
      <c r="AI60" s="18"/>
    </row>
    <row r="61" spans="1:35" s="54" customFormat="1" ht="11.25" customHeight="1">
      <c r="A61" s="18"/>
      <c r="B61" s="324" t="s">
        <v>418</v>
      </c>
      <c r="C61" s="18"/>
      <c r="D61" s="18"/>
      <c r="E61" s="18"/>
      <c r="F61" s="18"/>
      <c r="G61" s="120"/>
      <c r="H61" s="120"/>
      <c r="I61" s="120"/>
      <c r="J61" s="120"/>
      <c r="K61" s="120"/>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8"/>
    </row>
    <row r="62" spans="1:35" s="54" customFormat="1" ht="11.25" customHeight="1">
      <c r="A62" s="18"/>
      <c r="B62" s="36" t="s">
        <v>415</v>
      </c>
      <c r="C62" s="18"/>
      <c r="D62" s="18"/>
      <c r="E62" s="18"/>
      <c r="F62" s="18"/>
      <c r="G62" s="120"/>
      <c r="H62" s="120"/>
      <c r="I62" s="120"/>
      <c r="J62" s="120"/>
      <c r="K62" s="120"/>
      <c r="L62" s="120"/>
      <c r="M62" s="120"/>
      <c r="N62" s="120"/>
      <c r="O62" s="318">
        <f>O53-O58</f>
        <v>-9.5490183765664982E-2</v>
      </c>
      <c r="P62" s="318">
        <f t="shared" ref="P62:AG62" si="47">P53-P58</f>
        <v>0.26304545618430342</v>
      </c>
      <c r="Q62" s="318">
        <f t="shared" si="47"/>
        <v>-0.1370781253527632</v>
      </c>
      <c r="R62" s="318">
        <f t="shared" si="47"/>
        <v>-6.715063556295886E-2</v>
      </c>
      <c r="S62" s="318">
        <f t="shared" si="47"/>
        <v>5.9494459051867898E-2</v>
      </c>
      <c r="T62" s="318">
        <f t="shared" si="47"/>
        <v>0.50194788406949753</v>
      </c>
      <c r="U62" s="318">
        <f t="shared" si="47"/>
        <v>-0.21796125165568991</v>
      </c>
      <c r="V62" s="318">
        <f t="shared" si="47"/>
        <v>0.23930588114117657</v>
      </c>
      <c r="W62" s="318">
        <f t="shared" si="47"/>
        <v>0.10426016431096286</v>
      </c>
      <c r="X62" s="318">
        <f t="shared" si="47"/>
        <v>0.38098022268380904</v>
      </c>
      <c r="Y62" s="318">
        <f t="shared" si="47"/>
        <v>0.12855867502657126</v>
      </c>
      <c r="Z62" s="318">
        <f t="shared" si="47"/>
        <v>0.17851049679768138</v>
      </c>
      <c r="AA62" s="318">
        <f t="shared" si="47"/>
        <v>-9.7154321767654483E-2</v>
      </c>
      <c r="AB62" s="318">
        <f t="shared" si="47"/>
        <v>-0.10932165974918662</v>
      </c>
      <c r="AC62" s="318">
        <f t="shared" si="47"/>
        <v>-6.0167059307313031E-2</v>
      </c>
      <c r="AD62" s="318">
        <f t="shared" si="47"/>
        <v>0.69843756722697703</v>
      </c>
      <c r="AE62" s="318">
        <f t="shared" si="47"/>
        <v>-0.36941165274992094</v>
      </c>
      <c r="AF62" s="318">
        <f t="shared" si="47"/>
        <v>0.66383886421838234</v>
      </c>
      <c r="AG62" s="318">
        <f t="shared" si="47"/>
        <v>-0.21714329477568206</v>
      </c>
      <c r="AH62" s="318"/>
      <c r="AI62" s="18"/>
    </row>
    <row r="63" spans="1:35" s="54" customFormat="1" ht="11.25" customHeight="1">
      <c r="A63" s="18"/>
      <c r="B63" s="36" t="s">
        <v>420</v>
      </c>
      <c r="C63" s="18"/>
      <c r="D63" s="18"/>
      <c r="E63" s="18"/>
      <c r="F63" s="18"/>
      <c r="G63" s="120"/>
      <c r="H63" s="120"/>
      <c r="I63" s="120"/>
      <c r="J63" s="120"/>
      <c r="K63" s="120"/>
      <c r="L63" s="120"/>
      <c r="M63" s="120"/>
      <c r="N63" s="120"/>
      <c r="O63" s="318">
        <f>O53-O59</f>
        <v>-3.1098781530642938E-2</v>
      </c>
      <c r="P63" s="318">
        <f t="shared" ref="P63:AG63" si="48">P53-P59</f>
        <v>0.47522955148074852</v>
      </c>
      <c r="Q63" s="318">
        <f t="shared" si="48"/>
        <v>-0.14263374271614448</v>
      </c>
      <c r="R63" s="318">
        <f t="shared" si="48"/>
        <v>0.11840222991163796</v>
      </c>
      <c r="S63" s="318">
        <f t="shared" si="48"/>
        <v>0.14044702016967281</v>
      </c>
      <c r="T63" s="318">
        <f t="shared" si="48"/>
        <v>-1.2965667665070228</v>
      </c>
      <c r="U63" s="318">
        <f t="shared" si="48"/>
        <v>-9.1386661916890155E-2</v>
      </c>
      <c r="V63" s="318">
        <f t="shared" si="48"/>
        <v>0.54747029416155224</v>
      </c>
      <c r="W63" s="318">
        <f t="shared" si="48"/>
        <v>0.12488787012757108</v>
      </c>
      <c r="X63" s="318">
        <f t="shared" si="48"/>
        <v>4.2151408989761219E-3</v>
      </c>
      <c r="Y63" s="318">
        <f t="shared" si="48"/>
        <v>8.4381443301931092E-2</v>
      </c>
      <c r="Z63" s="318">
        <f t="shared" si="48"/>
        <v>6.8764641736091203E-2</v>
      </c>
      <c r="AA63" s="318">
        <f t="shared" si="48"/>
        <v>-0.40224388662055044</v>
      </c>
      <c r="AB63" s="318">
        <f t="shared" si="48"/>
        <v>-0.29648192393184858</v>
      </c>
      <c r="AC63" s="318">
        <f t="shared" si="48"/>
        <v>0.13654531301186368</v>
      </c>
      <c r="AD63" s="318">
        <f t="shared" si="48"/>
        <v>0.36164931925137034</v>
      </c>
      <c r="AE63" s="318">
        <f t="shared" si="48"/>
        <v>-0.29815358713191009</v>
      </c>
      <c r="AF63" s="318">
        <f t="shared" si="48"/>
        <v>0.83125639525936312</v>
      </c>
      <c r="AG63" s="318">
        <f t="shared" si="48"/>
        <v>-0.14795824355105391</v>
      </c>
      <c r="AH63" s="318"/>
      <c r="AI63" s="18"/>
    </row>
    <row r="64" spans="1:35" s="54" customFormat="1" ht="11.25" customHeight="1">
      <c r="A64" s="18"/>
      <c r="B64" s="36"/>
      <c r="C64" s="18"/>
      <c r="D64" s="18"/>
      <c r="E64" s="18"/>
      <c r="F64" s="18"/>
      <c r="G64" s="120"/>
      <c r="H64" s="120"/>
      <c r="I64" s="120"/>
      <c r="J64" s="120"/>
      <c r="K64" s="120"/>
      <c r="L64" s="120"/>
      <c r="M64" s="120"/>
      <c r="N64" s="120"/>
      <c r="O64" s="120"/>
      <c r="P64" s="120"/>
      <c r="Q64" s="120"/>
      <c r="R64" s="120"/>
      <c r="S64" s="120"/>
      <c r="T64" s="120"/>
      <c r="U64" s="120"/>
      <c r="V64" s="120"/>
      <c r="W64" s="120"/>
      <c r="X64" s="120"/>
      <c r="Y64" s="120"/>
      <c r="Z64" s="120"/>
      <c r="AA64" s="120"/>
      <c r="AB64" s="120"/>
      <c r="AC64" s="120"/>
      <c r="AD64" s="120"/>
      <c r="AE64" s="120"/>
      <c r="AF64" s="120"/>
      <c r="AG64" s="120"/>
      <c r="AH64" s="120"/>
      <c r="AI64" s="18"/>
    </row>
    <row r="65" spans="1:35" s="54" customFormat="1" ht="11.25" customHeight="1">
      <c r="A65" s="18"/>
      <c r="B65" s="324" t="s">
        <v>417</v>
      </c>
      <c r="C65" s="18"/>
      <c r="D65" s="18"/>
      <c r="E65" s="18"/>
      <c r="F65" s="18"/>
      <c r="G65" s="120"/>
      <c r="H65" s="120"/>
      <c r="I65" s="120"/>
      <c r="J65" s="120"/>
      <c r="K65" s="120"/>
      <c r="L65" s="120"/>
      <c r="M65" s="120"/>
      <c r="N65" s="120"/>
      <c r="O65" s="120"/>
      <c r="P65" s="120"/>
      <c r="Q65" s="120"/>
      <c r="R65" s="120"/>
      <c r="S65" s="120"/>
      <c r="T65" s="120"/>
      <c r="U65" s="120"/>
      <c r="V65" s="120"/>
      <c r="W65" s="120"/>
      <c r="X65" s="120"/>
      <c r="Y65" s="120"/>
      <c r="Z65" s="120"/>
      <c r="AA65" s="120"/>
      <c r="AB65" s="120"/>
      <c r="AC65" s="120"/>
      <c r="AD65" s="120"/>
      <c r="AE65" s="120"/>
      <c r="AF65" s="120"/>
      <c r="AG65" s="120"/>
      <c r="AH65" s="120"/>
      <c r="AI65" s="18"/>
    </row>
    <row r="66" spans="1:35" s="54" customFormat="1" ht="11.25" customHeight="1">
      <c r="A66" s="18"/>
      <c r="B66" s="36" t="s">
        <v>415</v>
      </c>
      <c r="C66" s="18"/>
      <c r="D66" s="18"/>
      <c r="E66" s="18"/>
      <c r="F66" s="18"/>
      <c r="G66" s="120"/>
      <c r="H66" s="120"/>
      <c r="I66" s="120"/>
      <c r="J66" s="120"/>
      <c r="K66" s="120"/>
      <c r="L66" s="120"/>
      <c r="M66" s="120"/>
      <c r="N66" s="120">
        <f>N92/N90</f>
        <v>0.12644034942862201</v>
      </c>
      <c r="O66" s="120">
        <f t="shared" ref="O66:AG66" si="49">O92/O90</f>
        <v>0.13086538019327495</v>
      </c>
      <c r="P66" s="120">
        <f t="shared" si="49"/>
        <v>0.13797891205375698</v>
      </c>
      <c r="Q66" s="120">
        <f t="shared" si="49"/>
        <v>0.13089833933927109</v>
      </c>
      <c r="R66" s="120">
        <f t="shared" si="49"/>
        <v>0.12568159964542022</v>
      </c>
      <c r="S66" s="120">
        <f t="shared" si="49"/>
        <v>0.1182362922590902</v>
      </c>
      <c r="T66" s="120">
        <f t="shared" si="49"/>
        <v>0.13701305721753956</v>
      </c>
      <c r="U66" s="120">
        <f t="shared" si="49"/>
        <v>0.13638872927643611</v>
      </c>
      <c r="V66" s="120">
        <f t="shared" si="49"/>
        <v>0.13616702923218935</v>
      </c>
      <c r="W66" s="120">
        <f t="shared" si="49"/>
        <v>0.13966979829706405</v>
      </c>
      <c r="X66" s="120">
        <f t="shared" si="49"/>
        <v>0.13869143792178421</v>
      </c>
      <c r="Y66" s="120">
        <f t="shared" si="49"/>
        <v>0.13515918259241014</v>
      </c>
      <c r="Z66" s="120">
        <f t="shared" si="49"/>
        <v>0.13364767951549203</v>
      </c>
      <c r="AA66" s="120">
        <f t="shared" si="49"/>
        <v>0.13833228777712159</v>
      </c>
      <c r="AB66" s="120">
        <f t="shared" si="49"/>
        <v>0.14035156638000632</v>
      </c>
      <c r="AC66" s="120">
        <f t="shared" si="49"/>
        <v>0.13860351587764763</v>
      </c>
      <c r="AD66" s="120">
        <f t="shared" si="49"/>
        <v>0.11909815469988293</v>
      </c>
      <c r="AE66" s="120">
        <f t="shared" si="49"/>
        <v>0.15460043816786923</v>
      </c>
      <c r="AF66" s="120">
        <f t="shared" si="49"/>
        <v>0.14577094301342777</v>
      </c>
      <c r="AG66" s="120">
        <f t="shared" si="49"/>
        <v>0.1467132364493926</v>
      </c>
      <c r="AH66" s="120"/>
      <c r="AI66" s="18"/>
    </row>
    <row r="67" spans="1:35" s="54" customFormat="1" ht="11.25" customHeight="1">
      <c r="A67" s="18"/>
      <c r="B67" s="36" t="s">
        <v>420</v>
      </c>
      <c r="C67" s="18"/>
      <c r="D67" s="18"/>
      <c r="E67" s="18"/>
      <c r="F67" s="18"/>
      <c r="G67" s="120"/>
      <c r="H67" s="120"/>
      <c r="I67" s="120"/>
      <c r="J67" s="120"/>
      <c r="K67" s="120"/>
      <c r="L67" s="120"/>
      <c r="M67" s="120"/>
      <c r="N67" s="120">
        <f>N97/N95</f>
        <v>0.1933008655617694</v>
      </c>
      <c r="O67" s="120">
        <f t="shared" ref="O67:AG67" si="50">O97/O95</f>
        <v>0.20217189901863905</v>
      </c>
      <c r="P67" s="120">
        <f t="shared" si="50"/>
        <v>0.17067433664872489</v>
      </c>
      <c r="Q67" s="120">
        <f t="shared" si="50"/>
        <v>0.1658184421064553</v>
      </c>
      <c r="R67" s="120">
        <f t="shared" si="50"/>
        <v>0.13682865978338157</v>
      </c>
      <c r="S67" s="120">
        <f t="shared" si="50"/>
        <v>0.11666018491849785</v>
      </c>
      <c r="T67" s="120">
        <f t="shared" si="50"/>
        <v>0.2618329264356396</v>
      </c>
      <c r="U67" s="120">
        <f t="shared" si="50"/>
        <v>0.22680406268699932</v>
      </c>
      <c r="V67" s="120">
        <f t="shared" si="50"/>
        <v>0.16870418579377527</v>
      </c>
      <c r="W67" s="120">
        <f t="shared" si="50"/>
        <v>0.1711212963347204</v>
      </c>
      <c r="X67" s="120">
        <f t="shared" si="50"/>
        <v>0.21729929358770059</v>
      </c>
      <c r="Y67" s="120">
        <f t="shared" si="50"/>
        <v>0.20998110772386219</v>
      </c>
      <c r="Z67" s="120">
        <f t="shared" si="50"/>
        <v>0.21636720262792969</v>
      </c>
      <c r="AA67" s="120">
        <f t="shared" si="50"/>
        <v>0.26372608820528287</v>
      </c>
      <c r="AB67" s="120">
        <f t="shared" si="50"/>
        <v>0.30183158152962108</v>
      </c>
      <c r="AC67" s="120">
        <f t="shared" si="50"/>
        <v>0.25045731445286812</v>
      </c>
      <c r="AD67" s="120">
        <f t="shared" si="50"/>
        <v>0.25743210189813071</v>
      </c>
      <c r="AE67" s="120">
        <f t="shared" si="50"/>
        <v>0.29562248605875036</v>
      </c>
      <c r="AF67" s="120">
        <f t="shared" si="50"/>
        <v>0.24559249036649283</v>
      </c>
      <c r="AG67" s="120">
        <f t="shared" si="50"/>
        <v>0.2391804406388793</v>
      </c>
      <c r="AH67" s="120"/>
      <c r="AI67" s="18"/>
    </row>
    <row r="68" spans="1:35" s="54" customFormat="1" ht="11.25" customHeight="1">
      <c r="A68" s="18"/>
      <c r="B68" s="36"/>
      <c r="C68" s="18"/>
      <c r="D68" s="18"/>
      <c r="E68" s="18"/>
      <c r="F68" s="18"/>
      <c r="G68" s="120"/>
      <c r="H68" s="120"/>
      <c r="I68" s="120"/>
      <c r="J68" s="120"/>
      <c r="K68" s="120"/>
      <c r="L68" s="120"/>
      <c r="M68" s="120"/>
      <c r="N68" s="120"/>
      <c r="O68" s="120"/>
      <c r="P68" s="120"/>
      <c r="Q68" s="120"/>
      <c r="R68" s="120"/>
      <c r="S68" s="120"/>
      <c r="T68" s="120"/>
      <c r="U68" s="120"/>
      <c r="V68" s="120"/>
      <c r="W68" s="120"/>
      <c r="X68" s="120"/>
      <c r="Y68" s="120"/>
      <c r="Z68" s="120"/>
      <c r="AA68" s="120"/>
      <c r="AB68" s="120"/>
      <c r="AC68" s="120"/>
      <c r="AD68" s="120"/>
      <c r="AE68" s="120"/>
      <c r="AF68" s="120"/>
      <c r="AG68" s="120"/>
      <c r="AH68" s="120"/>
      <c r="AI68" s="18"/>
    </row>
    <row r="69" spans="1:35" s="54" customFormat="1" ht="11.25" customHeight="1">
      <c r="A69" s="18"/>
      <c r="B69" s="324" t="s">
        <v>419</v>
      </c>
      <c r="C69" s="18"/>
      <c r="D69" s="18"/>
      <c r="E69" s="18"/>
      <c r="F69" s="18"/>
      <c r="G69" s="120"/>
      <c r="H69" s="120"/>
      <c r="I69" s="120"/>
      <c r="J69" s="120"/>
      <c r="K69" s="120"/>
      <c r="L69" s="120"/>
      <c r="M69" s="120"/>
      <c r="N69" s="120"/>
      <c r="O69" s="120"/>
      <c r="P69" s="120"/>
      <c r="Q69" s="120"/>
      <c r="R69" s="120"/>
      <c r="S69" s="120"/>
      <c r="T69" s="120"/>
      <c r="U69" s="120"/>
      <c r="V69" s="120"/>
      <c r="W69" s="120"/>
      <c r="X69" s="120"/>
      <c r="Y69" s="120"/>
      <c r="Z69" s="120"/>
      <c r="AA69" s="120"/>
      <c r="AB69" s="120"/>
      <c r="AC69" s="120"/>
      <c r="AD69" s="120"/>
      <c r="AE69" s="120"/>
      <c r="AF69" s="120"/>
      <c r="AG69" s="120"/>
      <c r="AH69" s="120"/>
      <c r="AI69" s="18"/>
    </row>
    <row r="70" spans="1:35" s="54" customFormat="1" ht="11.25" customHeight="1">
      <c r="A70" s="18"/>
      <c r="B70" s="36" t="s">
        <v>415</v>
      </c>
      <c r="C70" s="18"/>
      <c r="D70" s="18"/>
      <c r="E70" s="18"/>
      <c r="F70" s="18"/>
      <c r="G70" s="120"/>
      <c r="H70" s="120"/>
      <c r="I70" s="120"/>
      <c r="J70" s="120"/>
      <c r="K70" s="120"/>
      <c r="L70" s="120"/>
      <c r="M70" s="120"/>
      <c r="N70" s="318">
        <f>N54-N66</f>
        <v>0.21756248091043554</v>
      </c>
      <c r="O70" s="318">
        <f t="shared" ref="O70:AG70" si="51">O54-O66</f>
        <v>0.21039472522191463</v>
      </c>
      <c r="P70" s="318">
        <f t="shared" si="51"/>
        <v>0.26297317784974217</v>
      </c>
      <c r="Q70" s="318">
        <f t="shared" si="51"/>
        <v>0.21538687902231957</v>
      </c>
      <c r="R70" s="318">
        <f t="shared" si="51"/>
        <v>0.18778828551417379</v>
      </c>
      <c r="S70" s="318">
        <f t="shared" si="51"/>
        <v>0.19271717393779764</v>
      </c>
      <c r="T70" s="318">
        <f t="shared" si="51"/>
        <v>0.24239238400590149</v>
      </c>
      <c r="U70" s="318">
        <f t="shared" si="51"/>
        <v>0.19506361817053533</v>
      </c>
      <c r="V70" s="318">
        <f t="shared" si="51"/>
        <v>0.22136387881821076</v>
      </c>
      <c r="W70" s="318">
        <f t="shared" si="51"/>
        <v>0.21111844472164204</v>
      </c>
      <c r="X70" s="318">
        <f t="shared" si="51"/>
        <v>0.24917913467465583</v>
      </c>
      <c r="Y70" s="318">
        <f t="shared" si="51"/>
        <v>0.24427073832017168</v>
      </c>
      <c r="Z70" s="318">
        <f t="shared" si="51"/>
        <v>0.26506827026181401</v>
      </c>
      <c r="AA70" s="318">
        <f t="shared" si="51"/>
        <v>0.25612285915156097</v>
      </c>
      <c r="AB70" s="318">
        <f t="shared" si="51"/>
        <v>0.23156640902185852</v>
      </c>
      <c r="AC70" s="318">
        <f t="shared" si="51"/>
        <v>0.20972033160705206</v>
      </c>
      <c r="AD70" s="318">
        <f t="shared" si="51"/>
        <v>0.30411018948130514</v>
      </c>
      <c r="AE70" s="318">
        <f t="shared" si="51"/>
        <v>0.2548583497672483</v>
      </c>
      <c r="AF70" s="318">
        <f t="shared" si="51"/>
        <v>0.34951754365654086</v>
      </c>
      <c r="AG70" s="318">
        <f t="shared" si="51"/>
        <v>0.2795488047989374</v>
      </c>
      <c r="AH70" s="318"/>
      <c r="AI70" s="18"/>
    </row>
    <row r="71" spans="1:35" s="54" customFormat="1" ht="11.25" customHeight="1">
      <c r="A71" s="18"/>
      <c r="B71" s="36" t="s">
        <v>420</v>
      </c>
      <c r="C71" s="18"/>
      <c r="D71" s="18"/>
      <c r="E71" s="18"/>
      <c r="F71" s="18"/>
      <c r="G71" s="120"/>
      <c r="H71" s="120"/>
      <c r="I71" s="120"/>
      <c r="J71" s="120"/>
      <c r="K71" s="120"/>
      <c r="L71" s="120"/>
      <c r="M71" s="120"/>
      <c r="N71" s="318">
        <f>N54-N67</f>
        <v>0.15070196477728814</v>
      </c>
      <c r="O71" s="318">
        <f t="shared" ref="O71:AG71" si="52">O54-O67</f>
        <v>0.13908820639655053</v>
      </c>
      <c r="P71" s="318">
        <f t="shared" si="52"/>
        <v>0.23027775325477429</v>
      </c>
      <c r="Q71" s="318">
        <f t="shared" si="52"/>
        <v>0.18046677625513535</v>
      </c>
      <c r="R71" s="318">
        <f t="shared" si="52"/>
        <v>0.17664122537621244</v>
      </c>
      <c r="S71" s="318">
        <f t="shared" si="52"/>
        <v>0.19429328127839002</v>
      </c>
      <c r="T71" s="318">
        <f t="shared" si="52"/>
        <v>0.11757251478780145</v>
      </c>
      <c r="U71" s="318">
        <f t="shared" si="52"/>
        <v>0.10464828475997212</v>
      </c>
      <c r="V71" s="318">
        <f t="shared" si="52"/>
        <v>0.18882672225662483</v>
      </c>
      <c r="W71" s="318">
        <f t="shared" si="52"/>
        <v>0.1796669466839857</v>
      </c>
      <c r="X71" s="318">
        <f t="shared" si="52"/>
        <v>0.17057127900873945</v>
      </c>
      <c r="Y71" s="318">
        <f t="shared" si="52"/>
        <v>0.16944881318871963</v>
      </c>
      <c r="Z71" s="318">
        <f t="shared" si="52"/>
        <v>0.18234874714937638</v>
      </c>
      <c r="AA71" s="318">
        <f t="shared" si="52"/>
        <v>0.13072905872339968</v>
      </c>
      <c r="AB71" s="318">
        <f t="shared" si="52"/>
        <v>7.0086393872243746E-2</v>
      </c>
      <c r="AC71" s="318">
        <f t="shared" si="52"/>
        <v>9.7866533031831571E-2</v>
      </c>
      <c r="AD71" s="318">
        <f t="shared" si="52"/>
        <v>0.16577624228305737</v>
      </c>
      <c r="AE71" s="318">
        <f t="shared" si="52"/>
        <v>0.11383630187636717</v>
      </c>
      <c r="AF71" s="318">
        <f t="shared" si="52"/>
        <v>0.24969599630347578</v>
      </c>
      <c r="AG71" s="318">
        <f t="shared" si="52"/>
        <v>0.1870816006094507</v>
      </c>
      <c r="AH71" s="318"/>
      <c r="AI71" s="18"/>
    </row>
    <row r="72" spans="1:35" s="54" customFormat="1" ht="11.25" customHeight="1">
      <c r="A72" s="18"/>
      <c r="B72" s="36"/>
      <c r="C72" s="18"/>
      <c r="D72" s="18"/>
      <c r="E72" s="18"/>
      <c r="F72" s="18"/>
      <c r="G72" s="120"/>
      <c r="H72" s="120"/>
      <c r="I72" s="120"/>
      <c r="J72" s="120"/>
      <c r="K72" s="120"/>
      <c r="L72" s="120"/>
      <c r="M72" s="120"/>
      <c r="N72" s="318"/>
      <c r="O72" s="318"/>
      <c r="P72" s="318"/>
      <c r="Q72" s="318"/>
      <c r="R72" s="318"/>
      <c r="S72" s="318"/>
      <c r="T72" s="318"/>
      <c r="U72" s="318"/>
      <c r="V72" s="318"/>
      <c r="W72" s="318"/>
      <c r="X72" s="318"/>
      <c r="Y72" s="318"/>
      <c r="Z72" s="318"/>
      <c r="AA72" s="318"/>
      <c r="AB72" s="318"/>
      <c r="AC72" s="318"/>
      <c r="AD72" s="318"/>
      <c r="AE72" s="318"/>
      <c r="AF72" s="318"/>
      <c r="AG72" s="318"/>
      <c r="AH72" s="318"/>
      <c r="AI72" s="18"/>
    </row>
    <row r="73" spans="1:35" s="54" customFormat="1" ht="11.25" customHeight="1">
      <c r="A73" s="18"/>
      <c r="B73" s="36"/>
      <c r="C73" s="18"/>
      <c r="D73" s="18"/>
      <c r="E73" s="18"/>
      <c r="F73" s="18"/>
      <c r="G73" s="120"/>
      <c r="H73" s="120"/>
      <c r="I73" s="120"/>
      <c r="J73" s="120"/>
      <c r="K73" s="120"/>
      <c r="L73" s="120"/>
      <c r="M73" s="120"/>
      <c r="N73" s="318"/>
      <c r="O73" s="318"/>
      <c r="P73" s="318"/>
      <c r="Q73" s="318"/>
      <c r="R73" s="318"/>
      <c r="S73" s="318"/>
      <c r="T73" s="318"/>
      <c r="U73" s="318"/>
      <c r="V73" s="318"/>
      <c r="W73" s="318"/>
      <c r="X73" s="318"/>
      <c r="Y73" s="318"/>
      <c r="Z73" s="318"/>
      <c r="AA73" s="318"/>
      <c r="AB73" s="318"/>
      <c r="AC73" s="318"/>
      <c r="AD73" s="318"/>
      <c r="AE73" s="318"/>
      <c r="AF73" s="318"/>
      <c r="AG73" s="318"/>
      <c r="AH73" s="318"/>
      <c r="AI73" s="18"/>
    </row>
    <row r="74" spans="1:35" s="54" customFormat="1" ht="11.25" customHeight="1">
      <c r="A74" s="18"/>
      <c r="B74" s="184" t="s">
        <v>474</v>
      </c>
      <c r="C74" s="18"/>
      <c r="D74" s="18"/>
      <c r="E74" s="18"/>
      <c r="F74" s="18"/>
      <c r="G74" s="120"/>
      <c r="H74" s="120"/>
      <c r="I74" s="120"/>
      <c r="J74" s="120"/>
      <c r="K74" s="120"/>
      <c r="L74" s="120"/>
      <c r="M74" s="120"/>
      <c r="N74" s="318"/>
      <c r="O74" s="318"/>
      <c r="P74" s="318"/>
      <c r="Q74" s="318"/>
      <c r="R74" s="318"/>
      <c r="S74" s="318"/>
      <c r="T74" s="318"/>
      <c r="U74" s="318"/>
      <c r="V74" s="318"/>
      <c r="W74" s="318"/>
      <c r="X74" s="318"/>
      <c r="Y74" s="318"/>
      <c r="Z74" s="318"/>
      <c r="AA74" s="318"/>
      <c r="AB74" s="318"/>
      <c r="AC74" s="318"/>
      <c r="AD74" s="318"/>
      <c r="AE74" s="318"/>
      <c r="AF74" s="318"/>
      <c r="AG74" s="318"/>
      <c r="AH74" s="318"/>
      <c r="AI74" s="18"/>
    </row>
    <row r="75" spans="1:35" s="54" customFormat="1" ht="11.25" customHeight="1">
      <c r="A75" s="18"/>
      <c r="B75" s="2" t="s">
        <v>468</v>
      </c>
      <c r="C75" s="2"/>
      <c r="D75" s="322">
        <v>528.90000000000009</v>
      </c>
      <c r="E75" s="322">
        <v>681.68499999999995</v>
      </c>
      <c r="F75" s="322">
        <v>843.75505617977524</v>
      </c>
      <c r="G75" s="322">
        <v>1144.9046067415729</v>
      </c>
      <c r="H75" s="322">
        <v>1038.8420635245375</v>
      </c>
      <c r="I75" s="322">
        <v>1757.6</v>
      </c>
      <c r="J75" s="322">
        <v>3375.7386701218252</v>
      </c>
      <c r="K75" s="322">
        <v>2158</v>
      </c>
      <c r="L75" s="322">
        <v>2676.5929999999989</v>
      </c>
      <c r="M75" s="322">
        <v>3696.6371435311112</v>
      </c>
      <c r="N75" s="322">
        <v>5007.2873160503286</v>
      </c>
      <c r="O75" s="322">
        <v>5620.7197361797716</v>
      </c>
      <c r="P75" s="322">
        <v>7213.9809715460224</v>
      </c>
      <c r="Q75" s="322">
        <v>7984.9979833721509</v>
      </c>
      <c r="R75" s="322">
        <v>8455.7566902615235</v>
      </c>
      <c r="S75" s="322">
        <v>7738.3470016766678</v>
      </c>
      <c r="T75" s="322">
        <v>11859.590894785824</v>
      </c>
      <c r="U75" s="322">
        <v>12548.804455114134</v>
      </c>
      <c r="V75" s="322">
        <v>14044.614112100277</v>
      </c>
      <c r="W75" s="322">
        <v>15666.578206861901</v>
      </c>
      <c r="X75" s="322">
        <v>18592.551498147921</v>
      </c>
      <c r="Y75" s="322">
        <v>19728.231576994262</v>
      </c>
      <c r="Z75" s="322">
        <v>21611.900202286215</v>
      </c>
      <c r="AA75" s="322">
        <v>23509.64924923077</v>
      </c>
      <c r="AB75" s="322">
        <v>24192.140722668857</v>
      </c>
      <c r="AC75" s="322">
        <v>22757.887149999995</v>
      </c>
      <c r="AD75" s="322">
        <v>27802.626995894076</v>
      </c>
      <c r="AE75" s="322">
        <v>31891.335479999998</v>
      </c>
      <c r="AF75" s="322">
        <v>34471.968860000001</v>
      </c>
      <c r="AG75" s="322">
        <v>27065.463349999998</v>
      </c>
      <c r="AH75" s="322">
        <v>29361.927613</v>
      </c>
      <c r="AI75" s="18"/>
    </row>
    <row r="76" spans="1:35" s="54" customFormat="1" ht="11.25" customHeight="1">
      <c r="A76" s="18"/>
      <c r="B76" s="9" t="s">
        <v>472</v>
      </c>
      <c r="C76" s="2"/>
      <c r="D76" s="2"/>
      <c r="E76" s="43">
        <f t="shared" ref="E76:AH76" si="53">E75/D75-1</f>
        <v>0.28887313291737526</v>
      </c>
      <c r="F76" s="43">
        <f t="shared" si="53"/>
        <v>0.23774918940533429</v>
      </c>
      <c r="G76" s="43">
        <f t="shared" si="53"/>
        <v>0.35691584702946422</v>
      </c>
      <c r="H76" s="43">
        <f t="shared" si="53"/>
        <v>-9.2638760113728735E-2</v>
      </c>
      <c r="I76" s="43">
        <f t="shared" si="53"/>
        <v>0.69188374413420672</v>
      </c>
      <c r="J76" s="43">
        <f t="shared" si="53"/>
        <v>0.92065240676025573</v>
      </c>
      <c r="K76" s="43">
        <f t="shared" si="53"/>
        <v>-0.36073250601412188</v>
      </c>
      <c r="L76" s="43">
        <f t="shared" si="53"/>
        <v>0.24031186283595862</v>
      </c>
      <c r="M76" s="43">
        <f t="shared" si="53"/>
        <v>0.38109796428934573</v>
      </c>
      <c r="N76" s="43">
        <f t="shared" si="53"/>
        <v>0.35455202164290722</v>
      </c>
      <c r="O76" s="43">
        <f t="shared" si="53"/>
        <v>0.12250793322027875</v>
      </c>
      <c r="P76" s="43">
        <f t="shared" si="53"/>
        <v>0.28346213832912803</v>
      </c>
      <c r="Q76" s="43">
        <f t="shared" si="53"/>
        <v>0.10687815990466798</v>
      </c>
      <c r="R76" s="43">
        <f t="shared" si="53"/>
        <v>5.8955394587409282E-2</v>
      </c>
      <c r="S76" s="43">
        <f t="shared" si="53"/>
        <v>-8.4842754452844504E-2</v>
      </c>
      <c r="T76" s="43">
        <f t="shared" si="53"/>
        <v>0.53257419087257341</v>
      </c>
      <c r="U76" s="43">
        <f t="shared" si="53"/>
        <v>5.8114446479880622E-2</v>
      </c>
      <c r="V76" s="43">
        <f t="shared" si="53"/>
        <v>0.11919937571236439</v>
      </c>
      <c r="W76" s="43">
        <f t="shared" si="53"/>
        <v>0.1154865546191266</v>
      </c>
      <c r="X76" s="43">
        <f t="shared" si="53"/>
        <v>0.18676530718140194</v>
      </c>
      <c r="Y76" s="43">
        <f t="shared" si="53"/>
        <v>6.1082529687195963E-2</v>
      </c>
      <c r="Z76" s="43">
        <f t="shared" si="53"/>
        <v>9.5480865476486043E-2</v>
      </c>
      <c r="AA76" s="43">
        <f t="shared" si="53"/>
        <v>8.7810374339217123E-2</v>
      </c>
      <c r="AB76" s="43">
        <f t="shared" si="53"/>
        <v>2.9030270345714149E-2</v>
      </c>
      <c r="AC76" s="43">
        <f t="shared" si="53"/>
        <v>-5.9285930464389125E-2</v>
      </c>
      <c r="AD76" s="43">
        <f t="shared" si="53"/>
        <v>0.22166995611866724</v>
      </c>
      <c r="AE76" s="43">
        <f t="shared" si="53"/>
        <v>0.14706194794865057</v>
      </c>
      <c r="AF76" s="43">
        <f t="shared" si="53"/>
        <v>8.0919577093859774E-2</v>
      </c>
      <c r="AG76" s="43">
        <f t="shared" si="53"/>
        <v>-0.21485588885508189</v>
      </c>
      <c r="AH76" s="43">
        <f t="shared" si="53"/>
        <v>8.484851093450807E-2</v>
      </c>
      <c r="AI76" s="18"/>
    </row>
    <row r="77" spans="1:35" s="54" customFormat="1" ht="11.25" customHeight="1">
      <c r="A77" s="18"/>
      <c r="B77" s="9" t="s">
        <v>467</v>
      </c>
      <c r="C77" s="2"/>
      <c r="D77" s="2"/>
      <c r="E77" s="43"/>
      <c r="F77" s="43">
        <f t="shared" ref="F77:AH77" si="54">(F75/D75)^(1/2)-1</f>
        <v>0.26305252286466496</v>
      </c>
      <c r="G77" s="43">
        <f t="shared" si="54"/>
        <v>0.295963537200014</v>
      </c>
      <c r="H77" s="43">
        <f t="shared" si="54"/>
        <v>0.1096003088418751</v>
      </c>
      <c r="I77" s="43">
        <f t="shared" si="54"/>
        <v>0.23901159470807243</v>
      </c>
      <c r="J77" s="43">
        <f t="shared" si="54"/>
        <v>0.8026426670668585</v>
      </c>
      <c r="K77" s="43">
        <f t="shared" si="54"/>
        <v>0.10806617622214887</v>
      </c>
      <c r="L77" s="43">
        <f t="shared" si="54"/>
        <v>-0.10955569724092262</v>
      </c>
      <c r="M77" s="43">
        <f t="shared" si="54"/>
        <v>0.30881327501163014</v>
      </c>
      <c r="N77" s="43">
        <f t="shared" si="54"/>
        <v>0.36776059294565022</v>
      </c>
      <c r="O77" s="43">
        <f t="shared" si="54"/>
        <v>0.23308369150424268</v>
      </c>
      <c r="P77" s="43">
        <f t="shared" si="54"/>
        <v>0.20029014503257048</v>
      </c>
      <c r="Q77" s="43">
        <f t="shared" si="54"/>
        <v>0.19190444666552686</v>
      </c>
      <c r="R77" s="43">
        <f t="shared" si="54"/>
        <v>8.2651651539881632E-2</v>
      </c>
      <c r="S77" s="43">
        <f t="shared" si="54"/>
        <v>-1.5565795968103036E-2</v>
      </c>
      <c r="T77" s="43">
        <f t="shared" si="54"/>
        <v>0.18429150766000379</v>
      </c>
      <c r="U77" s="43">
        <f t="shared" si="54"/>
        <v>0.27343586083653393</v>
      </c>
      <c r="V77" s="43">
        <f t="shared" si="54"/>
        <v>8.8228389600508716E-2</v>
      </c>
      <c r="W77" s="43">
        <f t="shared" si="54"/>
        <v>0.11734142299713501</v>
      </c>
      <c r="X77" s="43">
        <f t="shared" si="54"/>
        <v>0.15057409307236336</v>
      </c>
      <c r="Y77" s="43">
        <f t="shared" si="54"/>
        <v>0.12216573387759633</v>
      </c>
      <c r="Z77" s="43">
        <f t="shared" si="54"/>
        <v>7.8144520907892367E-2</v>
      </c>
      <c r="AA77" s="43">
        <f t="shared" si="54"/>
        <v>9.1638882760881613E-2</v>
      </c>
      <c r="AB77" s="43">
        <f t="shared" si="54"/>
        <v>5.8012194443503251E-2</v>
      </c>
      <c r="AC77" s="43">
        <f t="shared" si="54"/>
        <v>-1.6118272711477477E-2</v>
      </c>
      <c r="AD77" s="43">
        <f t="shared" si="54"/>
        <v>7.2027106023808907E-2</v>
      </c>
      <c r="AE77" s="43">
        <f t="shared" si="54"/>
        <v>0.18377832368050262</v>
      </c>
      <c r="AF77" s="43">
        <f t="shared" si="54"/>
        <v>0.11349976007052387</v>
      </c>
      <c r="AG77" s="43">
        <f t="shared" si="54"/>
        <v>-7.876298349637556E-2</v>
      </c>
      <c r="AH77" s="43">
        <f t="shared" si="54"/>
        <v>-7.709024284897581E-2</v>
      </c>
      <c r="AI77" s="18"/>
    </row>
    <row r="78" spans="1:35" s="54" customFormat="1" ht="11.25" customHeight="1">
      <c r="A78" s="18"/>
      <c r="B78" s="9" t="s">
        <v>466</v>
      </c>
      <c r="C78" s="2"/>
      <c r="D78" s="2"/>
      <c r="E78" s="43"/>
      <c r="F78" s="43"/>
      <c r="G78" s="43">
        <f t="shared" ref="G78:AH78" si="55">(G75/D75)^(1/3)-1</f>
        <v>0.29359574566445445</v>
      </c>
      <c r="H78" s="43">
        <f t="shared" si="55"/>
        <v>0.15077017126279246</v>
      </c>
      <c r="I78" s="43">
        <f t="shared" si="55"/>
        <v>0.27712836846586097</v>
      </c>
      <c r="J78" s="43">
        <f t="shared" si="55"/>
        <v>0.43394723857539264</v>
      </c>
      <c r="K78" s="43">
        <f t="shared" si="55"/>
        <v>0.27595092584028058</v>
      </c>
      <c r="L78" s="43">
        <f t="shared" si="55"/>
        <v>0.1505021412935863</v>
      </c>
      <c r="M78" s="43">
        <f t="shared" si="55"/>
        <v>3.0732574572482019E-2</v>
      </c>
      <c r="N78" s="43">
        <f t="shared" si="55"/>
        <v>0.32388529148878398</v>
      </c>
      <c r="O78" s="43">
        <f t="shared" si="55"/>
        <v>0.2805696293156148</v>
      </c>
      <c r="P78" s="43">
        <f t="shared" si="55"/>
        <v>0.24965286678527088</v>
      </c>
      <c r="Q78" s="43">
        <f t="shared" si="55"/>
        <v>0.16830822186872529</v>
      </c>
      <c r="R78" s="43">
        <f t="shared" si="55"/>
        <v>0.1458299832720662</v>
      </c>
      <c r="S78" s="43">
        <f t="shared" si="55"/>
        <v>2.3664720330389688E-2</v>
      </c>
      <c r="T78" s="43">
        <f t="shared" si="55"/>
        <v>0.14094567321826568</v>
      </c>
      <c r="U78" s="43">
        <f t="shared" si="55"/>
        <v>0.14064357355647283</v>
      </c>
      <c r="V78" s="43">
        <f t="shared" si="55"/>
        <v>0.21979599634288505</v>
      </c>
      <c r="W78" s="43">
        <f t="shared" si="55"/>
        <v>9.7239619866482219E-2</v>
      </c>
      <c r="X78" s="43">
        <f t="shared" si="55"/>
        <v>0.14001932609264256</v>
      </c>
      <c r="Y78" s="43">
        <f t="shared" si="55"/>
        <v>0.1199349089307622</v>
      </c>
      <c r="Z78" s="43">
        <f t="shared" si="55"/>
        <v>0.11319932451331405</v>
      </c>
      <c r="AA78" s="43">
        <f t="shared" si="55"/>
        <v>8.1356891173175017E-2</v>
      </c>
      <c r="AB78" s="43">
        <f t="shared" si="55"/>
        <v>7.0357149487309201E-2</v>
      </c>
      <c r="AC78" s="43">
        <f t="shared" si="55"/>
        <v>1.7371721670156992E-2</v>
      </c>
      <c r="AD78" s="43">
        <f t="shared" si="55"/>
        <v>5.749882739098422E-2</v>
      </c>
      <c r="AE78" s="43">
        <f t="shared" si="55"/>
        <v>9.6476854712937765E-2</v>
      </c>
      <c r="AF78" s="43">
        <f t="shared" si="55"/>
        <v>0.14844812507411276</v>
      </c>
      <c r="AG78" s="43">
        <f t="shared" si="55"/>
        <v>-8.9173400612017062E-3</v>
      </c>
      <c r="AH78" s="43">
        <f t="shared" si="55"/>
        <v>-2.7169258565434062E-2</v>
      </c>
      <c r="AI78" s="18"/>
    </row>
    <row r="79" spans="1:35" s="54" customFormat="1" ht="11.25" customHeight="1">
      <c r="A79" s="18"/>
      <c r="B79" s="9"/>
      <c r="C79" s="2"/>
      <c r="D79" s="2"/>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18"/>
    </row>
    <row r="80" spans="1:35" s="54" customFormat="1" ht="11.25" customHeight="1">
      <c r="A80" s="18"/>
      <c r="B80" s="2" t="s">
        <v>473</v>
      </c>
      <c r="C80" s="2"/>
      <c r="D80" s="322">
        <v>3117.6273279218371</v>
      </c>
      <c r="E80" s="322">
        <v>3296.4360685339539</v>
      </c>
      <c r="F80" s="322">
        <v>3561.5797218788621</v>
      </c>
      <c r="G80" s="322">
        <v>2765.5175145947692</v>
      </c>
      <c r="H80" s="322">
        <v>2698.2430887719966</v>
      </c>
      <c r="I80" s="322">
        <v>2655.0821223563576</v>
      </c>
      <c r="J80" s="322">
        <v>3277.3422413362505</v>
      </c>
      <c r="K80" s="322">
        <v>3635.1647727792333</v>
      </c>
      <c r="L80" s="322">
        <v>3549.3520337157997</v>
      </c>
      <c r="M80" s="322">
        <v>3274.5896230880494</v>
      </c>
      <c r="N80" s="322">
        <v>3201.8171626142475</v>
      </c>
      <c r="O80" s="322">
        <v>3077.3743257762389</v>
      </c>
      <c r="P80" s="322">
        <v>2837.0519892092307</v>
      </c>
      <c r="Q80" s="322">
        <v>2554.3968765523641</v>
      </c>
      <c r="R80" s="322">
        <v>2570.5307751652472</v>
      </c>
      <c r="S80" s="322">
        <v>2340.1472582147585</v>
      </c>
      <c r="T80" s="322">
        <v>2358.3765549788536</v>
      </c>
      <c r="U80" s="322">
        <v>2381.161472253445</v>
      </c>
      <c r="V80" s="322">
        <v>2496.3460222964154</v>
      </c>
      <c r="W80" s="322">
        <v>2632.6948899140248</v>
      </c>
      <c r="X80" s="322">
        <v>2856.3947427815019</v>
      </c>
      <c r="Y80" s="322">
        <v>2834.3119266109552</v>
      </c>
      <c r="Z80" s="322">
        <v>2930.3446070158939</v>
      </c>
      <c r="AA80" s="322">
        <v>2935.3996970727853</v>
      </c>
      <c r="AB80" s="322">
        <v>2993.5465133315865</v>
      </c>
      <c r="AC80" s="322">
        <v>3207.9742752028064</v>
      </c>
      <c r="AD80" s="322">
        <v>3417.8142952954636</v>
      </c>
      <c r="AE80" s="322">
        <v>3718.1862033253688</v>
      </c>
      <c r="AF80" s="322">
        <v>4527.3630305899424</v>
      </c>
      <c r="AG80" s="322">
        <v>5198.4211219617246</v>
      </c>
      <c r="AH80" s="322">
        <v>5977.3947048343816</v>
      </c>
      <c r="AI80" s="18"/>
    </row>
    <row r="81" spans="1:35" s="54" customFormat="1" ht="11.25" customHeight="1">
      <c r="A81" s="18"/>
      <c r="B81" s="9" t="s">
        <v>472</v>
      </c>
      <c r="C81" s="2"/>
      <c r="D81" s="2"/>
      <c r="E81" s="43">
        <f t="shared" ref="E81:AH81" si="56">E80/D80-1</f>
        <v>5.7354109970324085E-2</v>
      </c>
      <c r="F81" s="43">
        <f t="shared" si="56"/>
        <v>8.0433428051534195E-2</v>
      </c>
      <c r="G81" s="43">
        <f t="shared" si="56"/>
        <v>-0.22351379709230301</v>
      </c>
      <c r="H81" s="43">
        <f t="shared" si="56"/>
        <v>-2.432616154760836E-2</v>
      </c>
      <c r="I81" s="43">
        <f t="shared" si="56"/>
        <v>-1.5995951808508879E-2</v>
      </c>
      <c r="J81" s="43">
        <f t="shared" si="56"/>
        <v>0.23436567695602717</v>
      </c>
      <c r="K81" s="43">
        <f t="shared" si="56"/>
        <v>0.10918070347669584</v>
      </c>
      <c r="L81" s="43">
        <f t="shared" si="56"/>
        <v>-2.3606285939502647E-2</v>
      </c>
      <c r="M81" s="43">
        <f t="shared" si="56"/>
        <v>-7.741199182773173E-2</v>
      </c>
      <c r="N81" s="43">
        <f t="shared" si="56"/>
        <v>-2.2223383339612157E-2</v>
      </c>
      <c r="O81" s="43">
        <f t="shared" si="56"/>
        <v>-3.8866315756894254E-2</v>
      </c>
      <c r="P81" s="43">
        <f t="shared" si="56"/>
        <v>-7.8093306541897278E-2</v>
      </c>
      <c r="Q81" s="43">
        <f t="shared" si="56"/>
        <v>-9.9629867105696102E-2</v>
      </c>
      <c r="R81" s="43">
        <f t="shared" si="56"/>
        <v>6.3161283827823933E-3</v>
      </c>
      <c r="S81" s="43">
        <f t="shared" si="56"/>
        <v>-8.9624881824524549E-2</v>
      </c>
      <c r="T81" s="43">
        <f t="shared" si="56"/>
        <v>7.789807543137961E-3</v>
      </c>
      <c r="U81" s="43">
        <f t="shared" si="56"/>
        <v>9.6612719569695305E-3</v>
      </c>
      <c r="V81" s="43">
        <f t="shared" si="56"/>
        <v>4.8373262958082419E-2</v>
      </c>
      <c r="W81" s="43">
        <f t="shared" si="56"/>
        <v>5.4619378243157435E-2</v>
      </c>
      <c r="X81" s="43">
        <f t="shared" si="56"/>
        <v>8.4969911904520856E-2</v>
      </c>
      <c r="Y81" s="43">
        <f t="shared" si="56"/>
        <v>-7.7310099475407235E-3</v>
      </c>
      <c r="Z81" s="43">
        <f t="shared" si="56"/>
        <v>3.3882184774125079E-2</v>
      </c>
      <c r="AA81" s="43">
        <f t="shared" si="56"/>
        <v>1.7250838160087767E-3</v>
      </c>
      <c r="AB81" s="43">
        <f t="shared" si="56"/>
        <v>1.9808824098737077E-2</v>
      </c>
      <c r="AC81" s="43">
        <f t="shared" si="56"/>
        <v>7.163000839181155E-2</v>
      </c>
      <c r="AD81" s="43">
        <f t="shared" si="56"/>
        <v>6.5412002120681434E-2</v>
      </c>
      <c r="AE81" s="43">
        <f t="shared" si="56"/>
        <v>8.7884209637533406E-2</v>
      </c>
      <c r="AF81" s="43">
        <f t="shared" si="56"/>
        <v>0.21762676289339256</v>
      </c>
      <c r="AG81" s="43">
        <f t="shared" si="56"/>
        <v>0.14822272630616484</v>
      </c>
      <c r="AH81" s="43">
        <f t="shared" si="56"/>
        <v>0.1498481105314331</v>
      </c>
      <c r="AI81" s="18"/>
    </row>
    <row r="82" spans="1:35" s="54" customFormat="1" ht="11.25" customHeight="1">
      <c r="A82" s="18"/>
      <c r="B82" s="9" t="s">
        <v>467</v>
      </c>
      <c r="C82" s="2"/>
      <c r="D82" s="2"/>
      <c r="E82" s="43"/>
      <c r="F82" s="43">
        <f t="shared" ref="F82:AH82" si="57">(F80/D80)^(1/2)-1</f>
        <v>6.883147675375656E-2</v>
      </c>
      <c r="G82" s="43">
        <f t="shared" si="57"/>
        <v>-8.4062420225983758E-2</v>
      </c>
      <c r="H82" s="43">
        <f t="shared" si="57"/>
        <v>-0.12959936000926819</v>
      </c>
      <c r="I82" s="43">
        <f t="shared" si="57"/>
        <v>-2.0169909243605511E-2</v>
      </c>
      <c r="J82" s="43">
        <f t="shared" si="57"/>
        <v>0.10209837268429034</v>
      </c>
      <c r="K82" s="43">
        <f t="shared" si="57"/>
        <v>0.17010024780510746</v>
      </c>
      <c r="L82" s="43">
        <f t="shared" si="57"/>
        <v>4.0671449897539125E-2</v>
      </c>
      <c r="M82" s="43">
        <f t="shared" si="57"/>
        <v>-5.0890347827503346E-2</v>
      </c>
      <c r="N82" s="43">
        <f t="shared" si="57"/>
        <v>-5.0218456063644723E-2</v>
      </c>
      <c r="O82" s="43">
        <f t="shared" si="57"/>
        <v>-3.0580564493594697E-2</v>
      </c>
      <c r="P82" s="43">
        <f t="shared" si="57"/>
        <v>-5.8684124848748853E-2</v>
      </c>
      <c r="Q82" s="43">
        <f t="shared" si="57"/>
        <v>-8.8925221452695324E-2</v>
      </c>
      <c r="R82" s="43">
        <f t="shared" si="57"/>
        <v>-4.812974295564465E-2</v>
      </c>
      <c r="S82" s="43">
        <f t="shared" si="57"/>
        <v>-4.2855724408089824E-2</v>
      </c>
      <c r="T82" s="43">
        <f t="shared" si="57"/>
        <v>-4.2155145580389908E-2</v>
      </c>
      <c r="U82" s="43">
        <f t="shared" si="57"/>
        <v>8.7251057395538734E-3</v>
      </c>
      <c r="V82" s="43">
        <f t="shared" si="57"/>
        <v>2.8835206514598255E-2</v>
      </c>
      <c r="W82" s="43">
        <f t="shared" si="57"/>
        <v>5.1491682681134243E-2</v>
      </c>
      <c r="X82" s="43">
        <f t="shared" si="57"/>
        <v>6.968700744903833E-2</v>
      </c>
      <c r="Y82" s="43">
        <f t="shared" si="57"/>
        <v>3.7584694722702983E-2</v>
      </c>
      <c r="Z82" s="43">
        <f t="shared" si="57"/>
        <v>1.2861901405641252E-2</v>
      </c>
      <c r="AA82" s="43">
        <f t="shared" si="57"/>
        <v>1.7676627519144006E-2</v>
      </c>
      <c r="AB82" s="43">
        <f t="shared" si="57"/>
        <v>1.072651088047194E-2</v>
      </c>
      <c r="AC82" s="43">
        <f t="shared" si="57"/>
        <v>4.5398363652332074E-2</v>
      </c>
      <c r="AD82" s="43">
        <f t="shared" si="57"/>
        <v>6.8516482218838881E-2</v>
      </c>
      <c r="AE82" s="43">
        <f t="shared" si="57"/>
        <v>7.6589473228026339E-2</v>
      </c>
      <c r="AF82" s="43">
        <f t="shared" si="57"/>
        <v>0.15092872437166438</v>
      </c>
      <c r="AG82" s="43">
        <f t="shared" si="57"/>
        <v>0.18241562968052882</v>
      </c>
      <c r="AH82" s="43">
        <f t="shared" si="57"/>
        <v>0.14903513101749621</v>
      </c>
      <c r="AI82" s="18"/>
    </row>
    <row r="83" spans="1:35" s="54" customFormat="1" ht="11.25" customHeight="1">
      <c r="A83" s="18"/>
      <c r="B83" s="9" t="s">
        <v>466</v>
      </c>
      <c r="C83" s="2"/>
      <c r="D83" s="2"/>
      <c r="E83" s="43"/>
      <c r="F83" s="43"/>
      <c r="G83" s="43">
        <f t="shared" ref="G83:AH83" si="58">(G80/D80)^(1/3)-1</f>
        <v>-3.9160744870967323E-2</v>
      </c>
      <c r="H83" s="43">
        <f t="shared" si="58"/>
        <v>-6.4568180650970586E-2</v>
      </c>
      <c r="I83" s="43">
        <f t="shared" si="58"/>
        <v>-9.3269071973832052E-2</v>
      </c>
      <c r="J83" s="43">
        <f t="shared" si="58"/>
        <v>5.823420281588465E-2</v>
      </c>
      <c r="K83" s="43">
        <f t="shared" si="58"/>
        <v>0.10445411063178622</v>
      </c>
      <c r="L83" s="43">
        <f t="shared" si="58"/>
        <v>0.10159943832863116</v>
      </c>
      <c r="M83" s="43">
        <f t="shared" si="58"/>
        <v>-2.8004289660843451E-4</v>
      </c>
      <c r="N83" s="43">
        <f t="shared" si="58"/>
        <v>-4.1429316975277852E-2</v>
      </c>
      <c r="O83" s="43">
        <f t="shared" si="58"/>
        <v>-4.6449386085888444E-2</v>
      </c>
      <c r="P83" s="43">
        <f t="shared" si="58"/>
        <v>-4.6684170571339667E-2</v>
      </c>
      <c r="Q83" s="43">
        <f t="shared" si="58"/>
        <v>-7.2535528382309922E-2</v>
      </c>
      <c r="R83" s="43">
        <f t="shared" si="58"/>
        <v>-5.8224270932387578E-2</v>
      </c>
      <c r="S83" s="43">
        <f t="shared" si="58"/>
        <v>-6.2167459602831654E-2</v>
      </c>
      <c r="T83" s="43">
        <f t="shared" si="58"/>
        <v>-2.6263182006555086E-2</v>
      </c>
      <c r="U83" s="43">
        <f t="shared" si="58"/>
        <v>-2.5185426954810408E-2</v>
      </c>
      <c r="V83" s="43">
        <f t="shared" si="58"/>
        <v>2.177168959496667E-2</v>
      </c>
      <c r="W83" s="43">
        <f t="shared" si="58"/>
        <v>3.7359114742783417E-2</v>
      </c>
      <c r="X83" s="43">
        <f t="shared" si="58"/>
        <v>6.2534709800368349E-2</v>
      </c>
      <c r="Y83" s="43">
        <f t="shared" si="58"/>
        <v>4.3232128572469053E-2</v>
      </c>
      <c r="Z83" s="43">
        <f t="shared" si="58"/>
        <v>3.634905382150655E-2</v>
      </c>
      <c r="AA83" s="43">
        <f t="shared" si="58"/>
        <v>9.1359391800776013E-3</v>
      </c>
      <c r="AB83" s="43">
        <f t="shared" si="58"/>
        <v>1.838686392312483E-2</v>
      </c>
      <c r="AC83" s="43">
        <f t="shared" si="58"/>
        <v>3.0633038424055625E-2</v>
      </c>
      <c r="AD83" s="43">
        <f t="shared" si="58"/>
        <v>5.2027451204026187E-2</v>
      </c>
      <c r="AE83" s="43">
        <f t="shared" si="58"/>
        <v>7.493377326698214E-2</v>
      </c>
      <c r="AF83" s="43">
        <f t="shared" si="58"/>
        <v>0.12168646920956006</v>
      </c>
      <c r="AG83" s="43">
        <f t="shared" si="58"/>
        <v>0.15002601718185238</v>
      </c>
      <c r="AH83" s="43">
        <f t="shared" si="58"/>
        <v>0.1714585680650702</v>
      </c>
      <c r="AI83" s="18"/>
    </row>
    <row r="84" spans="1:35" s="54" customFormat="1" ht="11.25" customHeight="1">
      <c r="A84" s="18"/>
      <c r="B84" s="9"/>
      <c r="C84" s="2"/>
      <c r="D84" s="2"/>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18"/>
    </row>
    <row r="85" spans="1:35" s="54" customFormat="1" ht="11.25" customHeight="1">
      <c r="A85" s="18"/>
      <c r="B85" s="5" t="s">
        <v>9</v>
      </c>
      <c r="C85" s="4"/>
      <c r="D85" s="29"/>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18"/>
    </row>
    <row r="86" spans="1:35" s="54" customFormat="1" ht="11.25" customHeight="1">
      <c r="A86" s="18"/>
      <c r="B86" s="75" t="s">
        <v>475</v>
      </c>
      <c r="C86" s="123"/>
      <c r="D86" s="246"/>
      <c r="E86" s="352"/>
      <c r="F86" s="352"/>
      <c r="G86" s="352"/>
      <c r="H86" s="352"/>
      <c r="I86" s="352"/>
      <c r="J86" s="352"/>
      <c r="K86" s="352"/>
      <c r="L86" s="352"/>
      <c r="M86" s="352"/>
      <c r="N86" s="352"/>
      <c r="O86" s="352"/>
      <c r="P86" s="352"/>
      <c r="Q86" s="352"/>
      <c r="R86" s="352"/>
      <c r="S86" s="352"/>
      <c r="T86" s="352"/>
      <c r="U86" s="352"/>
      <c r="V86" s="352"/>
      <c r="W86" s="352"/>
      <c r="X86" s="352"/>
      <c r="Y86" s="352"/>
      <c r="Z86" s="352"/>
      <c r="AA86" s="352"/>
      <c r="AB86" s="352"/>
      <c r="AC86" s="352"/>
      <c r="AD86" s="352"/>
      <c r="AE86" s="352"/>
      <c r="AF86" s="352"/>
      <c r="AG86" s="352"/>
      <c r="AH86" s="352"/>
      <c r="AI86" s="18"/>
    </row>
    <row r="89" spans="1:35" ht="11.25" customHeight="1">
      <c r="B89" s="238" t="s">
        <v>415</v>
      </c>
    </row>
    <row r="90" spans="1:35" s="54" customFormat="1" ht="11.25" customHeight="1">
      <c r="A90" s="18"/>
      <c r="B90" s="30" t="s">
        <v>7</v>
      </c>
      <c r="C90" s="18"/>
      <c r="D90" s="18"/>
      <c r="E90" s="18"/>
      <c r="F90" s="18"/>
      <c r="G90" s="120"/>
      <c r="H90" s="120"/>
      <c r="I90" s="120"/>
      <c r="J90" s="120"/>
      <c r="K90" s="120"/>
      <c r="L90" s="120"/>
      <c r="M90" s="120"/>
      <c r="N90" s="195">
        <v>751.06566399999997</v>
      </c>
      <c r="O90" s="195">
        <v>815.35221799999999</v>
      </c>
      <c r="P90" s="195">
        <v>878.45899199999997</v>
      </c>
      <c r="Q90" s="195">
        <v>939.81743100000006</v>
      </c>
      <c r="R90" s="195">
        <v>980.71243800000002</v>
      </c>
      <c r="S90" s="195">
        <v>855.94140400000003</v>
      </c>
      <c r="T90" s="195">
        <v>907.73703999999998</v>
      </c>
      <c r="U90" s="195">
        <v>1009.7182790000001</v>
      </c>
      <c r="V90" s="195">
        <v>1052.404718</v>
      </c>
      <c r="W90" s="195">
        <v>1079.0314430000001</v>
      </c>
      <c r="X90" s="195">
        <v>1121.1613299999999</v>
      </c>
      <c r="Y90" s="195">
        <v>1096.5737670000001</v>
      </c>
      <c r="Z90" s="195">
        <v>1111.671632</v>
      </c>
      <c r="AA90" s="195">
        <v>1199.970554</v>
      </c>
      <c r="AB90" s="195">
        <v>1306.0646469999999</v>
      </c>
      <c r="AC90" s="195">
        <v>1364.4558999999999</v>
      </c>
      <c r="AD90" s="195">
        <v>1305.758493</v>
      </c>
      <c r="AE90" s="195">
        <v>1525.1538210000001</v>
      </c>
      <c r="AF90" s="195">
        <v>1716.6184619999999</v>
      </c>
      <c r="AG90" s="195">
        <v>1772.0125619999999</v>
      </c>
      <c r="AH90" s="195">
        <v>1863.288851</v>
      </c>
      <c r="AI90" s="18"/>
    </row>
    <row r="91" spans="1:35" s="54" customFormat="1" ht="11.25" customHeight="1">
      <c r="A91" s="18"/>
      <c r="B91" s="30" t="s">
        <v>137</v>
      </c>
      <c r="C91" s="18"/>
      <c r="D91" s="18"/>
      <c r="E91" s="18"/>
      <c r="F91" s="18"/>
      <c r="G91" s="138"/>
      <c r="H91" s="138"/>
      <c r="I91" s="138"/>
      <c r="J91" s="138"/>
      <c r="K91" s="138"/>
      <c r="L91" s="138"/>
      <c r="M91" s="138"/>
      <c r="N91" s="195">
        <v>277.41192699999999</v>
      </c>
      <c r="O91" s="195">
        <v>293.73744799999997</v>
      </c>
      <c r="P91" s="195">
        <v>329.93938900000001</v>
      </c>
      <c r="Q91" s="195">
        <v>350.68370599999997</v>
      </c>
      <c r="R91" s="195">
        <v>341.60414900000001</v>
      </c>
      <c r="S91" s="195">
        <v>327.73258600000003</v>
      </c>
      <c r="T91" s="195">
        <v>341.65775100000002</v>
      </c>
      <c r="U91" s="195">
        <v>369.49802199999999</v>
      </c>
      <c r="V91" s="195">
        <v>382.63798600000001</v>
      </c>
      <c r="W91" s="195">
        <v>397.77032100000002</v>
      </c>
      <c r="X91" s="195">
        <v>420.33935400000001</v>
      </c>
      <c r="Y91" s="195">
        <v>419.23086799999999</v>
      </c>
      <c r="Z91" s="195">
        <v>424.42172599999998</v>
      </c>
      <c r="AA91" s="195">
        <v>452.42614900000001</v>
      </c>
      <c r="AB91" s="195">
        <v>492.132902</v>
      </c>
      <c r="AC91" s="195">
        <v>521.88506400000006</v>
      </c>
      <c r="AD91" s="195">
        <v>491.42435999999998</v>
      </c>
      <c r="AE91" s="195">
        <v>601.546695</v>
      </c>
      <c r="AF91" s="195">
        <v>634.31841299999996</v>
      </c>
      <c r="AG91" s="195">
        <v>669.84515299999998</v>
      </c>
      <c r="AH91" s="321"/>
      <c r="AI91" s="264"/>
    </row>
    <row r="92" spans="1:35" s="54" customFormat="1" ht="11.25" customHeight="1">
      <c r="A92" s="18"/>
      <c r="B92" s="30" t="s">
        <v>253</v>
      </c>
      <c r="C92" s="18"/>
      <c r="D92" s="18"/>
      <c r="E92" s="18"/>
      <c r="F92" s="18"/>
      <c r="G92" s="138"/>
      <c r="H92" s="138"/>
      <c r="I92" s="138"/>
      <c r="J92" s="138"/>
      <c r="K92" s="138"/>
      <c r="L92" s="138"/>
      <c r="M92" s="138"/>
      <c r="N92" s="195">
        <v>94.965005000000005</v>
      </c>
      <c r="O92" s="195">
        <v>106.70137800000001</v>
      </c>
      <c r="P92" s="195">
        <v>121.208816</v>
      </c>
      <c r="Q92" s="195">
        <v>123.02054099999999</v>
      </c>
      <c r="R92" s="195">
        <v>123.257508</v>
      </c>
      <c r="S92" s="195">
        <v>101.203338</v>
      </c>
      <c r="T92" s="195">
        <v>124.371827</v>
      </c>
      <c r="U92" s="195">
        <v>137.71419299999999</v>
      </c>
      <c r="V92" s="195">
        <v>143.30282399999999</v>
      </c>
      <c r="W92" s="195">
        <v>150.70810399999999</v>
      </c>
      <c r="X92" s="195">
        <v>155.49547699999999</v>
      </c>
      <c r="Y92" s="195">
        <v>148.21201400000001</v>
      </c>
      <c r="Z92" s="195">
        <v>148.57233400000001</v>
      </c>
      <c r="AA92" s="195">
        <v>165.99467200000001</v>
      </c>
      <c r="AB92" s="195">
        <v>183.30821900000001</v>
      </c>
      <c r="AC92" s="195">
        <v>189.11838499999999</v>
      </c>
      <c r="AD92" s="195">
        <v>155.51342700000001</v>
      </c>
      <c r="AE92" s="195">
        <v>235.78944899999999</v>
      </c>
      <c r="AF92" s="195">
        <v>250.233092</v>
      </c>
      <c r="AG92" s="195">
        <v>259.97769799999998</v>
      </c>
      <c r="AH92" s="195"/>
      <c r="AI92" s="264"/>
    </row>
    <row r="94" spans="1:35" ht="11.25" customHeight="1">
      <c r="B94" s="238" t="s">
        <v>420</v>
      </c>
    </row>
    <row r="95" spans="1:35" ht="11.25" customHeight="1">
      <c r="B95" s="30" t="s">
        <v>7</v>
      </c>
      <c r="N95" s="195">
        <v>99.038107999999994</v>
      </c>
      <c r="O95" s="195">
        <v>100.297757</v>
      </c>
      <c r="P95" s="195">
        <v>109.75184299999999</v>
      </c>
      <c r="Q95" s="195">
        <v>115.281972</v>
      </c>
      <c r="R95" s="195">
        <v>114.052809</v>
      </c>
      <c r="S95" s="195">
        <v>99.006212000000005</v>
      </c>
      <c r="T95" s="195">
        <v>133.54790199999999</v>
      </c>
      <c r="U95" s="195">
        <v>151.19875099999999</v>
      </c>
      <c r="V95" s="195">
        <v>148.87835699999999</v>
      </c>
      <c r="W95" s="195">
        <v>151.33251999999999</v>
      </c>
      <c r="X95" s="195">
        <v>167.858912</v>
      </c>
      <c r="Y95" s="195">
        <v>173.24646200000001</v>
      </c>
      <c r="Z95" s="195">
        <v>186.99373800000001</v>
      </c>
      <c r="AA95" s="195">
        <v>218.20931100000001</v>
      </c>
      <c r="AB95" s="195">
        <v>246.23135400000001</v>
      </c>
      <c r="AC95" s="195">
        <v>247.77207300000001</v>
      </c>
      <c r="AD95" s="195">
        <v>279.41042499999998</v>
      </c>
      <c r="AE95" s="195">
        <v>351.57519100000002</v>
      </c>
      <c r="AF95" s="195">
        <v>378.26826</v>
      </c>
      <c r="AG95" s="195">
        <v>376.66240499999998</v>
      </c>
      <c r="AH95" s="195">
        <v>461.34904799999998</v>
      </c>
      <c r="AI95" s="195"/>
    </row>
    <row r="96" spans="1:35" ht="11.25" customHeight="1">
      <c r="B96" s="30" t="s">
        <v>137</v>
      </c>
      <c r="N96" s="195">
        <v>48.002014000000003</v>
      </c>
      <c r="O96" s="195">
        <v>50.115073000000002</v>
      </c>
      <c r="P96" s="195">
        <v>53.277028000000001</v>
      </c>
      <c r="Q96" s="195">
        <v>54.622985999999997</v>
      </c>
      <c r="R96" s="195">
        <v>53.054180000000002</v>
      </c>
      <c r="S96" s="195">
        <v>45.384996000000001</v>
      </c>
      <c r="T96" s="195">
        <v>71.640511000000004</v>
      </c>
      <c r="U96" s="195">
        <v>77.764110000000002</v>
      </c>
      <c r="V96" s="195">
        <v>74.526615000000007</v>
      </c>
      <c r="W96" s="195">
        <v>76.301165999999995</v>
      </c>
      <c r="X96" s="195">
        <v>88.772862000000003</v>
      </c>
      <c r="Y96" s="195">
        <v>90.905469999999994</v>
      </c>
      <c r="Z96" s="195">
        <v>100.76505899999999</v>
      </c>
      <c r="AA96" s="195">
        <v>121.80517399999999</v>
      </c>
      <c r="AB96" s="195">
        <v>141.11908700000001</v>
      </c>
      <c r="AC96" s="195">
        <v>136.67677699999999</v>
      </c>
      <c r="AD96" s="195">
        <v>151.56730300000001</v>
      </c>
      <c r="AE96" s="195">
        <v>193.57978600000001</v>
      </c>
      <c r="AF96" s="195">
        <v>198.518158</v>
      </c>
      <c r="AG96" s="195">
        <v>198.61869999999999</v>
      </c>
      <c r="AH96" s="195"/>
      <c r="AI96" s="195"/>
    </row>
    <row r="97" spans="1:35" ht="11.25" customHeight="1">
      <c r="B97" s="30" t="s">
        <v>253</v>
      </c>
      <c r="N97" s="195">
        <v>19.144151999999998</v>
      </c>
      <c r="O97" s="195">
        <v>20.277387999999998</v>
      </c>
      <c r="P97" s="195">
        <v>18.731822999999999</v>
      </c>
      <c r="Q97" s="195">
        <v>19.115877000000001</v>
      </c>
      <c r="R97" s="195">
        <v>15.605693</v>
      </c>
      <c r="S97" s="195">
        <v>11.550083000000001</v>
      </c>
      <c r="T97" s="195">
        <v>34.967238000000002</v>
      </c>
      <c r="U97" s="195">
        <v>34.292490999999998</v>
      </c>
      <c r="V97" s="195">
        <v>25.116402000000001</v>
      </c>
      <c r="W97" s="195">
        <v>25.896217</v>
      </c>
      <c r="X97" s="195">
        <v>36.475622999999999</v>
      </c>
      <c r="Y97" s="195">
        <v>36.378484</v>
      </c>
      <c r="Z97" s="195">
        <v>40.459311999999997</v>
      </c>
      <c r="AA97" s="195">
        <v>57.547488000000001</v>
      </c>
      <c r="AB97" s="195">
        <v>74.320398999999995</v>
      </c>
      <c r="AC97" s="195">
        <v>62.056328000000001</v>
      </c>
      <c r="AD97" s="195">
        <v>71.929213000000004</v>
      </c>
      <c r="AE97" s="195">
        <v>103.933532</v>
      </c>
      <c r="AF97" s="195">
        <v>92.899844000000002</v>
      </c>
      <c r="AG97" s="195">
        <v>90.090280000000007</v>
      </c>
      <c r="AH97" s="195"/>
      <c r="AI97" s="195"/>
    </row>
    <row r="99" spans="1:35" ht="11.25" customHeight="1">
      <c r="A99" s="2"/>
      <c r="B99" s="30" t="s">
        <v>450</v>
      </c>
      <c r="C99" s="2"/>
      <c r="D99" s="2"/>
      <c r="E99" s="2"/>
      <c r="F99" s="2"/>
      <c r="G99" s="335"/>
      <c r="H99" s="335">
        <f t="shared" ref="H99:AH99" si="59">H16</f>
        <v>0.1478589477997585</v>
      </c>
      <c r="I99" s="335">
        <f t="shared" si="59"/>
        <v>0.44910951568759661</v>
      </c>
      <c r="J99" s="349">
        <v>0.56999999999999995</v>
      </c>
      <c r="K99" s="335">
        <f t="shared" si="59"/>
        <v>-0.24256007894198495</v>
      </c>
      <c r="L99" s="335">
        <f t="shared" si="59"/>
        <v>0.2892798983198952</v>
      </c>
      <c r="M99" s="335">
        <f t="shared" si="59"/>
        <v>0.25074398802225506</v>
      </c>
      <c r="N99" s="335">
        <f t="shared" si="59"/>
        <v>0.26707783858874756</v>
      </c>
      <c r="O99" s="335">
        <f t="shared" si="59"/>
        <v>3.6358970969585513E-2</v>
      </c>
      <c r="P99" s="335">
        <f t="shared" si="59"/>
        <v>0.19073021589480987</v>
      </c>
      <c r="Q99" s="335">
        <f t="shared" si="59"/>
        <v>1.6455213653133072E-2</v>
      </c>
      <c r="R99" s="335">
        <f t="shared" si="59"/>
        <v>3.2631807333478147E-2</v>
      </c>
      <c r="S99" s="335">
        <f t="shared" si="59"/>
        <v>-0.11230707352067193</v>
      </c>
      <c r="T99" s="335">
        <f t="shared" si="59"/>
        <v>0.4185945858214255</v>
      </c>
      <c r="U99" s="335">
        <f t="shared" si="59"/>
        <v>1.7979301040668583E-2</v>
      </c>
      <c r="V99" s="335">
        <f t="shared" si="59"/>
        <v>0.18653136056157948</v>
      </c>
      <c r="W99" s="335">
        <f t="shared" si="59"/>
        <v>0.178154693188882</v>
      </c>
      <c r="X99" s="335">
        <f t="shared" si="59"/>
        <v>0.2776806292544356</v>
      </c>
      <c r="Y99" s="335">
        <f t="shared" si="59"/>
        <v>0.10578181084050176</v>
      </c>
      <c r="Z99" s="335">
        <f t="shared" si="59"/>
        <v>0.12381905329835208</v>
      </c>
      <c r="AA99" s="335">
        <f t="shared" si="59"/>
        <v>3.1129673037687988E-2</v>
      </c>
      <c r="AB99" s="335">
        <f t="shared" si="59"/>
        <v>5.5273131944750142E-2</v>
      </c>
      <c r="AC99" s="335">
        <f t="shared" si="59"/>
        <v>3.7336770039951839E-2</v>
      </c>
      <c r="AD99" s="335">
        <f t="shared" si="59"/>
        <v>0.25165703281601992</v>
      </c>
      <c r="AE99" s="335">
        <f t="shared" si="59"/>
        <v>0.18529724437928463</v>
      </c>
      <c r="AF99" s="335">
        <f t="shared" si="59"/>
        <v>0.42614958232879618</v>
      </c>
      <c r="AG99" s="335">
        <f t="shared" si="59"/>
        <v>-4.5123762064455342E-2</v>
      </c>
      <c r="AH99" s="335">
        <f t="shared" ca="1" si="59"/>
        <v>0.33549618740279041</v>
      </c>
    </row>
  </sheetData>
  <pageMargins left="0.3" right="0.3" top="0.3" bottom="0.5" header="0.3" footer="0.3"/>
  <pageSetup scale="54" orientation="landscape" r:id="rId1"/>
  <headerFooter>
    <oddFooter>Page &amp;P of &amp;N</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94801-968C-4D49-BEEF-3CBCE7974DF2}">
  <sheetPr>
    <tabColor theme="1" tint="0.34998626667073579"/>
    <pageSetUpPr fitToPage="1"/>
  </sheetPr>
  <dimension ref="B2:H32"/>
  <sheetViews>
    <sheetView showGridLines="0" view="pageBreakPreview" zoomScaleNormal="100" zoomScaleSheetLayoutView="100" workbookViewId="0"/>
  </sheetViews>
  <sheetFormatPr defaultColWidth="9.140625" defaultRowHeight="11.25"/>
  <cols>
    <col min="1" max="1" width="2.7109375" style="2" customWidth="1"/>
    <col min="2" max="8" width="12.7109375" style="2" customWidth="1"/>
    <col min="9" max="9" width="2.7109375" style="2" customWidth="1"/>
    <col min="10" max="16384" width="9.140625" style="2"/>
  </cols>
  <sheetData>
    <row r="2" spans="2:8">
      <c r="B2" s="55" t="s">
        <v>114</v>
      </c>
      <c r="D2" s="3"/>
      <c r="E2" s="3"/>
      <c r="F2" s="3"/>
      <c r="G2" s="3"/>
      <c r="H2" s="124">
        <f ca="1">TODAY()</f>
        <v>45796</v>
      </c>
    </row>
    <row r="3" spans="2:8">
      <c r="B3" s="5" t="s">
        <v>526</v>
      </c>
    </row>
    <row r="4" spans="2:8" ht="12.75">
      <c r="B4" s="7"/>
      <c r="C4" s="123"/>
      <c r="D4" s="123"/>
      <c r="E4" s="123"/>
      <c r="F4" s="123"/>
      <c r="G4" s="123"/>
      <c r="H4" s="235"/>
    </row>
    <row r="6" spans="2:8" ht="13.5" customHeight="1">
      <c r="C6" s="22" t="s">
        <v>527</v>
      </c>
      <c r="D6" s="22"/>
      <c r="E6" s="22" t="s">
        <v>528</v>
      </c>
      <c r="F6" s="22"/>
      <c r="G6" s="389" t="s">
        <v>523</v>
      </c>
      <c r="H6" s="389" t="s">
        <v>523</v>
      </c>
    </row>
    <row r="7" spans="2:8" ht="13.5" customHeight="1">
      <c r="B7" s="8" t="s">
        <v>392</v>
      </c>
      <c r="C7" s="8" t="s">
        <v>522</v>
      </c>
      <c r="D7" s="8" t="s">
        <v>521</v>
      </c>
      <c r="E7" s="8" t="s">
        <v>522</v>
      </c>
      <c r="F7" s="8" t="s">
        <v>521</v>
      </c>
      <c r="G7" s="8" t="s">
        <v>520</v>
      </c>
      <c r="H7" s="8" t="s">
        <v>76</v>
      </c>
    </row>
    <row r="8" spans="2:8" ht="11.25" customHeight="1">
      <c r="B8" s="365">
        <v>1</v>
      </c>
      <c r="C8" s="390">
        <f>1-D8</f>
        <v>0.77657252756648809</v>
      </c>
      <c r="D8" s="403">
        <f>1-(1-0.1)^(12/5)</f>
        <v>0.22342747243351191</v>
      </c>
      <c r="E8" s="403">
        <v>0.17</v>
      </c>
      <c r="F8" s="400">
        <v>-1</v>
      </c>
      <c r="G8" s="118">
        <f>(C8*E8)+(D8*F8)</f>
        <v>-9.1410142747208933E-2</v>
      </c>
      <c r="H8" s="118">
        <f>(1+G8)^(1/$B8)-1</f>
        <v>-9.1410142747208933E-2</v>
      </c>
    </row>
    <row r="9" spans="2:8" ht="11.25" customHeight="1">
      <c r="B9" s="64">
        <f>B8+1</f>
        <v>2</v>
      </c>
      <c r="C9" s="390">
        <f>C$8^$B9</f>
        <v>0.60306489057100388</v>
      </c>
      <c r="D9" s="390">
        <f t="shared" ref="D9:D17" si="0">1-C9</f>
        <v>0.39693510942899612</v>
      </c>
      <c r="E9" s="390">
        <f>(1+E$8)^$B9-1</f>
        <v>0.36889999999999978</v>
      </c>
      <c r="F9" s="391">
        <f>F8</f>
        <v>-1</v>
      </c>
      <c r="G9" s="118">
        <f t="shared" ref="G9:G17" si="1">(C9*E9)+(D9*F9)</f>
        <v>-0.17446447129735293</v>
      </c>
      <c r="H9" s="118">
        <f>(1+G9)^(1/$B9)-1</f>
        <v>-9.1410142747209044E-2</v>
      </c>
    </row>
    <row r="10" spans="2:8" ht="11.25" customHeight="1">
      <c r="B10" s="64">
        <f t="shared" ref="B10:B17" si="2">B9+1</f>
        <v>3</v>
      </c>
      <c r="C10" s="390">
        <f t="shared" ref="C10:C17" si="3">C$8^$B10</f>
        <v>0.46832362635733205</v>
      </c>
      <c r="D10" s="390">
        <f t="shared" si="0"/>
        <v>0.53167637364266795</v>
      </c>
      <c r="E10" s="390">
        <f t="shared" ref="E10:E17" si="4">(1+E$8)^$B10-1</f>
        <v>0.60161299999999973</v>
      </c>
      <c r="F10" s="391">
        <f t="shared" ref="F10:F17" si="5">F9</f>
        <v>-1</v>
      </c>
      <c r="G10" s="118">
        <f t="shared" si="1"/>
        <v>-0.2499267918189545</v>
      </c>
      <c r="H10" s="118">
        <f t="shared" ref="H10:H17" si="6">(1+G10)^(1/$B10)-1</f>
        <v>-9.1410142747209044E-2</v>
      </c>
    </row>
    <row r="11" spans="2:8" ht="11.25" customHeight="1">
      <c r="B11" s="64">
        <f t="shared" si="2"/>
        <v>4</v>
      </c>
      <c r="C11" s="390">
        <f t="shared" si="3"/>
        <v>0.36368726223941689</v>
      </c>
      <c r="D11" s="390">
        <f t="shared" si="0"/>
        <v>0.63631273776058306</v>
      </c>
      <c r="E11" s="390">
        <f t="shared" si="4"/>
        <v>0.87388720999999947</v>
      </c>
      <c r="F11" s="391">
        <f t="shared" si="5"/>
        <v>-1</v>
      </c>
      <c r="G11" s="118">
        <f t="shared" si="1"/>
        <v>-0.31849109084964089</v>
      </c>
      <c r="H11" s="118">
        <f t="shared" si="6"/>
        <v>-9.1410142747209044E-2</v>
      </c>
    </row>
    <row r="12" spans="2:8" ht="11.25" customHeight="1">
      <c r="B12" s="64">
        <f t="shared" si="2"/>
        <v>5</v>
      </c>
      <c r="C12" s="390">
        <f t="shared" si="3"/>
        <v>0.28242953648100017</v>
      </c>
      <c r="D12" s="390">
        <f t="shared" si="0"/>
        <v>0.71757046351899989</v>
      </c>
      <c r="E12" s="390">
        <f t="shared" si="4"/>
        <v>1.1924480356999991</v>
      </c>
      <c r="F12" s="391">
        <f t="shared" si="5"/>
        <v>-1</v>
      </c>
      <c r="G12" s="118">
        <f t="shared" si="1"/>
        <v>-0.38078791751857</v>
      </c>
      <c r="H12" s="118">
        <f t="shared" si="6"/>
        <v>-9.1410142747209044E-2</v>
      </c>
    </row>
    <row r="13" spans="2:8" ht="11.25" customHeight="1">
      <c r="B13" s="64">
        <f t="shared" si="2"/>
        <v>6</v>
      </c>
      <c r="C13" s="390">
        <f t="shared" si="3"/>
        <v>0.21932701900448193</v>
      </c>
      <c r="D13" s="390">
        <f t="shared" si="0"/>
        <v>0.78067298099551807</v>
      </c>
      <c r="E13" s="390">
        <f t="shared" si="4"/>
        <v>1.5651642017689991</v>
      </c>
      <c r="F13" s="391">
        <f t="shared" si="5"/>
        <v>-1</v>
      </c>
      <c r="G13" s="118">
        <f t="shared" si="1"/>
        <v>-0.43739018236899402</v>
      </c>
      <c r="H13" s="118">
        <f t="shared" si="6"/>
        <v>-9.1410142747209044E-2</v>
      </c>
    </row>
    <row r="14" spans="2:8" ht="11.25" customHeight="1">
      <c r="B14" s="64">
        <f t="shared" si="2"/>
        <v>7</v>
      </c>
      <c r="C14" s="390">
        <f t="shared" si="3"/>
        <v>0.17032333751193371</v>
      </c>
      <c r="D14" s="390">
        <f t="shared" si="0"/>
        <v>0.82967666248806626</v>
      </c>
      <c r="E14" s="390">
        <f t="shared" si="4"/>
        <v>2.0012421160697285</v>
      </c>
      <c r="F14" s="391">
        <f t="shared" si="5"/>
        <v>-1</v>
      </c>
      <c r="G14" s="118">
        <f t="shared" si="1"/>
        <v>-0.4888184261096255</v>
      </c>
      <c r="H14" s="118">
        <f t="shared" si="6"/>
        <v>-9.1410142747209044E-2</v>
      </c>
    </row>
    <row r="15" spans="2:8" ht="11.25" customHeight="1">
      <c r="B15" s="64">
        <f t="shared" si="2"/>
        <v>8</v>
      </c>
      <c r="C15" s="390">
        <f t="shared" si="3"/>
        <v>0.13226842471520239</v>
      </c>
      <c r="D15" s="390">
        <f t="shared" si="0"/>
        <v>0.86773157528479761</v>
      </c>
      <c r="E15" s="390">
        <f t="shared" si="4"/>
        <v>2.511453275801582</v>
      </c>
      <c r="F15" s="391">
        <f t="shared" si="5"/>
        <v>-1</v>
      </c>
      <c r="G15" s="118">
        <f t="shared" si="1"/>
        <v>-0.53554560674868767</v>
      </c>
      <c r="H15" s="118">
        <f t="shared" si="6"/>
        <v>-9.1410142747209044E-2</v>
      </c>
    </row>
    <row r="16" spans="2:8" ht="11.25" customHeight="1">
      <c r="B16" s="64">
        <f t="shared" si="2"/>
        <v>9</v>
      </c>
      <c r="C16" s="390">
        <f t="shared" si="3"/>
        <v>0.10271602489832246</v>
      </c>
      <c r="D16" s="390">
        <f t="shared" si="0"/>
        <v>0.89728397510167757</v>
      </c>
      <c r="E16" s="390">
        <f t="shared" si="4"/>
        <v>3.1084003326878502</v>
      </c>
      <c r="F16" s="391">
        <f t="shared" si="5"/>
        <v>-1</v>
      </c>
      <c r="G16" s="118">
        <f t="shared" si="1"/>
        <v>-0.57800144913535845</v>
      </c>
      <c r="H16" s="118">
        <f t="shared" si="6"/>
        <v>-9.1410142747209044E-2</v>
      </c>
    </row>
    <row r="17" spans="2:8" ht="11.25" customHeight="1">
      <c r="B17" s="64">
        <f t="shared" si="2"/>
        <v>10</v>
      </c>
      <c r="C17" s="390">
        <f t="shared" si="3"/>
        <v>7.9766443076872598E-2</v>
      </c>
      <c r="D17" s="390">
        <f t="shared" si="0"/>
        <v>0.92023355692312736</v>
      </c>
      <c r="E17" s="390">
        <f t="shared" si="4"/>
        <v>3.8068283892447852</v>
      </c>
      <c r="F17" s="391">
        <f t="shared" si="5"/>
        <v>-1</v>
      </c>
      <c r="G17" s="118">
        <f t="shared" si="1"/>
        <v>-0.61657639690901056</v>
      </c>
      <c r="H17" s="118">
        <f t="shared" si="6"/>
        <v>-9.1410142747209044E-2</v>
      </c>
    </row>
    <row r="18" spans="2:8" ht="11.25" customHeight="1">
      <c r="B18" s="64"/>
      <c r="C18" s="390"/>
      <c r="D18" s="390"/>
      <c r="E18" s="390"/>
      <c r="F18" s="391"/>
      <c r="G18" s="143"/>
      <c r="H18" s="118"/>
    </row>
    <row r="19" spans="2:8" ht="11.25" customHeight="1">
      <c r="B19" s="376" t="s">
        <v>531</v>
      </c>
      <c r="C19" s="390"/>
      <c r="D19" s="390"/>
      <c r="E19" s="390"/>
      <c r="F19" s="391"/>
      <c r="G19" s="143"/>
      <c r="H19" s="118"/>
    </row>
    <row r="20" spans="2:8" ht="11.25" customHeight="1">
      <c r="B20" s="376" t="s">
        <v>532</v>
      </c>
      <c r="C20" s="390"/>
      <c r="D20" s="390"/>
      <c r="E20" s="390"/>
      <c r="F20" s="391"/>
      <c r="G20" s="143"/>
      <c r="H20" s="118"/>
    </row>
    <row r="21" spans="2:8">
      <c r="B21" s="376" t="s">
        <v>533</v>
      </c>
    </row>
    <row r="22" spans="2:8">
      <c r="B22" s="376"/>
    </row>
    <row r="23" spans="2:8" ht="13.5" customHeight="1">
      <c r="B23" s="22" t="s">
        <v>529</v>
      </c>
      <c r="C23" s="22"/>
      <c r="D23" s="22"/>
      <c r="E23" s="22"/>
      <c r="F23" s="22"/>
      <c r="G23" s="22"/>
      <c r="H23" s="22"/>
    </row>
    <row r="24" spans="2:8" ht="13.5">
      <c r="D24" s="22" t="s">
        <v>524</v>
      </c>
      <c r="E24" s="22"/>
      <c r="F24" s="22"/>
      <c r="G24" s="22"/>
      <c r="H24" s="22"/>
    </row>
    <row r="25" spans="2:8">
      <c r="C25" s="388">
        <f>H17</f>
        <v>-9.1410142747209044E-2</v>
      </c>
      <c r="D25" s="404">
        <v>0.05</v>
      </c>
      <c r="E25" s="404">
        <f>D25+0.05</f>
        <v>0.1</v>
      </c>
      <c r="F25" s="404">
        <f t="shared" ref="F25:H25" si="7">E25+0.05</f>
        <v>0.15000000000000002</v>
      </c>
      <c r="G25" s="404">
        <f t="shared" si="7"/>
        <v>0.2</v>
      </c>
      <c r="H25" s="404">
        <f t="shared" si="7"/>
        <v>0.25</v>
      </c>
    </row>
    <row r="26" spans="2:8">
      <c r="B26" s="699" t="s">
        <v>525</v>
      </c>
      <c r="C26" s="405">
        <v>0.1</v>
      </c>
      <c r="D26" s="392">
        <f t="dataTable" ref="D26:H30" dt2D="1" dtr="1" r1="D8" r2="E8"/>
        <v>4.5000000000000151E-2</v>
      </c>
      <c r="E26" s="393">
        <v>-9.9999999999998979E-3</v>
      </c>
      <c r="F26" s="393">
        <v>-6.4999999999999947E-2</v>
      </c>
      <c r="G26" s="393">
        <v>-0.11999999999999988</v>
      </c>
      <c r="H26" s="394">
        <v>-0.17499999999999993</v>
      </c>
    </row>
    <row r="27" spans="2:8">
      <c r="B27" s="699"/>
      <c r="C27" s="405">
        <f>C26+0.05</f>
        <v>0.15000000000000002</v>
      </c>
      <c r="D27" s="395">
        <v>9.2499999999999805E-2</v>
      </c>
      <c r="E27" s="202">
        <v>3.499999999999992E-2</v>
      </c>
      <c r="F27" s="202">
        <v>-2.2500000000000075E-2</v>
      </c>
      <c r="G27" s="202">
        <v>-7.999999999999996E-2</v>
      </c>
      <c r="H27" s="396">
        <v>-0.13750000000000007</v>
      </c>
    </row>
    <row r="28" spans="2:8">
      <c r="B28" s="699"/>
      <c r="C28" s="405">
        <f t="shared" ref="C28:C30" si="8">C27+0.05</f>
        <v>0.2</v>
      </c>
      <c r="D28" s="395">
        <v>0.1399999999999999</v>
      </c>
      <c r="E28" s="202">
        <v>8.0000000000000071E-2</v>
      </c>
      <c r="F28" s="202">
        <v>2.0000000000000018E-2</v>
      </c>
      <c r="G28" s="202">
        <v>-3.9999999999999925E-2</v>
      </c>
      <c r="H28" s="396">
        <v>-9.9999999999999978E-2</v>
      </c>
    </row>
    <row r="29" spans="2:8">
      <c r="B29" s="699"/>
      <c r="C29" s="405">
        <f t="shared" si="8"/>
        <v>0.25</v>
      </c>
      <c r="D29" s="395">
        <v>0.1875</v>
      </c>
      <c r="E29" s="202">
        <v>0.125</v>
      </c>
      <c r="F29" s="202">
        <v>6.25E-2</v>
      </c>
      <c r="G29" s="202">
        <v>0</v>
      </c>
      <c r="H29" s="396">
        <v>-6.25E-2</v>
      </c>
    </row>
    <row r="30" spans="2:8">
      <c r="B30" s="699"/>
      <c r="C30" s="405">
        <f t="shared" si="8"/>
        <v>0.3</v>
      </c>
      <c r="D30" s="397">
        <v>0.2350000000000001</v>
      </c>
      <c r="E30" s="398">
        <v>0.17000000000000015</v>
      </c>
      <c r="F30" s="398">
        <v>0.10499999999999998</v>
      </c>
      <c r="G30" s="398">
        <v>4.0000000000000258E-2</v>
      </c>
      <c r="H30" s="399">
        <v>-2.4999999999999911E-2</v>
      </c>
    </row>
    <row r="32" spans="2:8">
      <c r="B32" s="401" t="s">
        <v>913</v>
      </c>
      <c r="C32" s="401"/>
      <c r="D32" s="402">
        <f>D28-$C28</f>
        <v>-6.0000000000000109E-2</v>
      </c>
      <c r="E32" s="402">
        <f t="shared" ref="E32:H32" si="9">E28-$C28</f>
        <v>-0.11999999999999994</v>
      </c>
      <c r="F32" s="402">
        <f t="shared" si="9"/>
        <v>-0.18</v>
      </c>
      <c r="G32" s="402">
        <f t="shared" si="9"/>
        <v>-0.23999999999999994</v>
      </c>
      <c r="H32" s="402">
        <f t="shared" si="9"/>
        <v>-0.3</v>
      </c>
    </row>
  </sheetData>
  <mergeCells count="1">
    <mergeCell ref="B26:B30"/>
  </mergeCells>
  <conditionalFormatting sqref="D26:H30">
    <cfRule type="cellIs" dxfId="0" priority="1" operator="greaterThanOrEqual">
      <formula>0.2</formula>
    </cfRule>
  </conditionalFormatting>
  <pageMargins left="0.3" right="0.3" top="0.3" bottom="0.5" header="0.3" footer="0.3"/>
  <pageSetup orientation="portrait" r:id="rId1"/>
  <headerFooter>
    <oddFooter>Page &amp;P of &amp;N</oddFooter>
  </headerFooter>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3716C-F436-420E-8C29-BAB3C7FA0CEC}">
  <sheetPr>
    <tabColor theme="6" tint="0.39997558519241921"/>
  </sheetPr>
  <dimension ref="A1"/>
  <sheetViews>
    <sheetView workbookViewId="0"/>
  </sheetViews>
  <sheetFormatPr defaultRowHeight="15"/>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E5116-4AF5-400A-8A06-AD88746D6943}">
  <sheetPr>
    <tabColor theme="6" tint="0.39997558519241921"/>
    <pageSetUpPr fitToPage="1"/>
  </sheetPr>
  <dimension ref="B2:J30"/>
  <sheetViews>
    <sheetView view="pageBreakPreview" zoomScaleNormal="100" zoomScaleSheetLayoutView="100" workbookViewId="0"/>
  </sheetViews>
  <sheetFormatPr defaultColWidth="9.140625" defaultRowHeight="11.25"/>
  <cols>
    <col min="1" max="1" width="2.7109375" style="2" customWidth="1"/>
    <col min="2" max="2" width="14.5703125" style="2" bestFit="1" customWidth="1"/>
    <col min="3" max="7" width="9.140625" style="2"/>
    <col min="8" max="8" width="2.7109375" style="2" customWidth="1"/>
    <col min="9" max="9" width="15.7109375" style="2" customWidth="1"/>
    <col min="10" max="10" width="100.7109375" style="2" customWidth="1"/>
    <col min="11" max="16384" width="9.140625" style="2"/>
  </cols>
  <sheetData>
    <row r="2" spans="2:7">
      <c r="B2" s="55" t="s">
        <v>114</v>
      </c>
      <c r="G2" s="546">
        <f ca="1">TODAY()</f>
        <v>45796</v>
      </c>
    </row>
    <row r="3" spans="2:7">
      <c r="B3" s="5" t="s">
        <v>790</v>
      </c>
    </row>
    <row r="4" spans="2:7">
      <c r="B4" s="7" t="s">
        <v>111</v>
      </c>
      <c r="C4" s="270"/>
      <c r="D4" s="270"/>
      <c r="E4" s="270"/>
      <c r="F4" s="270"/>
      <c r="G4" s="270"/>
    </row>
    <row r="6" spans="2:7" ht="13.5">
      <c r="C6" s="8" t="s">
        <v>791</v>
      </c>
      <c r="D6" s="8" t="s">
        <v>783</v>
      </c>
      <c r="E6" s="8" t="s">
        <v>778</v>
      </c>
      <c r="F6" s="8" t="s">
        <v>779</v>
      </c>
      <c r="G6" s="540" t="s">
        <v>682</v>
      </c>
    </row>
    <row r="7" spans="2:7" ht="13.5">
      <c r="B7" s="65" t="s">
        <v>792</v>
      </c>
      <c r="C7" s="8"/>
      <c r="D7" s="8"/>
      <c r="E7" s="8"/>
      <c r="F7" s="8"/>
      <c r="G7" s="540"/>
    </row>
    <row r="8" spans="2:7">
      <c r="B8" s="2" t="s">
        <v>7</v>
      </c>
      <c r="C8" s="64" t="s">
        <v>780</v>
      </c>
      <c r="E8" s="272">
        <v>100</v>
      </c>
      <c r="F8" s="377">
        <f>E8</f>
        <v>100</v>
      </c>
      <c r="G8" s="541">
        <f>F8/E8-1</f>
        <v>0</v>
      </c>
    </row>
    <row r="9" spans="2:7">
      <c r="C9" s="64"/>
      <c r="E9" s="272"/>
      <c r="F9" s="377"/>
    </row>
    <row r="10" spans="2:7">
      <c r="B10" s="2" t="s">
        <v>7</v>
      </c>
      <c r="C10" s="64" t="s">
        <v>304</v>
      </c>
      <c r="E10" s="27">
        <f>E8*E11</f>
        <v>3200</v>
      </c>
      <c r="F10" s="27">
        <f>F8*F11</f>
        <v>3232</v>
      </c>
      <c r="G10" s="42">
        <f>F10/E10-1</f>
        <v>1.0000000000000009E-2</v>
      </c>
    </row>
    <row r="11" spans="2:7" s="6" customFormat="1">
      <c r="B11" s="9" t="s">
        <v>781</v>
      </c>
      <c r="C11" s="39"/>
      <c r="E11" s="547">
        <v>32</v>
      </c>
      <c r="F11" s="544">
        <f>E11*(1+G11)</f>
        <v>32.32</v>
      </c>
      <c r="G11" s="542">
        <v>0.01</v>
      </c>
    </row>
    <row r="12" spans="2:7">
      <c r="C12" s="64"/>
    </row>
    <row r="13" spans="2:7" ht="13.5">
      <c r="B13" s="2" t="s">
        <v>782</v>
      </c>
      <c r="C13" s="64" t="s">
        <v>304</v>
      </c>
      <c r="E13" s="24">
        <f>E10-E14</f>
        <v>1475.7972347272773</v>
      </c>
      <c r="F13" s="24">
        <f>F18+F19</f>
        <v>1483.1762209009137</v>
      </c>
      <c r="G13" s="42">
        <f>F13/E13-1</f>
        <v>4.9999999999998934E-3</v>
      </c>
    </row>
    <row r="14" spans="2:7">
      <c r="B14" s="12" t="s">
        <v>137</v>
      </c>
      <c r="C14" s="64" t="s">
        <v>304</v>
      </c>
      <c r="E14" s="27">
        <f>E10*E15</f>
        <v>1724.2027652727227</v>
      </c>
      <c r="F14" s="27">
        <f>F10-F13</f>
        <v>1748.8237790990863</v>
      </c>
      <c r="G14" s="42">
        <f>F14/E14-1</f>
        <v>1.4279651049317943E-2</v>
      </c>
    </row>
    <row r="15" spans="2:7" s="6" customFormat="1">
      <c r="B15" s="41" t="s">
        <v>17</v>
      </c>
      <c r="C15" s="39"/>
      <c r="D15" s="43"/>
      <c r="E15" s="542">
        <v>0.53881336414772585</v>
      </c>
      <c r="F15" s="42">
        <f>F14/F10</f>
        <v>0.54109646630541042</v>
      </c>
      <c r="G15" s="555">
        <f>F15-E15</f>
        <v>2.2831021576845689E-3</v>
      </c>
    </row>
    <row r="16" spans="2:7">
      <c r="C16" s="64"/>
    </row>
    <row r="17" spans="2:10">
      <c r="B17" s="65" t="s">
        <v>787</v>
      </c>
      <c r="C17" s="64"/>
    </row>
    <row r="18" spans="2:10">
      <c r="B18" s="13" t="s">
        <v>784</v>
      </c>
      <c r="C18" s="64" t="s">
        <v>304</v>
      </c>
      <c r="D18" s="543">
        <v>0.5</v>
      </c>
      <c r="E18" s="27">
        <f>E13*$D18</f>
        <v>737.89861736363866</v>
      </c>
      <c r="F18" s="27">
        <f>F21*F11</f>
        <v>745.27760353727501</v>
      </c>
    </row>
    <row r="19" spans="2:10">
      <c r="B19" s="13" t="s">
        <v>785</v>
      </c>
      <c r="C19" s="64" t="s">
        <v>304</v>
      </c>
      <c r="D19" s="354">
        <f>1-D18</f>
        <v>0.5</v>
      </c>
      <c r="E19" s="27">
        <f>E13*$D19</f>
        <v>737.89861736363866</v>
      </c>
      <c r="F19" s="27">
        <f>F22</f>
        <v>737.89861736363866</v>
      </c>
    </row>
    <row r="20" spans="2:10">
      <c r="C20" s="64"/>
      <c r="D20" s="354"/>
    </row>
    <row r="21" spans="2:10">
      <c r="B21" s="13" t="s">
        <v>784</v>
      </c>
      <c r="C21" s="64" t="s">
        <v>780</v>
      </c>
      <c r="E21" s="27">
        <f>E18/E11</f>
        <v>23.059331792613708</v>
      </c>
      <c r="F21" s="27">
        <f>E21</f>
        <v>23.059331792613708</v>
      </c>
    </row>
    <row r="22" spans="2:10">
      <c r="B22" s="13" t="s">
        <v>785</v>
      </c>
      <c r="C22" s="64" t="s">
        <v>304</v>
      </c>
      <c r="E22" s="27">
        <f>E19</f>
        <v>737.89861736363866</v>
      </c>
      <c r="F22" s="27">
        <f>E22</f>
        <v>737.89861736363866</v>
      </c>
    </row>
    <row r="23" spans="2:10">
      <c r="B23" s="13"/>
      <c r="C23" s="64"/>
      <c r="E23" s="27"/>
      <c r="F23" s="27"/>
    </row>
    <row r="24" spans="2:10">
      <c r="B24" s="65" t="s">
        <v>787</v>
      </c>
      <c r="C24" s="64"/>
      <c r="E24" s="27"/>
      <c r="F24" s="27"/>
    </row>
    <row r="25" spans="2:10">
      <c r="B25" s="13" t="s">
        <v>793</v>
      </c>
      <c r="C25" s="64" t="s">
        <v>304</v>
      </c>
      <c r="E25" s="272">
        <v>960</v>
      </c>
      <c r="F25" s="377">
        <f>E25</f>
        <v>960</v>
      </c>
      <c r="G25" s="28">
        <f>(F25/E25)-1</f>
        <v>0</v>
      </c>
    </row>
    <row r="26" spans="2:10">
      <c r="B26" s="13" t="s">
        <v>793</v>
      </c>
      <c r="C26" s="64" t="s">
        <v>780</v>
      </c>
      <c r="E26" s="567">
        <f>E25/E11</f>
        <v>30</v>
      </c>
      <c r="F26" s="567">
        <f>F25/F11</f>
        <v>29.702970297029704</v>
      </c>
      <c r="G26" s="42">
        <f>(F26/E26)-1</f>
        <v>-9.9009900990097988E-3</v>
      </c>
    </row>
    <row r="28" spans="2:10">
      <c r="I28" s="65" t="s">
        <v>411</v>
      </c>
    </row>
    <row r="29" spans="2:10" ht="146.25">
      <c r="I29" s="295" t="s">
        <v>786</v>
      </c>
      <c r="J29" s="545" t="s">
        <v>789</v>
      </c>
    </row>
    <row r="30" spans="2:10" ht="56.25">
      <c r="I30" s="295" t="s">
        <v>841</v>
      </c>
      <c r="J30" s="545" t="s">
        <v>788</v>
      </c>
    </row>
  </sheetData>
  <pageMargins left="0.3" right="0.3" top="0.3" bottom="0.5" header="0.3" footer="0.3"/>
  <pageSetup orientation="landscape" r:id="rId1"/>
  <headerFooter>
    <oddFooter>Page &amp;P of &amp;N</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C644-AD95-40EF-A95A-F7DEF4B8260D}">
  <sheetPr>
    <tabColor theme="6" tint="0.39997558519241921"/>
    <pageSetUpPr fitToPage="1"/>
  </sheetPr>
  <dimension ref="B1:AE53"/>
  <sheetViews>
    <sheetView view="pageBreakPreview" topLeftCell="A8" zoomScaleNormal="100" zoomScaleSheetLayoutView="100" workbookViewId="0">
      <selection activeCell="F50" sqref="F50"/>
    </sheetView>
  </sheetViews>
  <sheetFormatPr defaultColWidth="9.140625" defaultRowHeight="11.25"/>
  <cols>
    <col min="1" max="1" width="2.7109375" style="2" customWidth="1"/>
    <col min="2" max="23" width="8.7109375" style="2" customWidth="1"/>
    <col min="24" max="24" width="2.7109375" style="2" customWidth="1"/>
    <col min="25" max="16384" width="9.140625" style="2"/>
  </cols>
  <sheetData>
    <row r="1" spans="2:30" ht="11.25" customHeight="1"/>
    <row r="2" spans="2:30" ht="11.25" customHeight="1">
      <c r="B2" s="355" t="s">
        <v>114</v>
      </c>
      <c r="I2" s="124"/>
      <c r="J2" s="124"/>
      <c r="K2" s="124"/>
      <c r="L2" s="124"/>
      <c r="M2" s="124"/>
      <c r="N2" s="124"/>
      <c r="O2" s="124"/>
      <c r="P2" s="124"/>
      <c r="Q2" s="124"/>
      <c r="R2" s="124"/>
      <c r="S2" s="124"/>
      <c r="T2" s="124"/>
      <c r="U2" s="124"/>
      <c r="V2" s="124"/>
      <c r="W2" s="356">
        <f t="shared" ref="W2" ca="1" si="0">TODAY()</f>
        <v>45796</v>
      </c>
      <c r="X2"/>
    </row>
    <row r="3" spans="2:30" ht="11.25" customHeight="1">
      <c r="B3" s="357" t="s">
        <v>519</v>
      </c>
      <c r="X3"/>
    </row>
    <row r="4" spans="2:30" ht="11.25" customHeight="1">
      <c r="B4" s="7"/>
      <c r="C4" s="270"/>
      <c r="D4" s="270"/>
      <c r="E4" s="270"/>
      <c r="F4" s="270"/>
      <c r="G4" s="270"/>
      <c r="H4" s="270"/>
      <c r="I4" s="270"/>
      <c r="J4" s="270"/>
      <c r="K4" s="270"/>
      <c r="L4" s="270"/>
      <c r="M4" s="270"/>
      <c r="N4" s="270"/>
      <c r="O4" s="270"/>
      <c r="P4" s="270"/>
      <c r="Q4" s="270"/>
      <c r="R4" s="270"/>
      <c r="S4" s="270"/>
      <c r="T4" s="270"/>
      <c r="U4" s="270"/>
      <c r="V4" s="270"/>
      <c r="W4" s="270"/>
      <c r="X4"/>
    </row>
    <row r="5" spans="2:30" ht="11.25" customHeight="1">
      <c r="B5" s="6"/>
      <c r="X5"/>
    </row>
    <row r="6" spans="2:30" ht="13.5" customHeight="1">
      <c r="B6" s="6"/>
      <c r="C6" s="6"/>
      <c r="D6" s="314"/>
      <c r="E6" s="315"/>
      <c r="F6" s="315"/>
      <c r="G6" s="315"/>
      <c r="H6" s="315"/>
      <c r="I6" s="315"/>
      <c r="J6" s="315"/>
      <c r="K6" s="315"/>
      <c r="L6"/>
      <c r="M6"/>
      <c r="N6" s="358" t="s">
        <v>482</v>
      </c>
      <c r="O6" s="3"/>
      <c r="P6" s="358"/>
      <c r="Q6" s="358"/>
      <c r="R6" s="358"/>
      <c r="S6" s="358"/>
      <c r="T6" s="358"/>
      <c r="U6" s="358"/>
      <c r="V6" s="358"/>
      <c r="W6" s="23"/>
      <c r="X6"/>
    </row>
    <row r="7" spans="2:30" ht="40.5">
      <c r="B7" s="359" t="s">
        <v>392</v>
      </c>
      <c r="C7" s="359" t="s">
        <v>391</v>
      </c>
      <c r="D7" s="359" t="s">
        <v>489</v>
      </c>
      <c r="E7" s="359" t="s">
        <v>477</v>
      </c>
      <c r="F7" s="359" t="s">
        <v>478</v>
      </c>
      <c r="G7" s="359" t="s">
        <v>479</v>
      </c>
      <c r="H7" s="359" t="s">
        <v>480</v>
      </c>
      <c r="I7" s="359" t="s">
        <v>481</v>
      </c>
      <c r="J7" s="359" t="s">
        <v>488</v>
      </c>
      <c r="K7" s="359" t="s">
        <v>484</v>
      </c>
      <c r="L7" s="359" t="s">
        <v>483</v>
      </c>
      <c r="M7" s="359" t="s">
        <v>485</v>
      </c>
      <c r="N7" s="359" t="str">
        <f>D7</f>
        <v>T0
Revenue Growth</v>
      </c>
      <c r="O7" s="359" t="str">
        <f t="shared" ref="O7:S7" si="1">E7</f>
        <v>T+1 
Revenue Growth</v>
      </c>
      <c r="P7" s="359" t="str">
        <f t="shared" si="1"/>
        <v>T+2
Revenue Growth</v>
      </c>
      <c r="Q7" s="359" t="str">
        <f t="shared" si="1"/>
        <v>T+3
Revenue Growth</v>
      </c>
      <c r="R7" s="359" t="str">
        <f t="shared" si="1"/>
        <v>T+4
Revenue Growth</v>
      </c>
      <c r="S7" s="359" t="str">
        <f t="shared" si="1"/>
        <v>T+5
Revenue Growth</v>
      </c>
      <c r="T7" s="359" t="str">
        <f t="shared" ref="T7" si="2">J7</f>
        <v>N2Y Revenue
CAGR</v>
      </c>
      <c r="U7" s="359" t="str">
        <f t="shared" ref="U7" si="3">K7</f>
        <v>N3Y Revenue
CAGR</v>
      </c>
      <c r="V7" s="359" t="str">
        <f t="shared" ref="V7" si="4">L7</f>
        <v>N4Y Revenue
CAGR</v>
      </c>
      <c r="W7" s="359" t="str">
        <f t="shared" ref="W7" si="5">M7</f>
        <v>N5Y Revenue
CAGR</v>
      </c>
      <c r="X7"/>
      <c r="Y7" s="537" t="s">
        <v>768</v>
      </c>
      <c r="Z7" s="537" t="s">
        <v>769</v>
      </c>
      <c r="AA7" s="537" t="s">
        <v>771</v>
      </c>
      <c r="AB7" s="537" t="s">
        <v>772</v>
      </c>
    </row>
    <row r="8" spans="2:30" ht="11.25" customHeight="1">
      <c r="B8" s="364" t="s">
        <v>159</v>
      </c>
      <c r="C8" s="360">
        <v>0.81539804053786047</v>
      </c>
      <c r="D8" s="360">
        <v>0.14785894779975872</v>
      </c>
      <c r="E8" s="361">
        <f t="shared" ref="E8" si="6">D9</f>
        <v>0.44910951568759661</v>
      </c>
      <c r="F8" s="361">
        <f t="shared" ref="F8" si="7">E9</f>
        <v>1.274597287421134</v>
      </c>
      <c r="G8" s="361">
        <f t="shared" ref="G8" si="8">F9</f>
        <v>-0.24256007894198484</v>
      </c>
      <c r="H8" s="361">
        <f t="shared" ref="H8" si="9">G9</f>
        <v>0.2892798983198952</v>
      </c>
      <c r="I8" s="361">
        <f t="shared" ref="I8" si="10">H9</f>
        <v>0.25074398802225484</v>
      </c>
      <c r="J8" s="361">
        <f>((1+E8)*(1+F8))^(1/2)-1</f>
        <v>0.81552762952238234</v>
      </c>
      <c r="K8" s="361">
        <f>((1+E8)*(1+F8)*(1+G8))^(1/3)-1</f>
        <v>0.35659841522736047</v>
      </c>
      <c r="L8" s="361">
        <f>((1+E8)*(1+F8)*(1+G8)*(1+H8))^(1/4)-1</f>
        <v>0.33944622288340898</v>
      </c>
      <c r="M8" s="361">
        <f>((1+E8)*(1+F8)*(1+G8)*(1+H8)*(1+I8))^(1/5)-1</f>
        <v>0.3212162614727494</v>
      </c>
      <c r="N8" s="361">
        <f>D$45+(D$46*$C8)</f>
        <v>0.43730393363587522</v>
      </c>
      <c r="O8" s="361">
        <f t="shared" ref="O8:S23" si="11">E$45+(E$46*$C8)</f>
        <v>0.43814634854367063</v>
      </c>
      <c r="P8" s="361">
        <f t="shared" si="11"/>
        <v>0.64053423472270188</v>
      </c>
      <c r="Q8" s="361">
        <f t="shared" si="11"/>
        <v>8.7374282002186068E-2</v>
      </c>
      <c r="R8" s="361">
        <f t="shared" si="11"/>
        <v>0.23187788904662321</v>
      </c>
      <c r="S8" s="361">
        <f t="shared" si="11"/>
        <v>0.16009141667478272</v>
      </c>
      <c r="T8" s="361">
        <f t="shared" ref="T8:T33" si="12">J$45+(J$46*$C8)</f>
        <v>0.48113700533485082</v>
      </c>
      <c r="U8" s="361">
        <f t="shared" ref="U8:U33" si="13">K$45+(K$46*$C8)</f>
        <v>0.30580379374543365</v>
      </c>
      <c r="V8" s="361">
        <f t="shared" ref="V8:V33" si="14">L$45+(L$46*$C8)</f>
        <v>0.28667777796122051</v>
      </c>
      <c r="W8" s="361">
        <f t="shared" ref="W8:W33" si="15">M$45+(M$46*$C8)</f>
        <v>0.26157993616775804</v>
      </c>
      <c r="Y8" s="354"/>
      <c r="Z8" s="354"/>
      <c r="AA8" s="354"/>
      <c r="AB8" s="354"/>
    </row>
    <row r="9" spans="2:30" ht="11.25" customHeight="1">
      <c r="B9" s="364" t="s">
        <v>160</v>
      </c>
      <c r="C9" s="360">
        <v>0.52670836355673556</v>
      </c>
      <c r="D9" s="360">
        <v>0.44910951568759661</v>
      </c>
      <c r="E9" s="361">
        <f t="shared" ref="E9:F31" si="16">D10</f>
        <v>1.274597287421134</v>
      </c>
      <c r="F9" s="361">
        <f t="shared" si="16"/>
        <v>-0.24256007894198484</v>
      </c>
      <c r="G9" s="361">
        <f t="shared" ref="G9:I23" si="17">F10</f>
        <v>0.2892798983198952</v>
      </c>
      <c r="H9" s="361">
        <f t="shared" si="17"/>
        <v>0.25074398802225484</v>
      </c>
      <c r="I9" s="361">
        <f t="shared" si="17"/>
        <v>0.26707783858874756</v>
      </c>
      <c r="J9" s="361">
        <f>((1+E9)*(1+F9))^(1/2)-1</f>
        <v>0.31258172691190511</v>
      </c>
      <c r="K9" s="361">
        <f>((1+E9)*(1+F9)*(1+G9))^(1/3)-1</f>
        <v>0.30476802866760822</v>
      </c>
      <c r="L9" s="361">
        <f>((1+E9)*(1+F9)*(1+G9)*(1+H9))^(1/4)-1</f>
        <v>0.29104709805934093</v>
      </c>
      <c r="M9" s="361">
        <f>((1+E9)*(1+F9)*(1+G9)*(1+H9)*(1+I9))^(1/5)-1</f>
        <v>0.2862172437815822</v>
      </c>
      <c r="N9" s="361">
        <f t="shared" ref="N9:N33" si="18">D$45+(D$46*$C9)</f>
        <v>0.26560475757210938</v>
      </c>
      <c r="O9" s="361">
        <f t="shared" si="11"/>
        <v>0.26679628487569429</v>
      </c>
      <c r="P9" s="361">
        <f t="shared" si="11"/>
        <v>0.32333288637740154</v>
      </c>
      <c r="Q9" s="361">
        <f t="shared" si="11"/>
        <v>0.11028646543153942</v>
      </c>
      <c r="R9" s="361">
        <f t="shared" si="11"/>
        <v>0.16789932870206117</v>
      </c>
      <c r="S9" s="361">
        <f t="shared" si="11"/>
        <v>0.14004354573231234</v>
      </c>
      <c r="T9" s="361">
        <f t="shared" si="12"/>
        <v>0.26416212572747005</v>
      </c>
      <c r="U9" s="361">
        <f t="shared" si="13"/>
        <v>0.19303537639343776</v>
      </c>
      <c r="V9" s="361">
        <f t="shared" si="14"/>
        <v>0.18539354257237675</v>
      </c>
      <c r="W9" s="361">
        <f t="shared" si="15"/>
        <v>0.17648359915768519</v>
      </c>
      <c r="Y9" s="354"/>
      <c r="Z9" s="354"/>
      <c r="AA9" s="354"/>
      <c r="AB9" s="354"/>
    </row>
    <row r="10" spans="2:30" ht="11.25" customHeight="1">
      <c r="B10" s="364" t="s">
        <v>161</v>
      </c>
      <c r="C10" s="360">
        <v>0.6243276092371749</v>
      </c>
      <c r="D10" s="360">
        <v>1.274597287421134</v>
      </c>
      <c r="E10" s="361">
        <f t="shared" si="16"/>
        <v>-0.24256007894198484</v>
      </c>
      <c r="F10" s="361">
        <f t="shared" si="16"/>
        <v>0.2892798983198952</v>
      </c>
      <c r="G10" s="361">
        <f t="shared" si="17"/>
        <v>0.25074398802225484</v>
      </c>
      <c r="H10" s="361">
        <f t="shared" si="17"/>
        <v>0.26707783858874756</v>
      </c>
      <c r="I10" s="361">
        <f t="shared" si="17"/>
        <v>3.6358970969585513E-2</v>
      </c>
      <c r="J10" s="361">
        <f t="shared" ref="J10:J31" si="19">((1+E10)*(1+F10))^(1/2)-1</f>
        <v>-1.1793511251263267E-2</v>
      </c>
      <c r="K10" s="361">
        <f t="shared" ref="K10:K30" si="20">((1+E10)*(1+F10)*(1+G10))^(1/3)-1</f>
        <v>6.8943150603680614E-2</v>
      </c>
      <c r="L10" s="361">
        <f t="shared" ref="L10:L29" si="21">((1+E10)*(1+F10)*(1+G10)*(1+H10))^(1/4)-1</f>
        <v>0.11536440449039054</v>
      </c>
      <c r="M10" s="361">
        <f t="shared" ref="M10:M28" si="22">((1+E10)*(1+F10)*(1+G10)*(1+H10)*(1+I10))^(1/5)-1</f>
        <v>9.9095593098663226E-2</v>
      </c>
      <c r="N10" s="361">
        <f t="shared" si="18"/>
        <v>0.32366413893472612</v>
      </c>
      <c r="O10" s="361">
        <f t="shared" si="11"/>
        <v>0.32473761529485146</v>
      </c>
      <c r="P10" s="361">
        <f t="shared" si="11"/>
        <v>0.43059323831686847</v>
      </c>
      <c r="Q10" s="361">
        <f t="shared" si="11"/>
        <v>0.10253880335143126</v>
      </c>
      <c r="R10" s="361">
        <f t="shared" si="11"/>
        <v>0.18953341990292166</v>
      </c>
      <c r="S10" s="361">
        <f t="shared" si="11"/>
        <v>0.1468226521394691</v>
      </c>
      <c r="T10" s="361">
        <f t="shared" si="12"/>
        <v>0.33753130297124623</v>
      </c>
      <c r="U10" s="361">
        <f t="shared" si="13"/>
        <v>0.23116756024426022</v>
      </c>
      <c r="V10" s="361">
        <f t="shared" si="14"/>
        <v>0.21964239677933003</v>
      </c>
      <c r="W10" s="361">
        <f t="shared" si="15"/>
        <v>0.20525858105506317</v>
      </c>
      <c r="Y10" s="354">
        <f t="shared" ref="Y10" si="23">C9</f>
        <v>0.52670836355673556</v>
      </c>
      <c r="Z10" s="354">
        <f>C8</f>
        <v>0.81539804053786047</v>
      </c>
      <c r="AA10" s="354">
        <f t="shared" ref="AA10" si="24">D9</f>
        <v>0.44910951568759661</v>
      </c>
      <c r="AB10" s="354">
        <f>D8</f>
        <v>0.14785894779975872</v>
      </c>
      <c r="AC10" s="354" t="e">
        <f>(#REF!+(#REF!*'Capex Predicting Rev Growth'!Z10)+(#REF!*'Capex Predicting Rev Growth'!AA10))</f>
        <v>#REF!</v>
      </c>
      <c r="AD10" s="354" t="e">
        <f>AC10-D10</f>
        <v>#REF!</v>
      </c>
    </row>
    <row r="11" spans="2:30" ht="11.25" customHeight="1">
      <c r="B11" s="364" t="s">
        <v>162</v>
      </c>
      <c r="C11" s="360">
        <v>0.55765976883663659</v>
      </c>
      <c r="D11" s="360">
        <v>-0.24256007894198484</v>
      </c>
      <c r="E11" s="361">
        <f t="shared" si="16"/>
        <v>0.2892798983198952</v>
      </c>
      <c r="F11" s="361">
        <f t="shared" si="16"/>
        <v>0.25074398802225484</v>
      </c>
      <c r="G11" s="361">
        <f t="shared" si="17"/>
        <v>0.26707783858874756</v>
      </c>
      <c r="H11" s="361">
        <f t="shared" si="17"/>
        <v>3.6358970969585513E-2</v>
      </c>
      <c r="I11" s="361">
        <f t="shared" si="17"/>
        <v>0.19073021589480987</v>
      </c>
      <c r="J11" s="361">
        <f t="shared" si="19"/>
        <v>0.26986577310421</v>
      </c>
      <c r="K11" s="361">
        <f t="shared" si="20"/>
        <v>0.26893578068081125</v>
      </c>
      <c r="L11" s="361">
        <f t="shared" si="21"/>
        <v>0.20630543746161001</v>
      </c>
      <c r="M11" s="361">
        <f t="shared" si="22"/>
        <v>0.2031741794116424</v>
      </c>
      <c r="N11" s="361">
        <f t="shared" si="18"/>
        <v>0.28401321207643226</v>
      </c>
      <c r="O11" s="361">
        <f t="shared" si="11"/>
        <v>0.28516730984889116</v>
      </c>
      <c r="P11" s="361">
        <f t="shared" si="11"/>
        <v>0.35734112522623418</v>
      </c>
      <c r="Q11" s="361">
        <f t="shared" si="11"/>
        <v>0.10782997206958345</v>
      </c>
      <c r="R11" s="361">
        <f t="shared" si="11"/>
        <v>0.17475868845179898</v>
      </c>
      <c r="S11" s="361">
        <f t="shared" si="11"/>
        <v>0.14219294637949975</v>
      </c>
      <c r="T11" s="361">
        <f t="shared" si="12"/>
        <v>0.28742474288965164</v>
      </c>
      <c r="U11" s="361">
        <f t="shared" si="13"/>
        <v>0.20512566318420117</v>
      </c>
      <c r="V11" s="361">
        <f t="shared" si="14"/>
        <v>0.19625257103077903</v>
      </c>
      <c r="W11" s="361">
        <f t="shared" si="15"/>
        <v>0.18560706779770175</v>
      </c>
      <c r="Y11" s="354">
        <f t="shared" ref="Y11:Y34" si="25">C10</f>
        <v>0.6243276092371749</v>
      </c>
      <c r="Z11" s="354">
        <f t="shared" ref="Z11:Z34" si="26">C9</f>
        <v>0.52670836355673556</v>
      </c>
      <c r="AA11" s="354">
        <f t="shared" ref="AA11:AA34" si="27">D10</f>
        <v>1.274597287421134</v>
      </c>
      <c r="AB11" s="354">
        <f t="shared" ref="AB11:AB34" si="28">D9</f>
        <v>0.44910951568759661</v>
      </c>
      <c r="AC11" s="354" t="e">
        <f>(#REF!+(#REF!*'Capex Predicting Rev Growth'!Z11)+(#REF!*'Capex Predicting Rev Growth'!AA11))</f>
        <v>#REF!</v>
      </c>
      <c r="AD11" s="354" t="e">
        <f t="shared" ref="AD11:AD34" si="29">AC11-D11</f>
        <v>#REF!</v>
      </c>
    </row>
    <row r="12" spans="2:30">
      <c r="B12" s="364" t="s">
        <v>163</v>
      </c>
      <c r="C12" s="360">
        <v>0.34032445887579249</v>
      </c>
      <c r="D12" s="360">
        <v>0.2892798983198952</v>
      </c>
      <c r="E12" s="361">
        <f t="shared" si="16"/>
        <v>0.25074398802225484</v>
      </c>
      <c r="F12" s="361">
        <f t="shared" si="16"/>
        <v>0.26707783858874756</v>
      </c>
      <c r="G12" s="361">
        <f t="shared" si="17"/>
        <v>3.6358970969585513E-2</v>
      </c>
      <c r="H12" s="361">
        <f t="shared" si="17"/>
        <v>0.19073021589480987</v>
      </c>
      <c r="I12" s="361">
        <f t="shared" si="17"/>
        <v>1.6455213653133072E-2</v>
      </c>
      <c r="J12" s="361">
        <f t="shared" si="19"/>
        <v>0.25888442240386356</v>
      </c>
      <c r="K12" s="361">
        <f t="shared" si="20"/>
        <v>0.17985139423539165</v>
      </c>
      <c r="L12" s="361">
        <f t="shared" si="21"/>
        <v>0.18256174601879804</v>
      </c>
      <c r="M12" s="361">
        <f t="shared" si="22"/>
        <v>0.14729925213088313</v>
      </c>
      <c r="N12" s="361">
        <f t="shared" si="18"/>
        <v>0.15475229066052756</v>
      </c>
      <c r="O12" s="361">
        <f t="shared" si="11"/>
        <v>0.15616921200029765</v>
      </c>
      <c r="P12" s="361">
        <f t="shared" si="11"/>
        <v>0.11854126898083434</v>
      </c>
      <c r="Q12" s="361">
        <f t="shared" si="11"/>
        <v>0.12507903528365813</v>
      </c>
      <c r="R12" s="361">
        <f t="shared" si="11"/>
        <v>0.12659347385618641</v>
      </c>
      <c r="S12" s="361">
        <f t="shared" si="11"/>
        <v>0.12710023405635815</v>
      </c>
      <c r="T12" s="361">
        <f t="shared" si="12"/>
        <v>0.12407874726449425</v>
      </c>
      <c r="U12" s="361">
        <f t="shared" si="13"/>
        <v>0.12022980131868571</v>
      </c>
      <c r="V12" s="361">
        <f t="shared" si="14"/>
        <v>0.12000238805724416</v>
      </c>
      <c r="W12" s="361">
        <f t="shared" si="15"/>
        <v>0.12154367982340354</v>
      </c>
      <c r="Y12" s="354">
        <f t="shared" si="25"/>
        <v>0.55765976883663659</v>
      </c>
      <c r="Z12" s="354">
        <f t="shared" si="26"/>
        <v>0.6243276092371749</v>
      </c>
      <c r="AA12" s="354">
        <f t="shared" si="27"/>
        <v>-0.24256007894198484</v>
      </c>
      <c r="AB12" s="354">
        <f t="shared" si="28"/>
        <v>1.274597287421134</v>
      </c>
      <c r="AC12" s="354" t="e">
        <f>(#REF!+(#REF!*'Capex Predicting Rev Growth'!Z12)+(#REF!*'Capex Predicting Rev Growth'!AA12))</f>
        <v>#REF!</v>
      </c>
      <c r="AD12" s="354" t="e">
        <f t="shared" si="29"/>
        <v>#REF!</v>
      </c>
    </row>
    <row r="13" spans="2:30">
      <c r="B13" s="364" t="s">
        <v>164</v>
      </c>
      <c r="C13" s="360">
        <v>0.186559407281881</v>
      </c>
      <c r="D13" s="360">
        <v>0.25074398802225484</v>
      </c>
      <c r="E13" s="361">
        <f t="shared" si="16"/>
        <v>0.26707783858874756</v>
      </c>
      <c r="F13" s="361">
        <f t="shared" si="16"/>
        <v>3.6358970969585513E-2</v>
      </c>
      <c r="G13" s="361">
        <f t="shared" si="17"/>
        <v>0.19073021589480987</v>
      </c>
      <c r="H13" s="361">
        <f t="shared" si="17"/>
        <v>1.6455213653133072E-2</v>
      </c>
      <c r="I13" s="361">
        <f t="shared" si="17"/>
        <v>3.2631807333477925E-2</v>
      </c>
      <c r="J13" s="361">
        <f t="shared" si="19"/>
        <v>0.1459264744904889</v>
      </c>
      <c r="K13" s="361">
        <f t="shared" si="20"/>
        <v>0.16067053687676802</v>
      </c>
      <c r="L13" s="361">
        <f t="shared" si="21"/>
        <v>0.12280356297507722</v>
      </c>
      <c r="M13" s="361">
        <f t="shared" si="22"/>
        <v>0.10416029301523144</v>
      </c>
      <c r="N13" s="361">
        <f t="shared" si="18"/>
        <v>6.3299998558641213E-2</v>
      </c>
      <c r="O13" s="361">
        <f t="shared" si="11"/>
        <v>6.490286795901401E-2</v>
      </c>
      <c r="P13" s="361">
        <f t="shared" si="11"/>
        <v>-5.0409980693265993E-2</v>
      </c>
      <c r="Q13" s="361">
        <f t="shared" si="11"/>
        <v>0.13728277288863674</v>
      </c>
      <c r="R13" s="361">
        <f t="shared" si="11"/>
        <v>9.2516513657401878E-2</v>
      </c>
      <c r="S13" s="361">
        <f t="shared" si="11"/>
        <v>0.11642211787966304</v>
      </c>
      <c r="T13" s="361">
        <f t="shared" si="12"/>
        <v>8.51121500530308E-3</v>
      </c>
      <c r="U13" s="361">
        <f t="shared" si="13"/>
        <v>6.016585412937521E-2</v>
      </c>
      <c r="V13" s="361">
        <f t="shared" si="14"/>
        <v>6.6055271405637342E-2</v>
      </c>
      <c r="W13" s="361">
        <f t="shared" si="15"/>
        <v>7.6218738565936139E-2</v>
      </c>
      <c r="Y13" s="354">
        <f t="shared" si="25"/>
        <v>0.34032445887579249</v>
      </c>
      <c r="Z13" s="354">
        <f t="shared" si="26"/>
        <v>0.55765976883663659</v>
      </c>
      <c r="AA13" s="354">
        <f t="shared" si="27"/>
        <v>0.2892798983198952</v>
      </c>
      <c r="AB13" s="354">
        <f t="shared" si="28"/>
        <v>-0.24256007894198484</v>
      </c>
      <c r="AC13" s="354" t="e">
        <f>(#REF!+(#REF!*'Capex Predicting Rev Growth'!Z13)+(#REF!*'Capex Predicting Rev Growth'!AA13))</f>
        <v>#REF!</v>
      </c>
      <c r="AD13" s="354" t="e">
        <f t="shared" si="29"/>
        <v>#REF!</v>
      </c>
    </row>
    <row r="14" spans="2:30">
      <c r="B14" s="364" t="s">
        <v>165</v>
      </c>
      <c r="C14" s="360">
        <v>0.31528344212773074</v>
      </c>
      <c r="D14" s="360">
        <v>0.26707783858874756</v>
      </c>
      <c r="E14" s="361">
        <f t="shared" si="16"/>
        <v>3.6358970969585513E-2</v>
      </c>
      <c r="F14" s="361">
        <f t="shared" si="16"/>
        <v>0.19073021589480987</v>
      </c>
      <c r="G14" s="361">
        <f t="shared" si="17"/>
        <v>1.6455213653133072E-2</v>
      </c>
      <c r="H14" s="361">
        <f t="shared" si="17"/>
        <v>3.2631807333477925E-2</v>
      </c>
      <c r="I14" s="361">
        <f t="shared" si="17"/>
        <v>-0.11230707352067182</v>
      </c>
      <c r="J14" s="361">
        <f t="shared" si="19"/>
        <v>0.11086630214762461</v>
      </c>
      <c r="K14" s="361">
        <f t="shared" si="20"/>
        <v>7.8459758262141355E-2</v>
      </c>
      <c r="L14" s="361">
        <f t="shared" si="21"/>
        <v>6.6815538912603945E-2</v>
      </c>
      <c r="M14" s="361">
        <f t="shared" si="22"/>
        <v>2.8309902770984552E-2</v>
      </c>
      <c r="N14" s="361">
        <f t="shared" si="18"/>
        <v>0.13985906001784587</v>
      </c>
      <c r="O14" s="361">
        <f t="shared" si="11"/>
        <v>0.14130626345651659</v>
      </c>
      <c r="P14" s="361">
        <f t="shared" si="11"/>
        <v>9.1027142533764427E-2</v>
      </c>
      <c r="Q14" s="361">
        <f t="shared" si="11"/>
        <v>0.12706644396064598</v>
      </c>
      <c r="R14" s="361">
        <f t="shared" si="11"/>
        <v>0.12104395709528817</v>
      </c>
      <c r="S14" s="361">
        <f t="shared" si="11"/>
        <v>0.12536127658034765</v>
      </c>
      <c r="T14" s="361">
        <f t="shared" si="12"/>
        <v>0.10525829046474405</v>
      </c>
      <c r="U14" s="361">
        <f t="shared" si="13"/>
        <v>0.11044823982645273</v>
      </c>
      <c r="V14" s="361">
        <f t="shared" si="14"/>
        <v>0.11121696745887447</v>
      </c>
      <c r="W14" s="361">
        <f t="shared" si="15"/>
        <v>0.11416240168921081</v>
      </c>
      <c r="Y14" s="354">
        <f t="shared" si="25"/>
        <v>0.186559407281881</v>
      </c>
      <c r="Z14" s="354">
        <f t="shared" si="26"/>
        <v>0.34032445887579249</v>
      </c>
      <c r="AA14" s="354">
        <f t="shared" si="27"/>
        <v>0.25074398802225484</v>
      </c>
      <c r="AB14" s="354">
        <f t="shared" si="28"/>
        <v>0.2892798983198952</v>
      </c>
      <c r="AC14" s="354" t="e">
        <f>(#REF!+(#REF!*'Capex Predicting Rev Growth'!Z14)+(#REF!*'Capex Predicting Rev Growth'!AA14))</f>
        <v>#REF!</v>
      </c>
      <c r="AD14" s="354" t="e">
        <f t="shared" si="29"/>
        <v>#REF!</v>
      </c>
    </row>
    <row r="15" spans="2:30">
      <c r="B15" s="364" t="s">
        <v>166</v>
      </c>
      <c r="C15" s="360">
        <v>0.29966049556393376</v>
      </c>
      <c r="D15" s="360">
        <v>3.6358970969585513E-2</v>
      </c>
      <c r="E15" s="361">
        <f t="shared" si="16"/>
        <v>0.19073021589480987</v>
      </c>
      <c r="F15" s="361">
        <f t="shared" si="16"/>
        <v>1.6455213653133072E-2</v>
      </c>
      <c r="G15" s="361">
        <f t="shared" si="17"/>
        <v>3.2631807333477925E-2</v>
      </c>
      <c r="H15" s="361">
        <f t="shared" si="17"/>
        <v>-0.11230707352067182</v>
      </c>
      <c r="I15" s="361">
        <f t="shared" si="17"/>
        <v>0.4185945858214255</v>
      </c>
      <c r="J15" s="361">
        <f t="shared" si="19"/>
        <v>0.10014723378309687</v>
      </c>
      <c r="K15" s="361">
        <f t="shared" si="20"/>
        <v>7.7165346945792912E-2</v>
      </c>
      <c r="L15" s="361">
        <f t="shared" si="21"/>
        <v>2.6307422648134793E-2</v>
      </c>
      <c r="M15" s="361">
        <f t="shared" si="22"/>
        <v>9.4948355145558549E-2</v>
      </c>
      <c r="N15" s="361">
        <f t="shared" si="18"/>
        <v>0.13056725893668852</v>
      </c>
      <c r="O15" s="361">
        <f t="shared" si="11"/>
        <v>0.13203335520298373</v>
      </c>
      <c r="P15" s="361">
        <f t="shared" si="11"/>
        <v>7.3861237029332449E-2</v>
      </c>
      <c r="Q15" s="361">
        <f t="shared" si="11"/>
        <v>0.12830637682253387</v>
      </c>
      <c r="R15" s="361">
        <f t="shared" si="11"/>
        <v>0.11758164545344479</v>
      </c>
      <c r="S15" s="361">
        <f t="shared" si="11"/>
        <v>0.12427635099614467</v>
      </c>
      <c r="T15" s="361">
        <f t="shared" si="12"/>
        <v>9.351631553429296E-2</v>
      </c>
      <c r="U15" s="361">
        <f t="shared" si="13"/>
        <v>0.10434557977709677</v>
      </c>
      <c r="V15" s="361">
        <f t="shared" si="14"/>
        <v>0.10573579399336673</v>
      </c>
      <c r="W15" s="361">
        <f t="shared" si="15"/>
        <v>0.10955726464452822</v>
      </c>
      <c r="Y15" s="354">
        <f t="shared" si="25"/>
        <v>0.31528344212773074</v>
      </c>
      <c r="Z15" s="354">
        <f t="shared" si="26"/>
        <v>0.186559407281881</v>
      </c>
      <c r="AA15" s="354">
        <f t="shared" si="27"/>
        <v>0.26707783858874756</v>
      </c>
      <c r="AB15" s="354">
        <f t="shared" si="28"/>
        <v>0.25074398802225484</v>
      </c>
      <c r="AC15" s="354" t="e">
        <f>(#REF!+(#REF!*'Capex Predicting Rev Growth'!Z15)+(#REF!*'Capex Predicting Rev Growth'!AA15))</f>
        <v>#REF!</v>
      </c>
      <c r="AD15" s="354" t="e">
        <f t="shared" si="29"/>
        <v>#REF!</v>
      </c>
    </row>
    <row r="16" spans="2:30">
      <c r="B16" s="364" t="s">
        <v>167</v>
      </c>
      <c r="C16" s="360">
        <v>0.24806321221649175</v>
      </c>
      <c r="D16" s="360">
        <v>0.19073021589480987</v>
      </c>
      <c r="E16" s="361">
        <f t="shared" si="16"/>
        <v>1.6455213653133072E-2</v>
      </c>
      <c r="F16" s="361">
        <f t="shared" si="16"/>
        <v>3.2631807333477925E-2</v>
      </c>
      <c r="G16" s="361">
        <f t="shared" si="17"/>
        <v>-0.11230707352067182</v>
      </c>
      <c r="H16" s="361">
        <f t="shared" si="17"/>
        <v>0.4185945858214255</v>
      </c>
      <c r="I16" s="361">
        <f t="shared" si="17"/>
        <v>1.7979301040668583E-2</v>
      </c>
      <c r="J16" s="361">
        <f t="shared" si="19"/>
        <v>2.4511583315762753E-2</v>
      </c>
      <c r="K16" s="361">
        <f t="shared" si="20"/>
        <v>-2.3290298011056865E-2</v>
      </c>
      <c r="L16" s="361">
        <f t="shared" si="21"/>
        <v>7.2231843244423111E-2</v>
      </c>
      <c r="M16" s="361">
        <f t="shared" si="22"/>
        <v>6.1154817685433072E-2</v>
      </c>
      <c r="N16" s="361">
        <f t="shared" si="18"/>
        <v>9.9879597602460457E-2</v>
      </c>
      <c r="O16" s="361">
        <f t="shared" si="11"/>
        <v>0.10140809045804153</v>
      </c>
      <c r="P16" s="361">
        <f t="shared" si="11"/>
        <v>1.7168084645386272E-2</v>
      </c>
      <c r="Q16" s="361">
        <f t="shared" si="11"/>
        <v>0.13240145369842163</v>
      </c>
      <c r="R16" s="361">
        <f t="shared" si="11"/>
        <v>0.10614680669931914</v>
      </c>
      <c r="S16" s="361">
        <f t="shared" si="11"/>
        <v>0.12069321048225917</v>
      </c>
      <c r="T16" s="361">
        <f t="shared" si="12"/>
        <v>5.4736562619500939E-2</v>
      </c>
      <c r="U16" s="361">
        <f t="shared" si="13"/>
        <v>8.4190567503713828E-2</v>
      </c>
      <c r="V16" s="361">
        <f t="shared" si="14"/>
        <v>8.7633340706376253E-2</v>
      </c>
      <c r="W16" s="361">
        <f t="shared" si="15"/>
        <v>9.4348061951682313E-2</v>
      </c>
      <c r="Y16" s="354">
        <f t="shared" si="25"/>
        <v>0.29966049556393376</v>
      </c>
      <c r="Z16" s="354">
        <f t="shared" si="26"/>
        <v>0.31528344212773074</v>
      </c>
      <c r="AA16" s="354">
        <f t="shared" si="27"/>
        <v>3.6358970969585513E-2</v>
      </c>
      <c r="AB16" s="354">
        <f t="shared" si="28"/>
        <v>0.26707783858874756</v>
      </c>
      <c r="AC16" s="354" t="e">
        <f>(#REF!+(#REF!*'Capex Predicting Rev Growth'!Z16)+(#REF!*'Capex Predicting Rev Growth'!AA16))</f>
        <v>#REF!</v>
      </c>
      <c r="AD16" s="354" t="e">
        <f t="shared" si="29"/>
        <v>#REF!</v>
      </c>
    </row>
    <row r="17" spans="2:30">
      <c r="B17" s="364" t="s">
        <v>168</v>
      </c>
      <c r="C17" s="360">
        <v>0.26036326442054364</v>
      </c>
      <c r="D17" s="360">
        <v>1.6455213653133072E-2</v>
      </c>
      <c r="E17" s="361">
        <f t="shared" si="16"/>
        <v>3.2631807333477925E-2</v>
      </c>
      <c r="F17" s="361">
        <f t="shared" si="16"/>
        <v>-0.11230707352067182</v>
      </c>
      <c r="G17" s="361">
        <f t="shared" si="17"/>
        <v>0.4185945858214255</v>
      </c>
      <c r="H17" s="361">
        <f t="shared" si="17"/>
        <v>1.7979301040668583E-2</v>
      </c>
      <c r="I17" s="361">
        <f t="shared" si="17"/>
        <v>0.18653136056157971</v>
      </c>
      <c r="J17" s="361">
        <f t="shared" si="19"/>
        <v>-4.2576399378262297E-2</v>
      </c>
      <c r="K17" s="361">
        <f t="shared" si="20"/>
        <v>9.1496092081190916E-2</v>
      </c>
      <c r="L17" s="361">
        <f t="shared" si="21"/>
        <v>7.2633547359188588E-2</v>
      </c>
      <c r="M17" s="361">
        <f t="shared" si="22"/>
        <v>9.4502971088546328E-2</v>
      </c>
      <c r="N17" s="361">
        <f t="shared" si="18"/>
        <v>0.10719509586017992</v>
      </c>
      <c r="O17" s="361">
        <f t="shared" si="11"/>
        <v>0.10870871426393369</v>
      </c>
      <c r="P17" s="361">
        <f t="shared" si="11"/>
        <v>3.0682918929183456E-2</v>
      </c>
      <c r="Q17" s="361">
        <f t="shared" si="11"/>
        <v>0.13142524611373446</v>
      </c>
      <c r="R17" s="361">
        <f t="shared" si="11"/>
        <v>0.10887270822931963</v>
      </c>
      <c r="S17" s="361">
        <f t="shared" si="11"/>
        <v>0.12154737978180291</v>
      </c>
      <c r="T17" s="361">
        <f t="shared" si="12"/>
        <v>6.3981099431647315E-2</v>
      </c>
      <c r="U17" s="361">
        <f t="shared" si="13"/>
        <v>8.8995233312697875E-2</v>
      </c>
      <c r="V17" s="361">
        <f t="shared" si="14"/>
        <v>9.1948705896284691E-2</v>
      </c>
      <c r="W17" s="361">
        <f t="shared" si="15"/>
        <v>9.7973717702670327E-2</v>
      </c>
      <c r="Y17" s="354">
        <f t="shared" si="25"/>
        <v>0.24806321221649175</v>
      </c>
      <c r="Z17" s="354">
        <f t="shared" si="26"/>
        <v>0.29966049556393376</v>
      </c>
      <c r="AA17" s="354">
        <f t="shared" si="27"/>
        <v>0.19073021589480987</v>
      </c>
      <c r="AB17" s="354">
        <f t="shared" si="28"/>
        <v>3.6358970969585513E-2</v>
      </c>
      <c r="AC17" s="354" t="e">
        <f>(#REF!+(#REF!*'Capex Predicting Rev Growth'!Z17)+(#REF!*'Capex Predicting Rev Growth'!AA17))</f>
        <v>#REF!</v>
      </c>
      <c r="AD17" s="354" t="e">
        <f t="shared" si="29"/>
        <v>#REF!</v>
      </c>
    </row>
    <row r="18" spans="2:30">
      <c r="B18" s="364" t="s">
        <v>169</v>
      </c>
      <c r="C18" s="360">
        <v>0.17776250307661831</v>
      </c>
      <c r="D18" s="360">
        <v>3.2631807333477925E-2</v>
      </c>
      <c r="E18" s="361">
        <f t="shared" si="16"/>
        <v>-0.11230707352067182</v>
      </c>
      <c r="F18" s="361">
        <f t="shared" si="16"/>
        <v>0.4185945858214255</v>
      </c>
      <c r="G18" s="361">
        <f t="shared" si="17"/>
        <v>1.7979301040668583E-2</v>
      </c>
      <c r="H18" s="361">
        <f t="shared" si="17"/>
        <v>0.18653136056157971</v>
      </c>
      <c r="I18" s="361">
        <f t="shared" si="17"/>
        <v>0.178154693188882</v>
      </c>
      <c r="J18" s="361">
        <f t="shared" si="19"/>
        <v>0.12217484349612451</v>
      </c>
      <c r="K18" s="361">
        <f t="shared" si="20"/>
        <v>8.630889302731326E-2</v>
      </c>
      <c r="L18" s="361">
        <f t="shared" si="21"/>
        <v>0.11054153601657135</v>
      </c>
      <c r="M18" s="361">
        <f t="shared" si="22"/>
        <v>0.12374638774371083</v>
      </c>
      <c r="N18" s="361">
        <f t="shared" si="18"/>
        <v>5.8068009594746825E-2</v>
      </c>
      <c r="O18" s="361">
        <f t="shared" si="11"/>
        <v>5.9681517090443101E-2</v>
      </c>
      <c r="P18" s="361">
        <f t="shared" si="11"/>
        <v>-6.0075687844118542E-2</v>
      </c>
      <c r="Q18" s="361">
        <f t="shared" si="11"/>
        <v>0.13798094916175166</v>
      </c>
      <c r="R18" s="361">
        <f t="shared" si="11"/>
        <v>9.0566969522581545E-2</v>
      </c>
      <c r="S18" s="361">
        <f t="shared" si="11"/>
        <v>0.1158112224640576</v>
      </c>
      <c r="T18" s="361">
        <f t="shared" si="12"/>
        <v>1.8995922731908643E-3</v>
      </c>
      <c r="U18" s="361">
        <f t="shared" si="13"/>
        <v>5.6729593521797433E-2</v>
      </c>
      <c r="V18" s="361">
        <f t="shared" si="14"/>
        <v>6.296895489603388E-2</v>
      </c>
      <c r="W18" s="361">
        <f t="shared" si="15"/>
        <v>7.3625697024844575E-2</v>
      </c>
      <c r="Y18" s="354">
        <f t="shared" si="25"/>
        <v>0.26036326442054364</v>
      </c>
      <c r="Z18" s="354">
        <f t="shared" si="26"/>
        <v>0.24806321221649175</v>
      </c>
      <c r="AA18" s="354">
        <f t="shared" si="27"/>
        <v>1.6455213653133072E-2</v>
      </c>
      <c r="AB18" s="354">
        <f t="shared" si="28"/>
        <v>0.19073021589480987</v>
      </c>
      <c r="AC18" s="354" t="e">
        <f>(#REF!+(#REF!*'Capex Predicting Rev Growth'!Z18)+(#REF!*'Capex Predicting Rev Growth'!AA18))</f>
        <v>#REF!</v>
      </c>
      <c r="AD18" s="354" t="e">
        <f t="shared" si="29"/>
        <v>#REF!</v>
      </c>
    </row>
    <row r="19" spans="2:30">
      <c r="B19" s="364" t="s">
        <v>170</v>
      </c>
      <c r="C19" s="360">
        <v>0.2968296691034753</v>
      </c>
      <c r="D19" s="360">
        <v>-0.11230707352067182</v>
      </c>
      <c r="E19" s="361">
        <f t="shared" si="16"/>
        <v>0.4185945858214255</v>
      </c>
      <c r="F19" s="361">
        <f t="shared" si="16"/>
        <v>1.7979301040668583E-2</v>
      </c>
      <c r="G19" s="361">
        <f t="shared" si="17"/>
        <v>0.18653136056157971</v>
      </c>
      <c r="H19" s="361">
        <f t="shared" si="17"/>
        <v>0.178154693188882</v>
      </c>
      <c r="I19" s="361">
        <f t="shared" si="17"/>
        <v>0.27768062925443537</v>
      </c>
      <c r="J19" s="361">
        <f t="shared" si="19"/>
        <v>0.20170708782738367</v>
      </c>
      <c r="K19" s="361">
        <f t="shared" si="20"/>
        <v>0.19662706737594848</v>
      </c>
      <c r="L19" s="361">
        <f t="shared" si="21"/>
        <v>0.19198199688241502</v>
      </c>
      <c r="M19" s="361">
        <f t="shared" si="22"/>
        <v>0.20864906099625458</v>
      </c>
      <c r="N19" s="361">
        <f t="shared" si="18"/>
        <v>0.12888361518495159</v>
      </c>
      <c r="O19" s="361">
        <f t="shared" si="11"/>
        <v>0.13035313476938554</v>
      </c>
      <c r="P19" s="361">
        <f t="shared" si="11"/>
        <v>7.0750831490835553E-2</v>
      </c>
      <c r="Q19" s="361">
        <f t="shared" si="11"/>
        <v>0.12853104857317266</v>
      </c>
      <c r="R19" s="361">
        <f t="shared" si="11"/>
        <v>0.11695428598767052</v>
      </c>
      <c r="S19" s="361">
        <f t="shared" si="11"/>
        <v>0.1240797660536789</v>
      </c>
      <c r="T19" s="361">
        <f t="shared" si="12"/>
        <v>9.1388708351139269E-2</v>
      </c>
      <c r="U19" s="361">
        <f t="shared" si="13"/>
        <v>0.10323979787632959</v>
      </c>
      <c r="V19" s="361">
        <f t="shared" si="14"/>
        <v>0.1047426234146183</v>
      </c>
      <c r="W19" s="361">
        <f t="shared" si="15"/>
        <v>0.10872282897985444</v>
      </c>
      <c r="Y19" s="354">
        <f t="shared" si="25"/>
        <v>0.17776250307661831</v>
      </c>
      <c r="Z19" s="354">
        <f t="shared" si="26"/>
        <v>0.26036326442054364</v>
      </c>
      <c r="AA19" s="354">
        <f t="shared" si="27"/>
        <v>3.2631807333477925E-2</v>
      </c>
      <c r="AB19" s="354">
        <f t="shared" si="28"/>
        <v>1.6455213653133072E-2</v>
      </c>
      <c r="AC19" s="354" t="e">
        <f>(#REF!+(#REF!*'Capex Predicting Rev Growth'!Z19)+(#REF!*'Capex Predicting Rev Growth'!AA19))</f>
        <v>#REF!</v>
      </c>
      <c r="AD19" s="354" t="e">
        <f t="shared" si="29"/>
        <v>#REF!</v>
      </c>
    </row>
    <row r="20" spans="2:30">
      <c r="B20" s="364" t="s">
        <v>171</v>
      </c>
      <c r="C20" s="360">
        <v>0.44559491631270587</v>
      </c>
      <c r="D20" s="360">
        <v>0.4185945858214255</v>
      </c>
      <c r="E20" s="361">
        <f t="shared" si="16"/>
        <v>1.7979301040668583E-2</v>
      </c>
      <c r="F20" s="361">
        <f t="shared" si="16"/>
        <v>0.18653136056157971</v>
      </c>
      <c r="G20" s="361">
        <f t="shared" si="17"/>
        <v>0.178154693188882</v>
      </c>
      <c r="H20" s="361">
        <f t="shared" si="17"/>
        <v>0.27768062925443537</v>
      </c>
      <c r="I20" s="361">
        <f t="shared" si="17"/>
        <v>0.10578181084050198</v>
      </c>
      <c r="J20" s="361">
        <f t="shared" si="19"/>
        <v>9.9028828142060377E-2</v>
      </c>
      <c r="K20" s="361">
        <f t="shared" si="20"/>
        <v>0.12479530641938874</v>
      </c>
      <c r="L20" s="361">
        <f t="shared" si="21"/>
        <v>0.16120981826222791</v>
      </c>
      <c r="M20" s="361">
        <f t="shared" si="22"/>
        <v>0.14990628518073801</v>
      </c>
      <c r="N20" s="361">
        <f t="shared" si="18"/>
        <v>0.2173622564715168</v>
      </c>
      <c r="O20" s="361">
        <f t="shared" si="11"/>
        <v>0.2186518742582608</v>
      </c>
      <c r="P20" s="361">
        <f t="shared" si="11"/>
        <v>0.23420848434198044</v>
      </c>
      <c r="Q20" s="361">
        <f t="shared" si="11"/>
        <v>0.11672412611022</v>
      </c>
      <c r="R20" s="361">
        <f t="shared" si="11"/>
        <v>0.14992320418827434</v>
      </c>
      <c r="S20" s="361">
        <f t="shared" si="11"/>
        <v>0.1344106739959478</v>
      </c>
      <c r="T20" s="361">
        <f t="shared" si="12"/>
        <v>0.20319846178785622</v>
      </c>
      <c r="U20" s="361">
        <f t="shared" si="13"/>
        <v>0.16135071358413372</v>
      </c>
      <c r="V20" s="361">
        <f t="shared" si="14"/>
        <v>0.15693560264956471</v>
      </c>
      <c r="W20" s="361">
        <f t="shared" si="15"/>
        <v>0.15257399035245583</v>
      </c>
      <c r="Y20" s="354">
        <f t="shared" si="25"/>
        <v>0.2968296691034753</v>
      </c>
      <c r="Z20" s="354">
        <f t="shared" si="26"/>
        <v>0.17776250307661831</v>
      </c>
      <c r="AA20" s="354">
        <f t="shared" si="27"/>
        <v>-0.11230707352067182</v>
      </c>
      <c r="AB20" s="354">
        <f t="shared" si="28"/>
        <v>3.2631807333477925E-2</v>
      </c>
      <c r="AC20" s="354" t="e">
        <f>(#REF!+(#REF!*'Capex Predicting Rev Growth'!Z20)+(#REF!*'Capex Predicting Rev Growth'!AA20))</f>
        <v>#REF!</v>
      </c>
      <c r="AD20" s="354" t="e">
        <f t="shared" si="29"/>
        <v>#REF!</v>
      </c>
    </row>
    <row r="21" spans="2:30">
      <c r="B21" s="364" t="s">
        <v>172</v>
      </c>
      <c r="C21" s="360">
        <v>0.50098927369749535</v>
      </c>
      <c r="D21" s="360">
        <v>1.7979301040668583E-2</v>
      </c>
      <c r="E21" s="361">
        <f t="shared" si="16"/>
        <v>0.18653136056157971</v>
      </c>
      <c r="F21" s="361">
        <f t="shared" si="16"/>
        <v>0.178154693188882</v>
      </c>
      <c r="G21" s="361">
        <f t="shared" si="17"/>
        <v>0.27768062925443537</v>
      </c>
      <c r="H21" s="361">
        <f t="shared" si="17"/>
        <v>0.10578181084050198</v>
      </c>
      <c r="I21" s="361">
        <f t="shared" si="17"/>
        <v>0.12381905329835208</v>
      </c>
      <c r="J21" s="361">
        <f t="shared" si="19"/>
        <v>0.18233560847223695</v>
      </c>
      <c r="K21" s="361">
        <f t="shared" si="20"/>
        <v>0.21329930778704509</v>
      </c>
      <c r="L21" s="361">
        <f t="shared" si="21"/>
        <v>0.18547751972127413</v>
      </c>
      <c r="M21" s="361">
        <f t="shared" si="22"/>
        <v>0.17288096064635039</v>
      </c>
      <c r="N21" s="361">
        <f t="shared" si="18"/>
        <v>0.25030824061965107</v>
      </c>
      <c r="O21" s="361">
        <f t="shared" si="11"/>
        <v>0.25153087001587804</v>
      </c>
      <c r="P21" s="361">
        <f t="shared" si="11"/>
        <v>0.29507371872417665</v>
      </c>
      <c r="Q21" s="361">
        <f t="shared" si="11"/>
        <v>0.11232769014955891</v>
      </c>
      <c r="R21" s="361">
        <f t="shared" si="11"/>
        <v>0.16219953936503478</v>
      </c>
      <c r="S21" s="361">
        <f t="shared" si="11"/>
        <v>0.13825749990051228</v>
      </c>
      <c r="T21" s="361">
        <f t="shared" si="12"/>
        <v>0.24483203923398966</v>
      </c>
      <c r="U21" s="361">
        <f t="shared" si="13"/>
        <v>0.18298894491210041</v>
      </c>
      <c r="V21" s="361">
        <f t="shared" si="14"/>
        <v>0.17637022598367716</v>
      </c>
      <c r="W21" s="361">
        <f t="shared" si="15"/>
        <v>0.16890244710146757</v>
      </c>
      <c r="Y21" s="354">
        <f t="shared" si="25"/>
        <v>0.44559491631270587</v>
      </c>
      <c r="Z21" s="354">
        <f t="shared" si="26"/>
        <v>0.2968296691034753</v>
      </c>
      <c r="AA21" s="354">
        <f t="shared" si="27"/>
        <v>0.4185945858214255</v>
      </c>
      <c r="AB21" s="354">
        <f t="shared" si="28"/>
        <v>-0.11230707352067182</v>
      </c>
      <c r="AC21" s="354" t="e">
        <f>(#REF!+(#REF!*'Capex Predicting Rev Growth'!Z21)+(#REF!*'Capex Predicting Rev Growth'!AA21))</f>
        <v>#REF!</v>
      </c>
      <c r="AD21" s="354" t="e">
        <f t="shared" si="29"/>
        <v>#REF!</v>
      </c>
    </row>
    <row r="22" spans="2:30">
      <c r="B22" s="364" t="s">
        <v>153</v>
      </c>
      <c r="C22" s="360">
        <v>0.48572161540814413</v>
      </c>
      <c r="D22" s="360">
        <v>0.18653136056157971</v>
      </c>
      <c r="E22" s="361">
        <f t="shared" si="16"/>
        <v>0.178154693188882</v>
      </c>
      <c r="F22" s="361">
        <f t="shared" si="16"/>
        <v>0.27768062925443537</v>
      </c>
      <c r="G22" s="361">
        <f t="shared" si="17"/>
        <v>0.10578181084050198</v>
      </c>
      <c r="H22" s="361">
        <f t="shared" si="17"/>
        <v>0.12381905329835208</v>
      </c>
      <c r="I22" s="361">
        <f t="shared" si="17"/>
        <v>3.112967303768821E-2</v>
      </c>
      <c r="J22" s="361">
        <f t="shared" si="19"/>
        <v>0.22690889219723109</v>
      </c>
      <c r="K22" s="361">
        <f t="shared" si="20"/>
        <v>0.18512644747983598</v>
      </c>
      <c r="L22" s="361">
        <f t="shared" si="21"/>
        <v>0.16949296916806067</v>
      </c>
      <c r="M22" s="361">
        <f t="shared" si="22"/>
        <v>0.14040929696041271</v>
      </c>
      <c r="N22" s="361">
        <f t="shared" si="18"/>
        <v>0.24122774845894202</v>
      </c>
      <c r="O22" s="361">
        <f t="shared" si="11"/>
        <v>0.2424688410327209</v>
      </c>
      <c r="P22" s="361">
        <f t="shared" si="11"/>
        <v>0.27829819059964955</v>
      </c>
      <c r="Q22" s="361">
        <f t="shared" si="11"/>
        <v>0.11353942515484342</v>
      </c>
      <c r="R22" s="361">
        <f t="shared" si="11"/>
        <v>0.15881596566957051</v>
      </c>
      <c r="S22" s="361">
        <f t="shared" si="11"/>
        <v>0.13719724708448011</v>
      </c>
      <c r="T22" s="361">
        <f t="shared" si="12"/>
        <v>0.2333570937012639</v>
      </c>
      <c r="U22" s="361">
        <f t="shared" si="13"/>
        <v>0.17702506812937158</v>
      </c>
      <c r="V22" s="361">
        <f t="shared" si="14"/>
        <v>0.17101370228603144</v>
      </c>
      <c r="W22" s="361">
        <f t="shared" si="15"/>
        <v>0.16440203749648469</v>
      </c>
      <c r="Y22" s="354">
        <f t="shared" si="25"/>
        <v>0.50098927369749535</v>
      </c>
      <c r="Z22" s="354">
        <f t="shared" si="26"/>
        <v>0.44559491631270587</v>
      </c>
      <c r="AA22" s="354">
        <f t="shared" si="27"/>
        <v>1.7979301040668583E-2</v>
      </c>
      <c r="AB22" s="354">
        <f t="shared" si="28"/>
        <v>0.4185945858214255</v>
      </c>
      <c r="AC22" s="354" t="e">
        <f>(#REF!+(#REF!*'Capex Predicting Rev Growth'!Z22)+(#REF!*'Capex Predicting Rev Growth'!AA22))</f>
        <v>#REF!</v>
      </c>
      <c r="AD22" s="354" t="e">
        <f t="shared" si="29"/>
        <v>#REF!</v>
      </c>
    </row>
    <row r="23" spans="2:30">
      <c r="B23" s="364" t="s">
        <v>152</v>
      </c>
      <c r="C23" s="360">
        <v>0.48171430294259526</v>
      </c>
      <c r="D23" s="360">
        <v>0.178154693188882</v>
      </c>
      <c r="E23" s="361">
        <f t="shared" si="16"/>
        <v>0.27768062925443537</v>
      </c>
      <c r="F23" s="361">
        <f t="shared" si="16"/>
        <v>0.10578181084050198</v>
      </c>
      <c r="G23" s="361">
        <f t="shared" si="17"/>
        <v>0.12381905329835208</v>
      </c>
      <c r="H23" s="361">
        <f t="shared" si="17"/>
        <v>3.112967303768821E-2</v>
      </c>
      <c r="I23" s="361">
        <f t="shared" si="17"/>
        <v>5.5273131944750142E-2</v>
      </c>
      <c r="J23" s="361">
        <f t="shared" si="19"/>
        <v>0.18862778021246052</v>
      </c>
      <c r="K23" s="361">
        <f t="shared" si="20"/>
        <v>0.16661990223768064</v>
      </c>
      <c r="L23" s="361">
        <f t="shared" si="21"/>
        <v>0.13116343234817696</v>
      </c>
      <c r="M23" s="361">
        <f t="shared" si="22"/>
        <v>0.11556084296095115</v>
      </c>
      <c r="N23" s="361">
        <f t="shared" si="18"/>
        <v>0.23884438561840032</v>
      </c>
      <c r="O23" s="361">
        <f t="shared" si="11"/>
        <v>0.24009032423471924</v>
      </c>
      <c r="P23" s="361">
        <f t="shared" si="11"/>
        <v>0.27389510653164473</v>
      </c>
      <c r="Q23" s="361">
        <f t="shared" si="11"/>
        <v>0.113857470050766</v>
      </c>
      <c r="R23" s="361">
        <f t="shared" si="11"/>
        <v>0.15792787682248161</v>
      </c>
      <c r="S23" s="361">
        <f t="shared" si="11"/>
        <v>0.13691896181991653</v>
      </c>
      <c r="T23" s="361">
        <f t="shared" si="12"/>
        <v>0.23034525708537246</v>
      </c>
      <c r="U23" s="361">
        <f t="shared" si="13"/>
        <v>0.17545972540807844</v>
      </c>
      <c r="V23" s="361">
        <f t="shared" si="14"/>
        <v>0.16960777193451479</v>
      </c>
      <c r="W23" s="361">
        <f t="shared" si="15"/>
        <v>0.16322081198250377</v>
      </c>
      <c r="Y23" s="354">
        <f t="shared" si="25"/>
        <v>0.48572161540814413</v>
      </c>
      <c r="Z23" s="354">
        <f t="shared" si="26"/>
        <v>0.50098927369749535</v>
      </c>
      <c r="AA23" s="354">
        <f t="shared" si="27"/>
        <v>0.18653136056157971</v>
      </c>
      <c r="AB23" s="354">
        <f t="shared" si="28"/>
        <v>1.7979301040668583E-2</v>
      </c>
      <c r="AC23" s="354" t="e">
        <f>(#REF!+(#REF!*'Capex Predicting Rev Growth'!Z23)+(#REF!*'Capex Predicting Rev Growth'!AA23))</f>
        <v>#REF!</v>
      </c>
      <c r="AD23" s="354" t="e">
        <f t="shared" si="29"/>
        <v>#REF!</v>
      </c>
    </row>
    <row r="24" spans="2:30">
      <c r="B24" s="364" t="s">
        <v>151</v>
      </c>
      <c r="C24" s="360">
        <v>0.37826131414802716</v>
      </c>
      <c r="D24" s="360">
        <v>0.27768062925443537</v>
      </c>
      <c r="E24" s="361">
        <f t="shared" si="16"/>
        <v>0.10578181084050198</v>
      </c>
      <c r="F24" s="361">
        <f t="shared" si="16"/>
        <v>0.12381905329835208</v>
      </c>
      <c r="G24" s="361">
        <f t="shared" ref="G24:I28" si="30">F25</f>
        <v>3.112967303768821E-2</v>
      </c>
      <c r="H24" s="361">
        <f t="shared" si="30"/>
        <v>5.5273131944750142E-2</v>
      </c>
      <c r="I24" s="361">
        <f t="shared" si="30"/>
        <v>3.7336770039951617E-2</v>
      </c>
      <c r="J24" s="361">
        <f t="shared" si="19"/>
        <v>0.11476395161186947</v>
      </c>
      <c r="K24" s="361">
        <f t="shared" si="20"/>
        <v>8.6158084760549647E-2</v>
      </c>
      <c r="L24" s="361">
        <f t="shared" si="21"/>
        <v>7.8353120960753531E-2</v>
      </c>
      <c r="M24" s="361">
        <f t="shared" si="22"/>
        <v>7.0022116174405458E-2</v>
      </c>
      <c r="N24" s="361">
        <f t="shared" si="18"/>
        <v>0.17731536551934526</v>
      </c>
      <c r="O24" s="361">
        <f t="shared" ref="O24:O33" si="31">E$45+(E$46*$C24)</f>
        <v>0.17868640982405368</v>
      </c>
      <c r="P24" s="361">
        <f t="shared" ref="P24:P33" si="32">F$45+(F$46*$C24)</f>
        <v>0.16022485728981339</v>
      </c>
      <c r="Q24" s="361">
        <f t="shared" ref="Q24:Q33" si="33">G$45+(G$46*$C24)</f>
        <v>0.12206813376539186</v>
      </c>
      <c r="R24" s="361">
        <f t="shared" ref="R24:S33" si="34">H$45+(H$46*$C24)</f>
        <v>0.13500092856568152</v>
      </c>
      <c r="S24" s="361">
        <f t="shared" si="34"/>
        <v>0.12973473483385101</v>
      </c>
      <c r="T24" s="361">
        <f t="shared" si="12"/>
        <v>0.15259152503837331</v>
      </c>
      <c r="U24" s="361">
        <f t="shared" si="13"/>
        <v>0.13504875561278515</v>
      </c>
      <c r="V24" s="361">
        <f t="shared" si="14"/>
        <v>0.13331220023856694</v>
      </c>
      <c r="W24" s="361">
        <f t="shared" si="15"/>
        <v>0.13272623215817064</v>
      </c>
      <c r="Y24" s="354">
        <f t="shared" si="25"/>
        <v>0.48171430294259526</v>
      </c>
      <c r="Z24" s="354">
        <f t="shared" si="26"/>
        <v>0.48572161540814413</v>
      </c>
      <c r="AA24" s="354">
        <f t="shared" si="27"/>
        <v>0.178154693188882</v>
      </c>
      <c r="AB24" s="354">
        <f t="shared" si="28"/>
        <v>0.18653136056157971</v>
      </c>
      <c r="AC24" s="354" t="e">
        <f>(#REF!+(#REF!*'Capex Predicting Rev Growth'!Z24)+(#REF!*'Capex Predicting Rev Growth'!AA24))</f>
        <v>#REF!</v>
      </c>
      <c r="AD24" s="354" t="e">
        <f t="shared" si="29"/>
        <v>#REF!</v>
      </c>
    </row>
    <row r="25" spans="2:30">
      <c r="B25" s="364" t="s">
        <v>150</v>
      </c>
      <c r="C25" s="360">
        <v>0.30529687716731652</v>
      </c>
      <c r="D25" s="360">
        <v>0.10578181084050198</v>
      </c>
      <c r="E25" s="361">
        <f t="shared" si="16"/>
        <v>0.12381905329835208</v>
      </c>
      <c r="F25" s="361">
        <f t="shared" si="16"/>
        <v>3.112967303768821E-2</v>
      </c>
      <c r="G25" s="361">
        <f t="shared" si="30"/>
        <v>5.5273131944750142E-2</v>
      </c>
      <c r="H25" s="361">
        <f t="shared" si="30"/>
        <v>3.7336770039951617E-2</v>
      </c>
      <c r="I25" s="361">
        <f t="shared" si="30"/>
        <v>0.25165703281602014</v>
      </c>
      <c r="J25" s="361">
        <f t="shared" si="19"/>
        <v>7.6477205044795271E-2</v>
      </c>
      <c r="K25" s="361">
        <f t="shared" si="20"/>
        <v>6.9362258236493002E-2</v>
      </c>
      <c r="L25" s="361">
        <f t="shared" si="21"/>
        <v>6.1264366084460731E-2</v>
      </c>
      <c r="M25" s="361">
        <f t="shared" si="22"/>
        <v>9.6871960197877138E-2</v>
      </c>
      <c r="N25" s="361">
        <f t="shared" si="18"/>
        <v>0.13391951623733686</v>
      </c>
      <c r="O25" s="361">
        <f t="shared" si="31"/>
        <v>0.13537879642795622</v>
      </c>
      <c r="P25" s="361">
        <f t="shared" si="32"/>
        <v>8.0054280934045929E-2</v>
      </c>
      <c r="Q25" s="361">
        <f t="shared" si="33"/>
        <v>0.12785903900801623</v>
      </c>
      <c r="R25" s="361">
        <f t="shared" si="34"/>
        <v>0.118830763829647</v>
      </c>
      <c r="S25" s="361">
        <f t="shared" si="34"/>
        <v>0.12466776593050868</v>
      </c>
      <c r="T25" s="361">
        <f t="shared" si="12"/>
        <v>9.7752536353145403E-2</v>
      </c>
      <c r="U25" s="361">
        <f t="shared" si="13"/>
        <v>0.10654727205668228</v>
      </c>
      <c r="V25" s="361">
        <f t="shared" si="14"/>
        <v>0.10771326893125893</v>
      </c>
      <c r="W25" s="361">
        <f t="shared" si="15"/>
        <v>0.11121868681055253</v>
      </c>
      <c r="Y25" s="354">
        <f t="shared" si="25"/>
        <v>0.37826131414802716</v>
      </c>
      <c r="Z25" s="354">
        <f t="shared" si="26"/>
        <v>0.48171430294259526</v>
      </c>
      <c r="AA25" s="354">
        <f t="shared" si="27"/>
        <v>0.27768062925443537</v>
      </c>
      <c r="AB25" s="354">
        <f t="shared" si="28"/>
        <v>0.178154693188882</v>
      </c>
      <c r="AC25" s="354" t="e">
        <f>(#REF!+(#REF!*'Capex Predicting Rev Growth'!Z25)+(#REF!*'Capex Predicting Rev Growth'!AA25))</f>
        <v>#REF!</v>
      </c>
      <c r="AD25" s="354" t="e">
        <f t="shared" si="29"/>
        <v>#REF!</v>
      </c>
    </row>
    <row r="26" spans="2:30">
      <c r="B26" s="364" t="s">
        <v>10</v>
      </c>
      <c r="C26" s="360">
        <v>0.34606166226061197</v>
      </c>
      <c r="D26" s="360">
        <v>0.12381905329835208</v>
      </c>
      <c r="E26" s="361">
        <f t="shared" si="16"/>
        <v>3.112967303768821E-2</v>
      </c>
      <c r="F26" s="361">
        <f t="shared" si="16"/>
        <v>5.5273131944750142E-2</v>
      </c>
      <c r="G26" s="361">
        <f t="shared" si="30"/>
        <v>3.7336770039951617E-2</v>
      </c>
      <c r="H26" s="361">
        <f t="shared" si="30"/>
        <v>0.25165703281602014</v>
      </c>
      <c r="I26" s="368">
        <f t="shared" si="30"/>
        <v>0.18529724437928463</v>
      </c>
      <c r="J26" s="361">
        <f t="shared" si="19"/>
        <v>4.313155426707671E-2</v>
      </c>
      <c r="K26" s="361">
        <f t="shared" si="20"/>
        <v>4.1196371659022235E-2</v>
      </c>
      <c r="L26" s="361">
        <f t="shared" si="21"/>
        <v>9.0236758129701666E-2</v>
      </c>
      <c r="M26" s="368">
        <f t="shared" si="22"/>
        <v>0.10861847387415779</v>
      </c>
      <c r="N26" s="361">
        <f t="shared" si="18"/>
        <v>0.15816451206166951</v>
      </c>
      <c r="O26" s="361">
        <f t="shared" si="31"/>
        <v>0.15957449540199414</v>
      </c>
      <c r="P26" s="361">
        <f t="shared" si="32"/>
        <v>0.12484509206320576</v>
      </c>
      <c r="Q26" s="361">
        <f t="shared" si="33"/>
        <v>0.12462369563418019</v>
      </c>
      <c r="R26" s="361">
        <f t="shared" si="34"/>
        <v>0.12786493606018029</v>
      </c>
      <c r="S26" s="361">
        <f t="shared" si="34"/>
        <v>0.12749865049518733</v>
      </c>
      <c r="T26" s="361">
        <f t="shared" si="12"/>
        <v>0.12839074423896746</v>
      </c>
      <c r="U26" s="361">
        <f t="shared" si="13"/>
        <v>0.12247087676169471</v>
      </c>
      <c r="V26" s="361">
        <f t="shared" si="14"/>
        <v>0.12201523543086092</v>
      </c>
      <c r="W26" s="361">
        <f t="shared" si="15"/>
        <v>0.12323482097481316</v>
      </c>
      <c r="Y26" s="354">
        <f t="shared" si="25"/>
        <v>0.30529687716731652</v>
      </c>
      <c r="Z26" s="354">
        <f t="shared" si="26"/>
        <v>0.37826131414802716</v>
      </c>
      <c r="AA26" s="354">
        <f t="shared" si="27"/>
        <v>0.10578181084050198</v>
      </c>
      <c r="AB26" s="354">
        <f t="shared" si="28"/>
        <v>0.27768062925443537</v>
      </c>
      <c r="AC26" s="354" t="e">
        <f>(#REF!+(#REF!*'Capex Predicting Rev Growth'!Z26)+(#REF!*'Capex Predicting Rev Growth'!AA26))</f>
        <v>#REF!</v>
      </c>
      <c r="AD26" s="354" t="e">
        <f t="shared" si="29"/>
        <v>#REF!</v>
      </c>
    </row>
    <row r="27" spans="2:30">
      <c r="B27" s="364" t="s">
        <v>11</v>
      </c>
      <c r="C27" s="360">
        <v>0.33821578049756151</v>
      </c>
      <c r="D27" s="360">
        <v>3.112967303768821E-2</v>
      </c>
      <c r="E27" s="361">
        <f t="shared" si="16"/>
        <v>5.5273131944750142E-2</v>
      </c>
      <c r="F27" s="361">
        <f t="shared" si="16"/>
        <v>3.7336770039951617E-2</v>
      </c>
      <c r="G27" s="361">
        <f t="shared" si="30"/>
        <v>0.25165703281602014</v>
      </c>
      <c r="H27" s="368">
        <f t="shared" si="30"/>
        <v>0.18529724437928463</v>
      </c>
      <c r="I27" s="368">
        <f t="shared" si="30"/>
        <v>0.42614958232879574</v>
      </c>
      <c r="J27" s="361">
        <f t="shared" si="19"/>
        <v>4.6266515856027368E-2</v>
      </c>
      <c r="K27" s="361">
        <f t="shared" si="20"/>
        <v>0.11068267878715421</v>
      </c>
      <c r="L27" s="368">
        <f t="shared" si="21"/>
        <v>0.12888400070825434</v>
      </c>
      <c r="M27" s="368">
        <f t="shared" si="22"/>
        <v>0.18291208905863376</v>
      </c>
      <c r="N27" s="361">
        <f t="shared" si="18"/>
        <v>0.15349814695884817</v>
      </c>
      <c r="O27" s="361">
        <f t="shared" si="31"/>
        <v>0.15491761832315767</v>
      </c>
      <c r="P27" s="361">
        <f t="shared" si="32"/>
        <v>0.11622433256732628</v>
      </c>
      <c r="Q27" s="361">
        <f t="shared" si="33"/>
        <v>0.12524639293323112</v>
      </c>
      <c r="R27" s="361">
        <f t="shared" si="34"/>
        <v>0.12612615473248343</v>
      </c>
      <c r="S27" s="361">
        <f t="shared" si="34"/>
        <v>0.12695379822800423</v>
      </c>
      <c r="T27" s="361">
        <f t="shared" si="12"/>
        <v>0.12249389586962683</v>
      </c>
      <c r="U27" s="361">
        <f t="shared" si="13"/>
        <v>0.11940610604179144</v>
      </c>
      <c r="V27" s="361">
        <f t="shared" si="14"/>
        <v>0.11926257678496899</v>
      </c>
      <c r="W27" s="361">
        <f t="shared" si="15"/>
        <v>0.120922109950188</v>
      </c>
      <c r="Y27" s="354">
        <f t="shared" si="25"/>
        <v>0.34606166226061197</v>
      </c>
      <c r="Z27" s="354">
        <f t="shared" si="26"/>
        <v>0.30529687716731652</v>
      </c>
      <c r="AA27" s="354">
        <f t="shared" si="27"/>
        <v>0.12381905329835208</v>
      </c>
      <c r="AB27" s="354">
        <f t="shared" si="28"/>
        <v>0.10578181084050198</v>
      </c>
      <c r="AC27" s="354" t="e">
        <f>(#REF!+(#REF!*'Capex Predicting Rev Growth'!Z27)+(#REF!*'Capex Predicting Rev Growth'!AA27))</f>
        <v>#REF!</v>
      </c>
      <c r="AD27" s="354" t="e">
        <f t="shared" si="29"/>
        <v>#REF!</v>
      </c>
    </row>
    <row r="28" spans="2:30">
      <c r="B28" s="364" t="s">
        <v>1</v>
      </c>
      <c r="C28" s="360">
        <v>0.3059525839109804</v>
      </c>
      <c r="D28" s="360">
        <v>5.5273131944750142E-2</v>
      </c>
      <c r="E28" s="361">
        <f t="shared" si="16"/>
        <v>3.7336770039951617E-2</v>
      </c>
      <c r="F28" s="361">
        <f t="shared" si="16"/>
        <v>0.25165703281602014</v>
      </c>
      <c r="G28" s="368">
        <f t="shared" si="30"/>
        <v>0.18529724437928463</v>
      </c>
      <c r="H28" s="368">
        <f t="shared" si="30"/>
        <v>0.42614958232879574</v>
      </c>
      <c r="I28" s="368">
        <f t="shared" si="30"/>
        <v>-4.512376206445512E-2</v>
      </c>
      <c r="J28" s="361">
        <f t="shared" si="19"/>
        <v>0.13946911481582513</v>
      </c>
      <c r="K28" s="368">
        <f t="shared" si="20"/>
        <v>0.15454481979026569</v>
      </c>
      <c r="L28" s="368">
        <f t="shared" si="21"/>
        <v>0.2171647532606078</v>
      </c>
      <c r="M28" s="368">
        <f t="shared" si="22"/>
        <v>0.15949508287642766</v>
      </c>
      <c r="N28" s="361">
        <f t="shared" si="18"/>
        <v>0.13430950007328091</v>
      </c>
      <c r="O28" s="361">
        <f t="shared" si="31"/>
        <v>0.13576798731780462</v>
      </c>
      <c r="P28" s="361">
        <f t="shared" si="32"/>
        <v>8.0774746817635135E-2</v>
      </c>
      <c r="Q28" s="361">
        <f t="shared" si="33"/>
        <v>0.12780699809909357</v>
      </c>
      <c r="R28" s="361">
        <f t="shared" si="34"/>
        <v>0.11897607963694058</v>
      </c>
      <c r="S28" s="361">
        <f t="shared" si="34"/>
        <v>0.12471330106813655</v>
      </c>
      <c r="T28" s="361">
        <f t="shared" si="12"/>
        <v>9.8245355816771462E-2</v>
      </c>
      <c r="U28" s="361">
        <f t="shared" si="13"/>
        <v>0.10680340526000026</v>
      </c>
      <c r="V28" s="361">
        <f t="shared" si="14"/>
        <v>0.10794331787816204</v>
      </c>
      <c r="W28" s="361">
        <f t="shared" si="15"/>
        <v>0.11141196785413569</v>
      </c>
      <c r="Y28" s="354">
        <f t="shared" si="25"/>
        <v>0.33821578049756151</v>
      </c>
      <c r="Z28" s="354">
        <f t="shared" si="26"/>
        <v>0.34606166226061197</v>
      </c>
      <c r="AA28" s="354">
        <f t="shared" si="27"/>
        <v>3.112967303768821E-2</v>
      </c>
      <c r="AB28" s="354">
        <f t="shared" si="28"/>
        <v>0.12381905329835208</v>
      </c>
      <c r="AC28" s="354" t="e">
        <f>(#REF!+(#REF!*'Capex Predicting Rev Growth'!Z28)+(#REF!*'Capex Predicting Rev Growth'!AA28))</f>
        <v>#REF!</v>
      </c>
      <c r="AD28" s="354" t="e">
        <f t="shared" si="29"/>
        <v>#REF!</v>
      </c>
    </row>
    <row r="29" spans="2:30">
      <c r="B29" s="364" t="s">
        <v>2</v>
      </c>
      <c r="C29" s="360">
        <v>0.43030678675173906</v>
      </c>
      <c r="D29" s="360">
        <v>3.7336770039951617E-2</v>
      </c>
      <c r="E29" s="361">
        <f t="shared" si="16"/>
        <v>0.25165703281602014</v>
      </c>
      <c r="F29" s="368">
        <f t="shared" si="16"/>
        <v>0.18529724437928463</v>
      </c>
      <c r="G29" s="368">
        <f>F30</f>
        <v>0.42614958232879574</v>
      </c>
      <c r="H29" s="368">
        <f>G30</f>
        <v>-4.512376206445512E-2</v>
      </c>
      <c r="I29" s="363"/>
      <c r="J29" s="368">
        <f t="shared" si="19"/>
        <v>0.21802530019075572</v>
      </c>
      <c r="K29" s="368">
        <f t="shared" si="20"/>
        <v>0.28378579492535772</v>
      </c>
      <c r="L29" s="368">
        <f t="shared" si="21"/>
        <v>0.19221943153013377</v>
      </c>
      <c r="M29" s="361"/>
      <c r="N29" s="361">
        <f t="shared" si="18"/>
        <v>0.20826958895176434</v>
      </c>
      <c r="O29" s="361">
        <f t="shared" si="31"/>
        <v>0.20957769467196677</v>
      </c>
      <c r="P29" s="361">
        <f t="shared" si="32"/>
        <v>0.21741046315491397</v>
      </c>
      <c r="Q29" s="361">
        <f t="shared" si="33"/>
        <v>0.11793748584117947</v>
      </c>
      <c r="R29" s="361">
        <f t="shared" si="34"/>
        <v>0.14653509370957596</v>
      </c>
      <c r="S29" s="361">
        <f t="shared" si="34"/>
        <v>0.13334899956548293</v>
      </c>
      <c r="T29" s="361">
        <f t="shared" si="12"/>
        <v>0.19170813035099749</v>
      </c>
      <c r="U29" s="361">
        <f t="shared" si="13"/>
        <v>0.15537884028097018</v>
      </c>
      <c r="V29" s="361">
        <f t="shared" si="14"/>
        <v>0.15157189678622918</v>
      </c>
      <c r="W29" s="361">
        <f t="shared" si="15"/>
        <v>0.14806754648172904</v>
      </c>
      <c r="Y29" s="354">
        <f t="shared" si="25"/>
        <v>0.3059525839109804</v>
      </c>
      <c r="Z29" s="354">
        <f t="shared" si="26"/>
        <v>0.33821578049756151</v>
      </c>
      <c r="AA29" s="354">
        <f t="shared" si="27"/>
        <v>5.5273131944750142E-2</v>
      </c>
      <c r="AB29" s="354">
        <f t="shared" si="28"/>
        <v>3.112967303768821E-2</v>
      </c>
      <c r="AC29" s="354" t="e">
        <f>(#REF!+(#REF!*'Capex Predicting Rev Growth'!Z29)+(#REF!*'Capex Predicting Rev Growth'!AA29))</f>
        <v>#REF!</v>
      </c>
      <c r="AD29" s="354" t="e">
        <f t="shared" si="29"/>
        <v>#REF!</v>
      </c>
    </row>
    <row r="30" spans="2:30">
      <c r="B30" s="364" t="s">
        <v>3</v>
      </c>
      <c r="C30" s="360">
        <v>0.37874719271775675</v>
      </c>
      <c r="D30" s="360">
        <v>0.25165703281602014</v>
      </c>
      <c r="E30" s="368">
        <f t="shared" si="16"/>
        <v>0.18529724437928463</v>
      </c>
      <c r="F30" s="368">
        <f t="shared" si="16"/>
        <v>0.42614958232879574</v>
      </c>
      <c r="G30" s="368">
        <f>F31</f>
        <v>-4.512376206445512E-2</v>
      </c>
      <c r="H30" s="375"/>
      <c r="I30" s="363"/>
      <c r="J30" s="368">
        <f t="shared" si="19"/>
        <v>0.30015813269270808</v>
      </c>
      <c r="K30" s="368">
        <f t="shared" si="20"/>
        <v>0.17304087800560919</v>
      </c>
      <c r="L30" s="361"/>
      <c r="M30" s="361"/>
      <c r="N30" s="361">
        <f t="shared" si="18"/>
        <v>0.17760434346605261</v>
      </c>
      <c r="O30" s="361">
        <f t="shared" si="31"/>
        <v>0.17897480019785814</v>
      </c>
      <c r="P30" s="361">
        <f t="shared" si="32"/>
        <v>0.16075872236965272</v>
      </c>
      <c r="Q30" s="361">
        <f t="shared" si="33"/>
        <v>0.12202957146198548</v>
      </c>
      <c r="R30" s="361">
        <f t="shared" si="34"/>
        <v>0.13510860755066861</v>
      </c>
      <c r="S30" s="361">
        <f t="shared" si="34"/>
        <v>0.12976847636199124</v>
      </c>
      <c r="T30" s="361">
        <f t="shared" si="12"/>
        <v>0.15295670416522439</v>
      </c>
      <c r="U30" s="361">
        <f t="shared" si="13"/>
        <v>0.13523855026670775</v>
      </c>
      <c r="V30" s="361">
        <f t="shared" si="14"/>
        <v>0.13348266646355114</v>
      </c>
      <c r="W30" s="361">
        <f t="shared" si="15"/>
        <v>0.13286945337393441</v>
      </c>
      <c r="Y30" s="354">
        <f t="shared" si="25"/>
        <v>0.43030678675173906</v>
      </c>
      <c r="Z30" s="354">
        <f t="shared" si="26"/>
        <v>0.3059525839109804</v>
      </c>
      <c r="AA30" s="354">
        <f t="shared" si="27"/>
        <v>3.7336770039951617E-2</v>
      </c>
      <c r="AB30" s="354">
        <f t="shared" si="28"/>
        <v>5.5273131944750142E-2</v>
      </c>
      <c r="AC30" s="354" t="e">
        <f>(#REF!+(#REF!*'Capex Predicting Rev Growth'!Z30)+(#REF!*'Capex Predicting Rev Growth'!AA30))</f>
        <v>#REF!</v>
      </c>
      <c r="AD30" s="354" t="e">
        <f t="shared" si="29"/>
        <v>#REF!</v>
      </c>
    </row>
    <row r="31" spans="2:30">
      <c r="B31" s="366" t="s">
        <v>4</v>
      </c>
      <c r="C31" s="368">
        <v>0.52865569522761169</v>
      </c>
      <c r="D31" s="368">
        <v>0.18529724437928463</v>
      </c>
      <c r="E31" s="368">
        <f t="shared" si="16"/>
        <v>0.42614958232879574</v>
      </c>
      <c r="F31" s="368">
        <f t="shared" si="16"/>
        <v>-4.512376206445512E-2</v>
      </c>
      <c r="G31" s="363"/>
      <c r="H31" s="363"/>
      <c r="I31" s="363"/>
      <c r="J31" s="368">
        <f t="shared" si="19"/>
        <v>0.16696030262707273</v>
      </c>
      <c r="K31" s="361"/>
      <c r="L31" s="361"/>
      <c r="M31" s="361"/>
      <c r="N31" s="361">
        <f t="shared" si="18"/>
        <v>0.26676293976590554</v>
      </c>
      <c r="O31" s="361">
        <f t="shared" si="31"/>
        <v>0.26795211216150716</v>
      </c>
      <c r="P31" s="361">
        <f t="shared" si="32"/>
        <v>0.32547254110332302</v>
      </c>
      <c r="Q31" s="361">
        <f t="shared" si="33"/>
        <v>0.11013191324627435</v>
      </c>
      <c r="R31" s="361">
        <f t="shared" si="34"/>
        <v>0.16833089064123008</v>
      </c>
      <c r="S31" s="361">
        <f t="shared" si="34"/>
        <v>0.14017877694122899</v>
      </c>
      <c r="T31" s="361">
        <f t="shared" si="12"/>
        <v>0.2656257113300533</v>
      </c>
      <c r="U31" s="361">
        <f t="shared" si="13"/>
        <v>0.19379604616480087</v>
      </c>
      <c r="V31" s="361">
        <f t="shared" si="14"/>
        <v>0.18607674677072453</v>
      </c>
      <c r="W31" s="361">
        <f t="shared" si="15"/>
        <v>0.17705760926385916</v>
      </c>
      <c r="X31" s="362"/>
      <c r="Y31" s="354">
        <f t="shared" si="25"/>
        <v>0.37874719271775675</v>
      </c>
      <c r="Z31" s="354">
        <f t="shared" si="26"/>
        <v>0.43030678675173906</v>
      </c>
      <c r="AA31" s="354">
        <f t="shared" si="27"/>
        <v>0.25165703281602014</v>
      </c>
      <c r="AB31" s="354">
        <f t="shared" si="28"/>
        <v>3.7336770039951617E-2</v>
      </c>
      <c r="AC31" s="354" t="e">
        <f>(#REF!+(#REF!*'Capex Predicting Rev Growth'!Z31)+(#REF!*'Capex Predicting Rev Growth'!AA31))</f>
        <v>#REF!</v>
      </c>
      <c r="AD31" s="354" t="e">
        <f t="shared" si="29"/>
        <v>#REF!</v>
      </c>
    </row>
    <row r="32" spans="2:30">
      <c r="B32" s="366" t="s">
        <v>5</v>
      </c>
      <c r="C32" s="368">
        <v>0.47823497701761558</v>
      </c>
      <c r="D32" s="368">
        <v>0.42614958232879574</v>
      </c>
      <c r="E32" s="368">
        <f>D33</f>
        <v>-4.512376206445512E-2</v>
      </c>
      <c r="F32" s="375"/>
      <c r="G32" s="363"/>
      <c r="H32" s="363"/>
      <c r="I32" s="363"/>
      <c r="J32" s="363"/>
      <c r="K32" s="361"/>
      <c r="L32" s="363"/>
      <c r="M32" s="363"/>
      <c r="N32" s="361">
        <f t="shared" si="18"/>
        <v>0.23677504458472226</v>
      </c>
      <c r="O32" s="361">
        <f t="shared" si="31"/>
        <v>0.23802519074951364</v>
      </c>
      <c r="P32" s="361">
        <f t="shared" si="32"/>
        <v>0.27007215419653763</v>
      </c>
      <c r="Q32" s="361">
        <f t="shared" si="33"/>
        <v>0.1141336106964492</v>
      </c>
      <c r="R32" s="361">
        <f t="shared" si="34"/>
        <v>0.15715679880549982</v>
      </c>
      <c r="S32" s="361">
        <f t="shared" si="34"/>
        <v>0.13667734224473738</v>
      </c>
      <c r="T32" s="361">
        <f t="shared" si="12"/>
        <v>0.2277302473227038</v>
      </c>
      <c r="U32" s="361">
        <f t="shared" si="13"/>
        <v>0.1741006256227495</v>
      </c>
      <c r="V32" s="361">
        <f t="shared" si="14"/>
        <v>0.16838708101939354</v>
      </c>
      <c r="W32" s="361">
        <f t="shared" si="15"/>
        <v>0.16219521974596768</v>
      </c>
      <c r="X32" s="362"/>
      <c r="Y32" s="354">
        <f t="shared" si="25"/>
        <v>0.52865569522761169</v>
      </c>
      <c r="Z32" s="354">
        <f t="shared" si="26"/>
        <v>0.37874719271775675</v>
      </c>
      <c r="AA32" s="354">
        <f t="shared" si="27"/>
        <v>0.18529724437928463</v>
      </c>
      <c r="AB32" s="354">
        <f t="shared" si="28"/>
        <v>0.25165703281602014</v>
      </c>
      <c r="AC32" s="354" t="e">
        <f>(#REF!+(#REF!*'Capex Predicting Rev Growth'!Z32)+(#REF!*'Capex Predicting Rev Growth'!AA32))</f>
        <v>#REF!</v>
      </c>
      <c r="AD32" s="354" t="e">
        <f t="shared" si="29"/>
        <v>#REF!</v>
      </c>
    </row>
    <row r="33" spans="2:31">
      <c r="B33" s="364" t="s">
        <v>68</v>
      </c>
      <c r="C33" s="360">
        <v>0.43937696369954515</v>
      </c>
      <c r="D33" s="360">
        <v>-4.512376206445512E-2</v>
      </c>
      <c r="E33" s="28"/>
      <c r="F33" s="28"/>
      <c r="G33" s="28"/>
      <c r="H33" s="28"/>
      <c r="I33" s="28"/>
      <c r="J33" s="28"/>
      <c r="K33" s="361"/>
      <c r="L33" s="28"/>
      <c r="M33" s="28"/>
      <c r="N33" s="361">
        <f t="shared" si="18"/>
        <v>0.2136641078170603</v>
      </c>
      <c r="O33" s="361">
        <f t="shared" si="31"/>
        <v>0.21496124497324062</v>
      </c>
      <c r="P33" s="361">
        <f t="shared" si="32"/>
        <v>0.22737643210697545</v>
      </c>
      <c r="Q33" s="361">
        <f t="shared" si="33"/>
        <v>0.11721762096711119</v>
      </c>
      <c r="R33" s="361">
        <f t="shared" si="34"/>
        <v>0.14854519974890279</v>
      </c>
      <c r="S33" s="361">
        <f t="shared" si="34"/>
        <v>0.13397887223282764</v>
      </c>
      <c r="T33" s="361">
        <f t="shared" si="12"/>
        <v>0.19852514082344513</v>
      </c>
      <c r="U33" s="361">
        <f t="shared" si="13"/>
        <v>0.1589218471186325</v>
      </c>
      <c r="V33" s="361">
        <f t="shared" si="14"/>
        <v>0.15475408863529941</v>
      </c>
      <c r="W33" s="361">
        <f t="shared" si="15"/>
        <v>0.15074113994846727</v>
      </c>
      <c r="Y33" s="354">
        <f t="shared" si="25"/>
        <v>0.47823497701761558</v>
      </c>
      <c r="Z33" s="354">
        <f t="shared" si="26"/>
        <v>0.52865569522761169</v>
      </c>
      <c r="AA33" s="354">
        <f t="shared" si="27"/>
        <v>0.42614958232879574</v>
      </c>
      <c r="AB33" s="354">
        <f t="shared" si="28"/>
        <v>0.18529724437928463</v>
      </c>
      <c r="AC33" s="354" t="e">
        <f>(#REF!+(#REF!*'Capex Predicting Rev Growth'!Z33)+(#REF!*'Capex Predicting Rev Growth'!AA33))</f>
        <v>#REF!</v>
      </c>
      <c r="AD33" s="354" t="e">
        <f t="shared" si="29"/>
        <v>#REF!</v>
      </c>
    </row>
    <row r="34" spans="2:31" ht="11.25" customHeight="1">
      <c r="B34" s="364" t="s">
        <v>6</v>
      </c>
      <c r="C34" s="369">
        <v>0.35397634254153737</v>
      </c>
      <c r="D34" s="369">
        <v>0.26372978521285029</v>
      </c>
      <c r="E34" s="28"/>
      <c r="F34" s="28"/>
      <c r="G34" s="28"/>
      <c r="H34" s="28"/>
      <c r="I34" s="28"/>
      <c r="J34" s="28"/>
      <c r="K34" s="28"/>
      <c r="L34" s="28"/>
      <c r="M34" s="28"/>
      <c r="N34" s="361">
        <f t="shared" ref="N34" si="35">D$45+(D$46*$C34)</f>
        <v>0.16287179531908877</v>
      </c>
      <c r="O34" s="361">
        <f t="shared" ref="O34" si="36">E$45+(E$46*$C34)</f>
        <v>0.16427220743738818</v>
      </c>
      <c r="P34" s="361">
        <f t="shared" ref="P34" si="37">F$45+(F$46*$C34)</f>
        <v>0.133541444780368</v>
      </c>
      <c r="Q34" s="361">
        <f t="shared" ref="Q34" si="38">G$45+(G$46*$C34)</f>
        <v>0.12399553806277833</v>
      </c>
      <c r="R34" s="361">
        <f t="shared" ref="R34" si="39">H$45+(H$46*$C34)</f>
        <v>0.12961896431382725</v>
      </c>
      <c r="S34" s="361">
        <f t="shared" ref="S34" si="40">I$45+(I$46*$C34)</f>
        <v>0.12804828043167196</v>
      </c>
      <c r="T34" s="361">
        <f t="shared" ref="T34" si="41">J$45+(J$46*$C34)</f>
        <v>0.13433930055397897</v>
      </c>
      <c r="U34" s="361">
        <f t="shared" ref="U34" si="42">K$45+(K$46*$C34)</f>
        <v>0.12556252166725665</v>
      </c>
      <c r="V34" s="361">
        <f t="shared" ref="V34" si="43">L$45+(L$46*$C34)</f>
        <v>0.12479203143196316</v>
      </c>
      <c r="W34" s="361">
        <f t="shared" ref="W34" si="44">M$45+(M$46*$C34)</f>
        <v>0.12556781156718769</v>
      </c>
      <c r="Y34" s="354">
        <f t="shared" si="25"/>
        <v>0.43937696369954515</v>
      </c>
      <c r="Z34" s="354">
        <f t="shared" si="26"/>
        <v>0.47823497701761558</v>
      </c>
      <c r="AA34" s="354">
        <f t="shared" si="27"/>
        <v>-4.512376206445512E-2</v>
      </c>
      <c r="AB34" s="354">
        <f t="shared" si="28"/>
        <v>0.42614958232879574</v>
      </c>
      <c r="AC34" s="354" t="e">
        <f>(#REF!+(#REF!*'Capex Predicting Rev Growth'!Z34)+(#REF!*'Capex Predicting Rev Growth'!AA34))</f>
        <v>#REF!</v>
      </c>
      <c r="AD34" s="354" t="e">
        <f t="shared" si="29"/>
        <v>#REF!</v>
      </c>
    </row>
    <row r="35" spans="2:31" ht="11.25" customHeight="1">
      <c r="C35" s="28"/>
      <c r="D35" s="28"/>
      <c r="E35" s="28"/>
      <c r="F35" s="28"/>
      <c r="G35" s="28"/>
      <c r="H35" s="28"/>
      <c r="I35" s="28"/>
      <c r="J35" s="28"/>
      <c r="K35" s="28"/>
      <c r="L35" s="28"/>
      <c r="M35" s="28"/>
      <c r="N35" s="28"/>
      <c r="O35" s="28"/>
      <c r="P35" s="28"/>
      <c r="Q35" s="28"/>
      <c r="R35" s="28"/>
      <c r="S35" s="28"/>
      <c r="T35" s="28"/>
      <c r="U35" s="28"/>
      <c r="V35" s="28"/>
      <c r="W35" s="28"/>
    </row>
    <row r="36" spans="2:31" ht="11.25" customHeight="1">
      <c r="B36" s="155" t="s">
        <v>487</v>
      </c>
      <c r="C36" s="42"/>
      <c r="D36" s="42"/>
      <c r="E36" s="42"/>
      <c r="F36" s="42"/>
      <c r="G36" s="42"/>
      <c r="H36" s="42"/>
      <c r="I36" s="42"/>
      <c r="J36" s="42"/>
      <c r="K36" s="42"/>
      <c r="L36" s="42"/>
      <c r="M36" s="42"/>
      <c r="N36" s="42"/>
      <c r="O36" s="42"/>
      <c r="P36" s="28"/>
      <c r="Q36" s="28"/>
      <c r="R36" s="28"/>
      <c r="S36" s="28"/>
      <c r="T36" s="28"/>
      <c r="U36" s="28"/>
      <c r="V36" s="28"/>
      <c r="W36" s="28"/>
    </row>
    <row r="37" spans="2:31" ht="11.25" customHeight="1">
      <c r="B37" s="362" t="s">
        <v>689</v>
      </c>
      <c r="C37" s="6"/>
      <c r="D37" s="367">
        <f t="shared" ref="D37:M37" si="45">CORREL(D8:D34,$C$8:$C$34)</f>
        <v>0.29732406446011511</v>
      </c>
      <c r="E37" s="367">
        <f t="shared" si="45"/>
        <v>0.30499099535641577</v>
      </c>
      <c r="F37" s="367">
        <f t="shared" si="45"/>
        <v>0.51843834887073315</v>
      </c>
      <c r="G37" s="367">
        <f t="shared" si="45"/>
        <v>-5.6137941501031241E-2</v>
      </c>
      <c r="H37" s="367">
        <f t="shared" si="45"/>
        <v>0.15337425804660992</v>
      </c>
      <c r="I37" s="367">
        <f t="shared" si="45"/>
        <v>6.6060613770154084E-2</v>
      </c>
      <c r="J37" s="367">
        <f t="shared" si="45"/>
        <v>0.6399159073532088</v>
      </c>
      <c r="K37" s="367">
        <f t="shared" si="45"/>
        <v>0.62877003752402527</v>
      </c>
      <c r="L37" s="367">
        <f t="shared" si="45"/>
        <v>0.65625121850172852</v>
      </c>
      <c r="M37" s="367">
        <f t="shared" si="45"/>
        <v>0.61453953063620703</v>
      </c>
      <c r="N37" s="367"/>
      <c r="O37" s="367"/>
      <c r="P37" s="314"/>
      <c r="Q37" s="314"/>
      <c r="R37" s="314"/>
      <c r="S37" s="314"/>
      <c r="T37" s="314"/>
      <c r="U37" s="314"/>
      <c r="V37" s="314"/>
    </row>
    <row r="38" spans="2:31" ht="11.25" customHeight="1">
      <c r="B38" s="362" t="s">
        <v>690</v>
      </c>
      <c r="C38" s="6"/>
      <c r="D38" s="367">
        <f>CORREL(D8:D30,$C$8:$C$30)</f>
        <v>0.30913613967115172</v>
      </c>
      <c r="E38" s="367">
        <f>CORREL(E8:E29,$C$8:$C$29)</f>
        <v>0.30856977071801078</v>
      </c>
      <c r="F38" s="367">
        <f>CORREL(F8:F28,$C$8:$C$28)</f>
        <v>0.58212574978255482</v>
      </c>
      <c r="G38" s="367">
        <f>CORREL(G8:G27,$C$8:$C$27)</f>
        <v>-8.137368642859856E-2</v>
      </c>
      <c r="H38" s="367">
        <f>CORREL(H8:H26,$C$8:$C$26)</f>
        <v>0.2719732158994182</v>
      </c>
      <c r="I38" s="367">
        <f>CORREL(I8:I25,$C$8:$C$25)</f>
        <v>8.8346371318453562E-2</v>
      </c>
      <c r="J38" s="367">
        <f>CORREL(J8:J28,$C$8:$C$28)</f>
        <v>0.66406501452684918</v>
      </c>
      <c r="K38" s="367">
        <f>CORREL(K8:K27,$C$8:$C$27)</f>
        <v>0.65808484436844616</v>
      </c>
      <c r="L38" s="367">
        <f>CORREL(L8:L26,$C$8:$C$26)</f>
        <v>0.70539759288571491</v>
      </c>
      <c r="M38" s="367">
        <f>CORREL(M8:M25,$C$8:$C$25)</f>
        <v>0.64600236302078562</v>
      </c>
      <c r="N38" s="367"/>
      <c r="O38" s="367"/>
      <c r="P38" s="314"/>
      <c r="Q38" s="314"/>
      <c r="R38" s="314"/>
      <c r="S38" s="314"/>
      <c r="T38" s="314"/>
      <c r="U38" s="314"/>
      <c r="V38" s="314"/>
    </row>
    <row r="39" spans="2:31" ht="11.25" customHeight="1">
      <c r="B39" s="362"/>
      <c r="C39" s="6"/>
      <c r="D39" s="367"/>
      <c r="E39" s="367"/>
      <c r="F39" s="367"/>
      <c r="G39" s="367"/>
      <c r="H39" s="367"/>
      <c r="I39" s="367"/>
      <c r="J39" s="367"/>
      <c r="K39" s="367"/>
      <c r="L39" s="367"/>
      <c r="M39" s="367"/>
      <c r="N39" s="367"/>
      <c r="O39" s="367"/>
      <c r="P39" s="314"/>
      <c r="Q39" s="314"/>
      <c r="R39" s="314"/>
      <c r="S39" s="314"/>
      <c r="T39" s="314"/>
      <c r="U39" s="314"/>
      <c r="V39" s="314"/>
    </row>
    <row r="40" spans="2:31" ht="11.25" customHeight="1">
      <c r="B40" s="371" t="s">
        <v>486</v>
      </c>
      <c r="C40" s="6"/>
      <c r="D40" s="367"/>
      <c r="E40" s="367"/>
      <c r="F40" s="367"/>
      <c r="G40" s="367"/>
      <c r="H40" s="367"/>
      <c r="I40" s="367"/>
      <c r="J40" s="367"/>
      <c r="K40" s="367"/>
      <c r="L40" s="367"/>
      <c r="M40" s="367"/>
      <c r="N40" s="367"/>
      <c r="O40" s="367"/>
      <c r="P40" s="314"/>
      <c r="Q40" s="314"/>
      <c r="R40" s="314"/>
      <c r="S40" s="314"/>
      <c r="T40" s="314"/>
      <c r="U40" s="314"/>
      <c r="V40" s="314"/>
    </row>
    <row r="41" spans="2:31" ht="11.25" customHeight="1">
      <c r="B41" s="362" t="s">
        <v>689</v>
      </c>
      <c r="C41" s="6"/>
      <c r="D41" s="367">
        <f t="shared" ref="D41:M41" si="46">RSQ(D8:D33,$C$8:$C$33)</f>
        <v>9.1326569975200389E-2</v>
      </c>
      <c r="E41" s="367">
        <f t="shared" si="46"/>
        <v>9.3019507248497293E-2</v>
      </c>
      <c r="F41" s="367">
        <f t="shared" si="46"/>
        <v>0.26877832157981191</v>
      </c>
      <c r="G41" s="367">
        <f t="shared" si="46"/>
        <v>3.1514684759732072E-3</v>
      </c>
      <c r="H41" s="367">
        <f t="shared" si="46"/>
        <v>2.3523663031348081E-2</v>
      </c>
      <c r="I41" s="367">
        <f t="shared" si="46"/>
        <v>4.3640046916894699E-3</v>
      </c>
      <c r="J41" s="367">
        <f t="shared" si="46"/>
        <v>0.40949236848368037</v>
      </c>
      <c r="K41" s="367">
        <f t="shared" si="46"/>
        <v>0.39535176008796402</v>
      </c>
      <c r="L41" s="367">
        <f t="shared" si="46"/>
        <v>0.43066566178500371</v>
      </c>
      <c r="M41" s="367">
        <f t="shared" si="46"/>
        <v>0.37765883471456962</v>
      </c>
      <c r="N41" s="367"/>
      <c r="O41" s="367"/>
      <c r="P41" s="314"/>
      <c r="Q41" s="314"/>
      <c r="R41" s="314"/>
      <c r="S41" s="314"/>
      <c r="T41" s="314"/>
      <c r="U41" s="314"/>
      <c r="V41" s="314"/>
    </row>
    <row r="42" spans="2:31" ht="11.25" customHeight="1">
      <c r="B42" s="362" t="s">
        <v>690</v>
      </c>
      <c r="C42" s="6"/>
      <c r="D42" s="367">
        <f>RSQ(D8:D30,$C$8:$C$30)</f>
        <v>9.556515285078182E-2</v>
      </c>
      <c r="E42" s="367">
        <f>RSQ(E8:E29,$C$8:$C$29)</f>
        <v>9.5215303400965748E-2</v>
      </c>
      <c r="F42" s="367">
        <f>RSQ(F8:F28,$C$8:$C$28)</f>
        <v>0.33887038855990176</v>
      </c>
      <c r="G42" s="367">
        <f>RSQ(G8:G27,$C$8:$C$27)</f>
        <v>6.6216768429798855E-3</v>
      </c>
      <c r="H42" s="367">
        <f>RSQ(H8:H26,$C$8:$C$26)</f>
        <v>7.396943016667154E-2</v>
      </c>
      <c r="I42" s="367">
        <f>RSQ(I8:I25,$C$8:$C$25)</f>
        <v>7.8050813251380738E-3</v>
      </c>
      <c r="J42" s="367">
        <f>RSQ(J8:J28,$C$8:$C$28)</f>
        <v>0.44098234351854443</v>
      </c>
      <c r="K42" s="367">
        <f>RSQ(K8:K27,$C$8:$C$27)</f>
        <v>0.43307566238744188</v>
      </c>
      <c r="L42" s="367">
        <f>RSQ(L8:L26,$C$8:$C$26)</f>
        <v>0.49758576404896077</v>
      </c>
      <c r="M42" s="367">
        <f>RSQ(M8:M25,$C$8:$C$25)</f>
        <v>0.41731905302843891</v>
      </c>
      <c r="N42" s="367"/>
      <c r="O42" s="367"/>
      <c r="P42" s="314"/>
      <c r="Q42" s="314"/>
      <c r="R42" s="314"/>
      <c r="S42" s="314"/>
      <c r="T42" s="314"/>
      <c r="U42" s="314"/>
      <c r="V42" s="314"/>
    </row>
    <row r="43" spans="2:31" ht="11.25" customHeight="1">
      <c r="B43" s="6"/>
      <c r="C43" s="6"/>
      <c r="D43" s="6"/>
      <c r="E43" s="6"/>
      <c r="F43" s="6"/>
      <c r="G43" s="6"/>
      <c r="H43" s="6"/>
      <c r="I43" s="6"/>
      <c r="J43" s="6"/>
      <c r="K43" s="6"/>
      <c r="L43" s="6"/>
      <c r="M43" s="6"/>
      <c r="N43" s="6"/>
      <c r="O43" s="6"/>
      <c r="X43"/>
      <c r="Y43"/>
      <c r="Z43"/>
      <c r="AA43"/>
      <c r="AB43"/>
      <c r="AC43"/>
      <c r="AD43"/>
      <c r="AE43"/>
    </row>
    <row r="44" spans="2:31" ht="11.25" customHeight="1">
      <c r="B44" s="155" t="s">
        <v>518</v>
      </c>
      <c r="C44" s="6"/>
      <c r="D44" s="6"/>
      <c r="E44" s="6"/>
      <c r="F44" s="6"/>
      <c r="G44" s="6"/>
      <c r="H44" s="6"/>
      <c r="I44" s="6"/>
      <c r="J44" s="6"/>
      <c r="K44" s="6"/>
      <c r="L44" s="6"/>
      <c r="M44" s="6"/>
      <c r="N44" s="6"/>
      <c r="O44" s="6"/>
      <c r="X44"/>
      <c r="Y44"/>
      <c r="Z44"/>
      <c r="AA44"/>
      <c r="AB44"/>
      <c r="AC44"/>
      <c r="AD44"/>
      <c r="AE44"/>
    </row>
    <row r="45" spans="2:31" ht="11.25" customHeight="1">
      <c r="B45" s="383" t="s">
        <v>393</v>
      </c>
      <c r="C45" s="6"/>
      <c r="D45" s="373">
        <f>INTERCEPT(D8:D30,$C8:$C30)</f>
        <v>-4.7656849127110323E-2</v>
      </c>
      <c r="E45" s="373">
        <f>INTERCEPT(E8:E29,$C8:$C29)</f>
        <v>-4.5828373455275601E-2</v>
      </c>
      <c r="F45" s="373">
        <f>INTERCEPT(F8:F28,$C8:$C28)</f>
        <v>-0.25539443374034121</v>
      </c>
      <c r="G45" s="373">
        <f>INTERCEPT(G8:G27,$C8:$C27)</f>
        <v>0.15208927170360259</v>
      </c>
      <c r="H45" s="373">
        <f>INTERCEPT(H8:H26,$C8:$C26)</f>
        <v>5.11717644393343E-2</v>
      </c>
      <c r="I45" s="373">
        <f>INTERCEPT(I8:I25,$C8:$C25)</f>
        <v>0.1034666185372482</v>
      </c>
      <c r="J45" s="373">
        <f>INTERCEPT(J8:J28,$C8:$C28)</f>
        <v>-0.13170406860962514</v>
      </c>
      <c r="K45" s="373">
        <f>INTERCEPT(K8:K27,$C8:$C27)</f>
        <v>-1.2708276048406131E-2</v>
      </c>
      <c r="L45" s="373">
        <f>INTERCEPT(L8:L26,$C8:$C26)</f>
        <v>6.0254334575374213E-4</v>
      </c>
      <c r="M45" s="373">
        <f>INTERCEPT(M8:M25,$C8:$C25)</f>
        <v>2.1227086767121192E-2</v>
      </c>
      <c r="N45" s="373"/>
      <c r="O45" s="370"/>
      <c r="P45" s="372"/>
      <c r="Q45" s="372"/>
      <c r="R45" s="372"/>
      <c r="S45" s="372"/>
      <c r="T45" s="372"/>
      <c r="U45" s="372"/>
      <c r="V45" s="372"/>
      <c r="X45"/>
      <c r="Y45"/>
      <c r="Z45"/>
      <c r="AA45"/>
      <c r="AB45"/>
      <c r="AC45"/>
      <c r="AD45"/>
      <c r="AE45"/>
    </row>
    <row r="46" spans="2:31" ht="11.25" customHeight="1">
      <c r="B46" s="383" t="s">
        <v>517</v>
      </c>
      <c r="C46" s="6"/>
      <c r="D46" s="373">
        <f>LINEST(D8:D30,$C8:$C30)</f>
        <v>0.59475343164068828</v>
      </c>
      <c r="E46" s="373">
        <f>LINEST(E8:E29,$C8:$C29)</f>
        <v>0.59354413174662801</v>
      </c>
      <c r="F46" s="373">
        <f>LINEST(F8:F28,$C8:$C28)</f>
        <v>1.098762351540681</v>
      </c>
      <c r="G46" s="373">
        <f>LINEST(G8:G27,$C8:$C27)</f>
        <v>-7.9366133451496415E-2</v>
      </c>
      <c r="H46" s="373">
        <f>LINEST(H8:H26,$C8:$C26)</f>
        <v>0.22161706997491659</v>
      </c>
      <c r="I46" s="373">
        <f>LINEST(I8:I25,$C8:$C25)</f>
        <v>6.9444363761511044E-2</v>
      </c>
      <c r="J46" s="373">
        <f>LINEST(J8:J28,$C8:$C28)</f>
        <v>0.75158516880936821</v>
      </c>
      <c r="K46" s="373">
        <f>LINEST(K8:K27,$C8:$C27)</f>
        <v>0.39062157861421876</v>
      </c>
      <c r="L46" s="373">
        <f>LINEST(L8:L26,$C8:$C26)</f>
        <v>0.35084120931510104</v>
      </c>
      <c r="M46" s="373">
        <f>LINEST(M8:M25,$C8:$C25)</f>
        <v>0.29476750918127426</v>
      </c>
      <c r="N46" s="373"/>
      <c r="O46" s="370"/>
      <c r="P46" s="372"/>
      <c r="Q46" s="372"/>
      <c r="R46" s="372"/>
      <c r="S46" s="372"/>
      <c r="T46" s="372"/>
      <c r="U46" s="372"/>
      <c r="V46" s="372"/>
      <c r="X46"/>
      <c r="Y46"/>
      <c r="Z46"/>
      <c r="AA46"/>
      <c r="AB46"/>
      <c r="AC46"/>
      <c r="AD46"/>
      <c r="AE46"/>
    </row>
    <row r="47" spans="2:31" ht="11.25" customHeight="1">
      <c r="B47" s="383" t="s">
        <v>394</v>
      </c>
      <c r="C47" s="6"/>
      <c r="D47" s="386">
        <f>2 * (1 - _xlfn.T.DIST(ABS(INDEX(LINEST(D$8:D$30,$C8:$C30,TRUE,TRUE),1,1) / INDEX(LINEST(D$8:D$30,$C8:$C30,TRUE,TRUE),2,1)), COUNT($C$8:$C$30)-2, TRUE))</f>
        <v>0.15119487713799895</v>
      </c>
      <c r="E47" s="386">
        <f>2 * (1 - _xlfn.T.DIST(ABS(INDEX(LINEST(E$8:E$29,$C8:$C29,TRUE,TRUE),1,1) / INDEX(LINEST(E$8:E$29,$C8:$C29,TRUE,TRUE),2,1)), COUNT($C$8:$C$29)-2, TRUE))</f>
        <v>0.16235070883237346</v>
      </c>
      <c r="F47" s="386">
        <f>2 * (1 - _xlfn.T.DIST(ABS(INDEX(LINEST(F$8:F$28,$C8:$C28,TRUE,TRUE),1,1) / INDEX(LINEST(F$8:F$28,$C8:$C28,TRUE,TRUE),2,1)), COUNT($C$8:$C$28)-2, TRUE))</f>
        <v>5.6292984331256513E-3</v>
      </c>
      <c r="G47" s="386">
        <f>2 * (1 - _xlfn.T.DIST(ABS(INDEX(LINEST(G$8:G$27,$C8:$C27,TRUE,TRUE),1,1) / INDEX(LINEST(G$8:G$27,$C8:$C27,TRUE,TRUE),2,1)), COUNT($C$8:$C$27)-2, TRUE))</f>
        <v>0.73306725781350712</v>
      </c>
      <c r="H47" s="386">
        <f>2 * (1 - _xlfn.T.DIST(ABS(INDEX(LINEST(H$8:H$26,$C8:$C26,TRUE,TRUE),1,1) / INDEX(LINEST(H$8:H$26,$C8:$C26,TRUE,TRUE),2,1)), COUNT($C$8:$C$26)-2, TRUE))</f>
        <v>0.2599883299585235</v>
      </c>
      <c r="I47" s="386">
        <f>2 * (1 - _xlfn.T.DIST(ABS(INDEX(LINEST(I$8:I$25,$C8:$C25,TRUE,TRUE),1,1) / INDEX(LINEST(I$8:I$25,$C8:$C25,TRUE,TRUE),2,1)), COUNT($C$8:$C$25)-2, TRUE))</f>
        <v>0.72739286481541243</v>
      </c>
      <c r="J47" s="386">
        <f>2 * (1 - _xlfn.T.DIST(ABS(INDEX(LINEST(J$8:J$28,$C8:$C28,TRUE,TRUE),1,1) / INDEX(LINEST(J$8:J$28,$C8:$C28,TRUE,TRUE),2,1)), COUNT($C$8:$C$28)-2, TRUE))</f>
        <v>1.0276597378990893E-3</v>
      </c>
      <c r="K47" s="386">
        <f>2 * (1 - _xlfn.T.DIST(ABS(INDEX(LINEST(K$8:K$27,$C8:$C27,TRUE,TRUE),1,1) / INDEX(LINEST(K$8:K$27,$C8:$C27,TRUE,TRUE),2,1)), COUNT($C$8:$C$27)-2, TRUE))</f>
        <v>1.6092349002485573E-3</v>
      </c>
      <c r="L47" s="386">
        <f>2 * (1 - _xlfn.T.DIST(ABS(INDEX(LINEST(L$8:L$26,$C8:$C26,TRUE,TRUE),1,1) / INDEX(LINEST(L$8:L$26,$C8:$C26,TRUE,TRUE),2,1)), COUNT($C$8:$C$26)-2, TRUE))</f>
        <v>7.414961471756687E-4</v>
      </c>
      <c r="M47" s="386">
        <f>2 * (1 - _xlfn.T.DIST(ABS(INDEX(LINEST(M$8:M$25,$C8:$C25,TRUE,TRUE),1,1) / INDEX(LINEST(M$8:M$25,$C8:$C25,TRUE,TRUE),2,1)), COUNT($C$8:$C$25)-2, TRUE))</f>
        <v>3.7766142955275583E-3</v>
      </c>
      <c r="N47" s="370"/>
      <c r="O47" s="370"/>
      <c r="P47" s="372"/>
      <c r="Q47" s="372"/>
      <c r="R47" s="372"/>
      <c r="S47" s="372"/>
      <c r="T47" s="372"/>
      <c r="U47" s="372"/>
      <c r="V47" s="372"/>
      <c r="X47"/>
      <c r="Y47"/>
      <c r="Z47"/>
      <c r="AA47"/>
      <c r="AB47"/>
      <c r="AC47"/>
      <c r="AD47"/>
      <c r="AE47"/>
    </row>
    <row r="48" spans="2:31" ht="11.25" customHeight="1">
      <c r="B48" s="383" t="s">
        <v>516</v>
      </c>
      <c r="C48" s="6"/>
      <c r="D48" s="387" t="str">
        <f>IF(D47&lt;=0.05,"Yes","")</f>
        <v/>
      </c>
      <c r="E48" s="387" t="str">
        <f t="shared" ref="E48:M48" si="47">IF(E47&lt;=0.05,"Yes","")</f>
        <v/>
      </c>
      <c r="F48" s="387" t="str">
        <f t="shared" si="47"/>
        <v>Yes</v>
      </c>
      <c r="G48" s="387" t="str">
        <f t="shared" si="47"/>
        <v/>
      </c>
      <c r="H48" s="387" t="str">
        <f t="shared" si="47"/>
        <v/>
      </c>
      <c r="I48" s="387" t="str">
        <f t="shared" si="47"/>
        <v/>
      </c>
      <c r="J48" s="387" t="str">
        <f t="shared" si="47"/>
        <v>Yes</v>
      </c>
      <c r="K48" s="387" t="str">
        <f t="shared" si="47"/>
        <v>Yes</v>
      </c>
      <c r="L48" s="387" t="str">
        <f t="shared" si="47"/>
        <v>Yes</v>
      </c>
      <c r="M48" s="387" t="str">
        <f t="shared" si="47"/>
        <v>Yes</v>
      </c>
      <c r="N48" s="370"/>
      <c r="O48" s="370"/>
      <c r="P48" s="372"/>
      <c r="Q48" s="372"/>
      <c r="R48" s="372"/>
      <c r="S48" s="372"/>
      <c r="T48" s="372"/>
      <c r="U48" s="372"/>
      <c r="V48" s="372"/>
      <c r="X48"/>
      <c r="Y48"/>
      <c r="Z48"/>
      <c r="AA48"/>
      <c r="AB48"/>
      <c r="AC48"/>
      <c r="AD48"/>
      <c r="AE48"/>
    </row>
    <row r="49" spans="2:31" ht="11.25" customHeight="1">
      <c r="B49" s="383"/>
      <c r="C49" s="6"/>
      <c r="D49" s="386"/>
      <c r="E49" s="386"/>
      <c r="F49" s="385"/>
      <c r="G49" s="385"/>
      <c r="H49" s="385"/>
      <c r="I49" s="385"/>
      <c r="J49" s="52"/>
      <c r="K49" s="52"/>
      <c r="L49" s="373"/>
      <c r="M49" s="370"/>
      <c r="N49" s="370"/>
      <c r="O49" s="370"/>
      <c r="P49" s="372"/>
      <c r="Q49" s="372"/>
      <c r="R49" s="372"/>
      <c r="S49" s="372"/>
      <c r="T49" s="372"/>
      <c r="U49" s="372"/>
      <c r="V49" s="372"/>
      <c r="X49"/>
      <c r="Y49"/>
      <c r="Z49"/>
      <c r="AA49"/>
      <c r="AB49"/>
      <c r="AC49"/>
      <c r="AD49"/>
      <c r="AE49"/>
    </row>
    <row r="50" spans="2:31" ht="11.25" customHeight="1">
      <c r="B50" s="383" t="s">
        <v>513</v>
      </c>
      <c r="C50" s="6"/>
      <c r="D50" s="236"/>
      <c r="E50" s="236"/>
      <c r="F50" s="236">
        <f>F45+((F46)*$C32)</f>
        <v>0.27007215419653763</v>
      </c>
      <c r="G50" s="236"/>
      <c r="H50" s="236"/>
      <c r="I50" s="236"/>
      <c r="J50" s="52"/>
      <c r="K50" s="52"/>
      <c r="L50" s="373"/>
      <c r="M50" s="370"/>
      <c r="N50" s="370"/>
      <c r="O50" s="370"/>
      <c r="P50" s="372"/>
      <c r="Q50" s="372"/>
      <c r="R50" s="372"/>
      <c r="S50" s="372"/>
      <c r="T50" s="372"/>
      <c r="U50" s="372"/>
      <c r="V50" s="372"/>
      <c r="X50"/>
      <c r="Y50"/>
      <c r="Z50"/>
      <c r="AA50"/>
      <c r="AB50"/>
      <c r="AC50"/>
      <c r="AD50"/>
      <c r="AE50"/>
    </row>
    <row r="51" spans="2:31" ht="11.25" customHeight="1">
      <c r="B51" s="383" t="s">
        <v>514</v>
      </c>
      <c r="C51" s="6"/>
      <c r="D51" s="236"/>
      <c r="E51" s="236"/>
      <c r="F51" s="236"/>
      <c r="G51" s="236"/>
      <c r="H51" s="236"/>
      <c r="I51" s="236"/>
      <c r="J51" s="236">
        <f>J45+((J46)*$C33)</f>
        <v>0.19852514082344513</v>
      </c>
      <c r="K51" s="236">
        <f>K45+((K46)*$C33)</f>
        <v>0.1589218471186325</v>
      </c>
      <c r="L51" s="236">
        <f>L45+((L46)*$C33)</f>
        <v>0.15475408863529941</v>
      </c>
      <c r="M51" s="236">
        <f>M45+((M46)*$C33)</f>
        <v>0.15074113994846727</v>
      </c>
      <c r="N51" s="236"/>
      <c r="O51" s="370"/>
      <c r="P51" s="372"/>
      <c r="Q51" s="372"/>
      <c r="R51" s="372"/>
      <c r="S51" s="372"/>
      <c r="T51" s="372"/>
      <c r="U51" s="372"/>
      <c r="V51" s="372"/>
      <c r="X51"/>
      <c r="Y51"/>
      <c r="Z51"/>
      <c r="AA51"/>
      <c r="AB51"/>
      <c r="AC51"/>
      <c r="AD51"/>
      <c r="AE51"/>
    </row>
    <row r="52" spans="2:31" ht="11.25" customHeight="1">
      <c r="B52" s="383" t="s">
        <v>515</v>
      </c>
      <c r="C52" s="6"/>
      <c r="D52" s="384"/>
      <c r="E52" s="384"/>
      <c r="F52" s="384" t="e">
        <f>#REF!</f>
        <v>#REF!</v>
      </c>
      <c r="G52" s="384"/>
      <c r="H52" s="384"/>
      <c r="I52" s="384"/>
      <c r="J52" s="384" t="e">
        <f>(#REF!/#REF!)^(1/2)-1</f>
        <v>#REF!</v>
      </c>
      <c r="K52" s="384" t="e">
        <f>(#REF!/#REF!)^(1/3)-1</f>
        <v>#REF!</v>
      </c>
      <c r="L52" s="384" t="e">
        <f>(#REF!/#REF!)^(1/4)-1</f>
        <v>#REF!</v>
      </c>
      <c r="M52" s="384" t="e">
        <f>(#REF!/#REF!)^(1/5)-1</f>
        <v>#REF!</v>
      </c>
      <c r="N52" s="236"/>
      <c r="O52" s="370"/>
      <c r="P52" s="372"/>
      <c r="Q52" s="372"/>
      <c r="R52" s="372"/>
      <c r="S52" s="372"/>
      <c r="T52" s="372"/>
      <c r="U52" s="372"/>
      <c r="V52" s="372"/>
      <c r="X52"/>
      <c r="Y52"/>
      <c r="Z52"/>
      <c r="AA52"/>
      <c r="AB52"/>
      <c r="AC52"/>
      <c r="AD52"/>
      <c r="AE52"/>
    </row>
    <row r="53" spans="2:31">
      <c r="B53" s="6" t="s">
        <v>773</v>
      </c>
      <c r="J53" s="307">
        <f ca="1">('Simple Model (A)'!L12/'Simple Model (A)'!$J12)^(1/2)-1</f>
        <v>0.21536325788400146</v>
      </c>
      <c r="K53" s="307">
        <f ca="1">('Simple Model (A)'!M12/'Simple Model (A)'!$J12)^(1/3)-1</f>
        <v>0.1996491538855143</v>
      </c>
      <c r="L53" s="307">
        <f ca="1">('Simple Model (A)'!N12/'Simple Model (A)'!$J12)^(1/4)-1</f>
        <v>0.18777976177688172</v>
      </c>
      <c r="M53" s="307">
        <f ca="1">('Simple Model (A)'!O12/'Simple Model (A)'!$J12)^(1/5)-1</f>
        <v>0.18076473788583658</v>
      </c>
    </row>
  </sheetData>
  <pageMargins left="0.3" right="0.3" top="0.3" bottom="0.5" header="0.3" footer="0.3"/>
  <pageSetup scale="52" orientation="portrait" r:id="rId1"/>
  <headerFooter>
    <oddFooter>Page &amp;P of &amp;N</oddFooter>
  </headerFooter>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669A4-BE75-4B88-9B61-4249F366DC52}">
  <sheetPr>
    <tabColor theme="7" tint="0.79998168889431442"/>
  </sheetPr>
  <dimension ref="A1"/>
  <sheetViews>
    <sheetView workbookViewId="0"/>
  </sheetViews>
  <sheetFormatPr defaultRowHeight="15"/>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AD40F-F87F-402F-89D3-A31455461EBD}">
  <sheetPr>
    <tabColor theme="7" tint="0.79998168889431442"/>
  </sheetPr>
  <dimension ref="B2:K26"/>
  <sheetViews>
    <sheetView zoomScaleNormal="100" workbookViewId="0">
      <selection activeCell="K31" sqref="K31"/>
    </sheetView>
  </sheetViews>
  <sheetFormatPr defaultColWidth="8.85546875" defaultRowHeight="11.25"/>
  <cols>
    <col min="1" max="1" width="2.7109375" style="605" customWidth="1"/>
    <col min="2" max="5" width="8.85546875" style="605"/>
    <col min="6" max="6" width="1.7109375" style="605" customWidth="1"/>
    <col min="7" max="7" width="13.7109375" style="605" customWidth="1"/>
    <col min="8" max="8" width="1.7109375" style="605" customWidth="1"/>
    <col min="9" max="9" width="13.7109375" style="605" customWidth="1"/>
    <col min="10" max="10" width="2.7109375" style="605" customWidth="1"/>
    <col min="11" max="11" width="80.7109375" style="605" customWidth="1"/>
    <col min="12" max="16384" width="8.85546875" style="605"/>
  </cols>
  <sheetData>
    <row r="2" spans="2:11" s="5" customFormat="1">
      <c r="B2" s="5" t="s">
        <v>114</v>
      </c>
      <c r="K2" s="414">
        <f ca="1">TODAY()</f>
        <v>45796</v>
      </c>
    </row>
    <row r="3" spans="2:11" s="293" customFormat="1">
      <c r="B3" s="293" t="s">
        <v>946</v>
      </c>
    </row>
    <row r="6" spans="2:11">
      <c r="C6" s="606"/>
      <c r="D6" s="607" t="s">
        <v>954</v>
      </c>
      <c r="E6" s="606"/>
      <c r="K6" s="5"/>
    </row>
    <row r="7" spans="2:11" ht="57.75">
      <c r="C7" s="609" t="s">
        <v>285</v>
      </c>
      <c r="D7" s="609" t="s">
        <v>15</v>
      </c>
      <c r="E7" s="609" t="s">
        <v>947</v>
      </c>
      <c r="F7" s="389"/>
      <c r="G7" s="609" t="s">
        <v>964</v>
      </c>
      <c r="I7" s="609" t="s">
        <v>963</v>
      </c>
      <c r="K7" s="608" t="s">
        <v>29</v>
      </c>
    </row>
    <row r="8" spans="2:11">
      <c r="C8" s="614"/>
      <c r="D8" s="614"/>
      <c r="E8" s="39" t="s">
        <v>951</v>
      </c>
      <c r="F8" s="6"/>
      <c r="G8" s="39" t="s">
        <v>952</v>
      </c>
      <c r="H8" s="6"/>
      <c r="I8" s="39" t="s">
        <v>953</v>
      </c>
      <c r="K8" s="5"/>
    </row>
    <row r="9" spans="2:11">
      <c r="C9" s="614"/>
      <c r="D9" s="614"/>
      <c r="E9" s="614"/>
      <c r="F9" s="389"/>
      <c r="G9" s="614"/>
      <c r="I9" s="614"/>
      <c r="K9" s="5"/>
    </row>
    <row r="10" spans="2:11">
      <c r="B10" s="619" t="s">
        <v>857</v>
      </c>
      <c r="C10" s="16">
        <v>67003</v>
      </c>
      <c r="D10" s="16">
        <v>385603</v>
      </c>
      <c r="E10" s="620">
        <f>+C10/D10</f>
        <v>0.1737616149251951</v>
      </c>
      <c r="F10" s="620"/>
      <c r="G10" s="621">
        <v>0.25</v>
      </c>
      <c r="H10" s="620"/>
      <c r="I10" s="625">
        <f>+E10*G10</f>
        <v>4.3440403731298774E-2</v>
      </c>
      <c r="K10" s="623" t="s">
        <v>955</v>
      </c>
    </row>
    <row r="11" spans="2:11" ht="22.5">
      <c r="B11" s="619" t="s">
        <v>859</v>
      </c>
      <c r="C11" s="239" t="s">
        <v>548</v>
      </c>
      <c r="D11" s="239" t="s">
        <v>548</v>
      </c>
      <c r="E11" s="621">
        <v>0.2</v>
      </c>
      <c r="F11" s="621"/>
      <c r="G11" s="621">
        <v>0.11</v>
      </c>
      <c r="H11" s="620"/>
      <c r="I11" s="625">
        <f t="shared" ref="I11:I16" si="0">+E11*G11</f>
        <v>2.2000000000000002E-2</v>
      </c>
      <c r="K11" s="623" t="s">
        <v>961</v>
      </c>
    </row>
    <row r="12" spans="2:11">
      <c r="B12" s="619" t="s">
        <v>861</v>
      </c>
      <c r="C12" s="16">
        <v>11207</v>
      </c>
      <c r="D12" s="16">
        <v>79774</v>
      </c>
      <c r="E12" s="620">
        <f>+C12/D12</f>
        <v>0.14048436834056208</v>
      </c>
      <c r="F12" s="620"/>
      <c r="G12" s="621">
        <v>7.0000000000000007E-2</v>
      </c>
      <c r="H12" s="620"/>
      <c r="I12" s="625">
        <f t="shared" si="0"/>
        <v>9.8339057838393463E-3</v>
      </c>
      <c r="K12" s="623" t="s">
        <v>956</v>
      </c>
    </row>
    <row r="13" spans="2:11">
      <c r="B13" s="619" t="s">
        <v>860</v>
      </c>
      <c r="C13" s="239">
        <v>22382</v>
      </c>
      <c r="D13" s="239">
        <v>35820</v>
      </c>
      <c r="E13" s="620">
        <f>+C13/D13</f>
        <v>0.62484645449469567</v>
      </c>
      <c r="F13" s="621"/>
      <c r="G13" s="621">
        <v>7.0000000000000007E-2</v>
      </c>
      <c r="H13" s="620"/>
      <c r="I13" s="625">
        <f t="shared" si="0"/>
        <v>4.3739251814628698E-2</v>
      </c>
      <c r="K13" s="623" t="s">
        <v>957</v>
      </c>
    </row>
    <row r="14" spans="2:11">
      <c r="B14" s="619" t="s">
        <v>862</v>
      </c>
      <c r="C14" s="239">
        <v>11533</v>
      </c>
      <c r="D14" s="239">
        <v>35819</v>
      </c>
      <c r="E14" s="620">
        <f>+C14/D14</f>
        <v>0.32197995477260671</v>
      </c>
      <c r="F14" s="621"/>
      <c r="G14" s="621">
        <v>0.05</v>
      </c>
      <c r="H14" s="620"/>
      <c r="I14" s="625">
        <f t="shared" si="0"/>
        <v>1.6098997738630338E-2</v>
      </c>
      <c r="K14" s="623" t="s">
        <v>957</v>
      </c>
    </row>
    <row r="15" spans="2:11">
      <c r="B15" s="619" t="s">
        <v>858</v>
      </c>
      <c r="C15" s="239" t="s">
        <v>548</v>
      </c>
      <c r="D15" s="239" t="s">
        <v>548</v>
      </c>
      <c r="E15" s="621">
        <v>0.4</v>
      </c>
      <c r="F15" s="620"/>
      <c r="G15" s="621">
        <v>0.05</v>
      </c>
      <c r="H15" s="620"/>
      <c r="I15" s="625">
        <f t="shared" si="0"/>
        <v>2.0000000000000004E-2</v>
      </c>
      <c r="K15" s="623" t="s">
        <v>958</v>
      </c>
    </row>
    <row r="16" spans="2:11" ht="13.5">
      <c r="B16" s="619" t="s">
        <v>863</v>
      </c>
      <c r="C16" s="239">
        <v>14854</v>
      </c>
      <c r="D16" s="239">
        <v>54228</v>
      </c>
      <c r="E16" s="620">
        <f>+C16/D16</f>
        <v>0.27391753337759089</v>
      </c>
      <c r="F16" s="620"/>
      <c r="G16" s="622">
        <v>0.03</v>
      </c>
      <c r="H16" s="620"/>
      <c r="I16" s="626">
        <f t="shared" si="0"/>
        <v>8.2175260013277272E-3</v>
      </c>
      <c r="K16" s="623" t="s">
        <v>956</v>
      </c>
    </row>
    <row r="17" spans="2:11">
      <c r="B17" s="612" t="s">
        <v>949</v>
      </c>
      <c r="E17" s="610"/>
      <c r="F17" s="610"/>
      <c r="G17" s="610">
        <f>+SUM(G10:G16)</f>
        <v>0.63000000000000012</v>
      </c>
      <c r="H17" s="610"/>
      <c r="I17" s="610">
        <f>+SUM(I10:I16)</f>
        <v>0.16333008506972488</v>
      </c>
    </row>
    <row r="18" spans="2:11" ht="13.5">
      <c r="B18" s="605" t="s">
        <v>950</v>
      </c>
      <c r="E18" s="610"/>
      <c r="F18" s="610"/>
      <c r="G18" s="610"/>
      <c r="H18" s="610"/>
      <c r="I18" s="613">
        <f>+I17/G17*(1-G17)*0.5</f>
        <v>4.7962009107776329E-2</v>
      </c>
      <c r="K18" s="6" t="s">
        <v>959</v>
      </c>
    </row>
    <row r="19" spans="2:11">
      <c r="B19" s="612" t="s">
        <v>948</v>
      </c>
      <c r="E19" s="610"/>
      <c r="F19" s="610"/>
      <c r="G19" s="610"/>
      <c r="H19" s="610"/>
      <c r="I19" s="615">
        <f>+SUM(I17:I18)</f>
        <v>0.21129209417750122</v>
      </c>
    </row>
    <row r="20" spans="2:11" ht="13.5">
      <c r="B20" s="605" t="s">
        <v>962</v>
      </c>
      <c r="E20" s="610"/>
      <c r="F20" s="610"/>
      <c r="G20" s="610"/>
      <c r="H20" s="610"/>
      <c r="I20" s="611">
        <f>+SUMPRODUCT('Historical Financials'!R145:U145,'Historical Financials'!R111:U111)/SUM('Historical Financials'!R111:U111)</f>
        <v>0.12119167144574905</v>
      </c>
      <c r="K20" s="6" t="s">
        <v>960</v>
      </c>
    </row>
    <row r="21" spans="2:11">
      <c r="B21" s="616" t="s">
        <v>966</v>
      </c>
      <c r="C21" s="617"/>
      <c r="D21" s="617"/>
      <c r="E21" s="617"/>
      <c r="F21" s="617"/>
      <c r="G21" s="617"/>
      <c r="H21" s="617"/>
      <c r="I21" s="618">
        <f>+SUM(I19:I20)</f>
        <v>0.33248376562325027</v>
      </c>
    </row>
    <row r="24" spans="2:11" s="606" customFormat="1">
      <c r="B24" s="293" t="s">
        <v>29</v>
      </c>
    </row>
    <row r="25" spans="2:11">
      <c r="B25" s="624" t="s">
        <v>965</v>
      </c>
    </row>
    <row r="26" spans="2:11">
      <c r="B26" s="624" t="s">
        <v>967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9CBBC-B4BB-4A14-849B-88E33E615709}">
  <sheetPr>
    <tabColor theme="7" tint="0.79998168889431442"/>
  </sheetPr>
  <dimension ref="B2:N233"/>
  <sheetViews>
    <sheetView view="pageBreakPreview" zoomScaleNormal="100" zoomScaleSheetLayoutView="100" workbookViewId="0">
      <pane xSplit="3" ySplit="6" topLeftCell="D7" activePane="bottomRight" state="frozen"/>
      <selection pane="topRight"/>
      <selection pane="bottomLeft"/>
      <selection pane="bottomRight" activeCell="D30" sqref="D30:H30"/>
    </sheetView>
  </sheetViews>
  <sheetFormatPr defaultColWidth="9.140625" defaultRowHeight="11.25"/>
  <cols>
    <col min="1" max="1" width="2.7109375" style="2" customWidth="1"/>
    <col min="2" max="2" width="22.140625" style="2" customWidth="1"/>
    <col min="3" max="3" width="2.42578125" style="2" customWidth="1"/>
    <col min="4" max="11" width="9.140625" style="2"/>
    <col min="12" max="12" width="2.7109375" style="2" customWidth="1"/>
    <col min="13" max="16384" width="9.140625" style="2"/>
  </cols>
  <sheetData>
    <row r="2" spans="2:14">
      <c r="B2" s="597" t="s">
        <v>855</v>
      </c>
      <c r="C2" s="582"/>
      <c r="D2" s="582"/>
      <c r="E2" s="599" t="s">
        <v>929</v>
      </c>
      <c r="F2" s="582"/>
      <c r="G2" s="582"/>
      <c r="H2" s="582"/>
      <c r="I2" s="582"/>
      <c r="J2" s="598">
        <f ca="1">TODAY()</f>
        <v>45796</v>
      </c>
      <c r="N2" s="414"/>
    </row>
    <row r="3" spans="2:14">
      <c r="B3" s="5" t="s">
        <v>877</v>
      </c>
    </row>
    <row r="4" spans="2:14">
      <c r="B4" s="7" t="s">
        <v>856</v>
      </c>
      <c r="C4" s="270"/>
      <c r="D4" s="270"/>
      <c r="E4" s="270"/>
      <c r="F4" s="270"/>
      <c r="G4" s="270"/>
      <c r="H4" s="270"/>
      <c r="I4" s="270"/>
      <c r="J4" s="270"/>
    </row>
    <row r="6" spans="2:14" ht="13.5">
      <c r="D6" s="568" t="s">
        <v>2</v>
      </c>
      <c r="E6" s="568" t="s">
        <v>3</v>
      </c>
      <c r="F6" s="568" t="s">
        <v>4</v>
      </c>
      <c r="G6" s="568" t="s">
        <v>5</v>
      </c>
      <c r="H6" s="568" t="s">
        <v>68</v>
      </c>
      <c r="I6" s="568" t="s">
        <v>6</v>
      </c>
      <c r="J6" s="568" t="s">
        <v>22</v>
      </c>
      <c r="K6" s="568" t="s">
        <v>23</v>
      </c>
    </row>
    <row r="7" spans="2:14" ht="11.25" customHeight="1">
      <c r="B7" s="25"/>
      <c r="D7" s="568"/>
      <c r="E7" s="568"/>
      <c r="F7" s="568"/>
      <c r="G7" s="568"/>
      <c r="H7" s="568"/>
      <c r="I7" s="568"/>
      <c r="J7" s="568"/>
    </row>
    <row r="8" spans="2:14" ht="11.25" customHeight="1">
      <c r="B8" s="11" t="s">
        <v>895</v>
      </c>
      <c r="C8" s="10"/>
      <c r="D8" s="568"/>
      <c r="E8" s="568"/>
      <c r="F8" s="568"/>
      <c r="G8" s="568"/>
      <c r="H8" s="568"/>
      <c r="I8" s="568"/>
      <c r="J8" s="568"/>
    </row>
    <row r="9" spans="2:14" ht="11.25" customHeight="1">
      <c r="B9" s="25"/>
      <c r="D9" s="568"/>
      <c r="E9" s="568"/>
      <c r="F9" s="568"/>
      <c r="G9" s="568"/>
      <c r="H9" s="568"/>
      <c r="I9" s="568"/>
      <c r="J9" s="568"/>
    </row>
    <row r="10" spans="2:14" ht="11.25" customHeight="1">
      <c r="B10" s="243" t="s">
        <v>770</v>
      </c>
      <c r="D10" s="568"/>
      <c r="E10" s="568"/>
      <c r="F10" s="568"/>
      <c r="G10" s="568"/>
      <c r="H10" s="568"/>
      <c r="I10" s="568"/>
      <c r="J10" s="568"/>
    </row>
    <row r="11" spans="2:14">
      <c r="B11" s="2" t="s">
        <v>857</v>
      </c>
      <c r="D11" s="139">
        <v>0.23</v>
      </c>
      <c r="E11" s="139">
        <v>0.25</v>
      </c>
      <c r="F11" s="139">
        <v>0.26</v>
      </c>
      <c r="G11" s="139">
        <v>0.23</v>
      </c>
      <c r="H11" s="139">
        <v>0.25</v>
      </c>
      <c r="I11" s="139"/>
      <c r="J11" s="139"/>
    </row>
    <row r="12" spans="2:14">
      <c r="B12" s="2" t="s">
        <v>858</v>
      </c>
      <c r="D12" s="139">
        <v>0.06</v>
      </c>
      <c r="E12" s="139">
        <v>0.08</v>
      </c>
      <c r="F12" s="139">
        <v>0.1</v>
      </c>
      <c r="G12" s="139">
        <v>7.0000000000000007E-2</v>
      </c>
      <c r="H12" s="139">
        <v>0.05</v>
      </c>
      <c r="I12" s="139"/>
      <c r="J12" s="139"/>
    </row>
    <row r="13" spans="2:14">
      <c r="B13" s="2" t="s">
        <v>859</v>
      </c>
      <c r="D13" s="139">
        <v>0.04</v>
      </c>
      <c r="E13" s="139">
        <v>0.06</v>
      </c>
      <c r="F13" s="139">
        <v>0.1</v>
      </c>
      <c r="G13" s="139">
        <v>0.09</v>
      </c>
      <c r="H13" s="139">
        <v>0.11</v>
      </c>
      <c r="I13" s="139"/>
      <c r="J13" s="139"/>
    </row>
    <row r="14" spans="2:14">
      <c r="B14" s="2" t="s">
        <v>860</v>
      </c>
      <c r="D14" s="139">
        <v>7.0000000000000007E-2</v>
      </c>
      <c r="E14" s="139">
        <v>0.05</v>
      </c>
      <c r="F14" s="139">
        <v>0.08</v>
      </c>
      <c r="G14" s="139">
        <v>0.09</v>
      </c>
      <c r="H14" s="139">
        <v>7.0000000000000007E-2</v>
      </c>
      <c r="I14" s="139"/>
      <c r="J14" s="139"/>
    </row>
    <row r="15" spans="2:14">
      <c r="B15" s="2" t="s">
        <v>861</v>
      </c>
      <c r="D15" s="139">
        <v>0.06</v>
      </c>
      <c r="E15" s="139">
        <v>0.04</v>
      </c>
      <c r="F15" s="139">
        <v>0.04</v>
      </c>
      <c r="G15" s="139">
        <v>0.06</v>
      </c>
      <c r="H15" s="139">
        <v>7.0000000000000007E-2</v>
      </c>
      <c r="I15" s="139"/>
      <c r="J15" s="139"/>
    </row>
    <row r="16" spans="2:14">
      <c r="B16" s="2" t="s">
        <v>862</v>
      </c>
      <c r="D16" s="139">
        <v>0.05</v>
      </c>
      <c r="E16" s="139">
        <v>0.04</v>
      </c>
      <c r="F16" s="139">
        <v>0.05</v>
      </c>
      <c r="G16" s="139">
        <v>0.03</v>
      </c>
      <c r="H16" s="139">
        <v>0.05</v>
      </c>
      <c r="I16" s="139"/>
      <c r="J16" s="139"/>
    </row>
    <row r="17" spans="2:10">
      <c r="B17" s="2" t="s">
        <v>863</v>
      </c>
      <c r="D17" s="139">
        <v>0.02</v>
      </c>
      <c r="E17" s="139">
        <v>0.02</v>
      </c>
      <c r="F17" s="139">
        <v>0.02</v>
      </c>
      <c r="G17" s="139">
        <v>0.04</v>
      </c>
      <c r="H17" s="139">
        <v>0.03</v>
      </c>
      <c r="I17" s="139"/>
      <c r="J17" s="139"/>
    </row>
    <row r="18" spans="2:10">
      <c r="B18" s="2" t="s">
        <v>872</v>
      </c>
      <c r="D18" s="139">
        <v>0.14000000000000001</v>
      </c>
      <c r="E18" s="139">
        <v>0.12</v>
      </c>
      <c r="F18" s="139">
        <v>0</v>
      </c>
      <c r="G18" s="139">
        <v>0</v>
      </c>
      <c r="H18" s="139">
        <v>0</v>
      </c>
      <c r="I18" s="139"/>
      <c r="J18" s="139"/>
    </row>
    <row r="19" spans="2:10" ht="13.5">
      <c r="B19" s="2" t="s">
        <v>188</v>
      </c>
      <c r="D19" s="529">
        <f>1-SUM(D11:D18)</f>
        <v>0.32999999999999996</v>
      </c>
      <c r="E19" s="529">
        <f>1-SUM(E11:E18)</f>
        <v>0.33999999999999997</v>
      </c>
      <c r="F19" s="529">
        <f>1-SUM(F11:F18)</f>
        <v>0.35</v>
      </c>
      <c r="G19" s="529">
        <f>1-SUM(G11:G18)</f>
        <v>0.3899999999999999</v>
      </c>
      <c r="H19" s="529">
        <f>1-SUM(H11:H18)</f>
        <v>0.36999999999999988</v>
      </c>
      <c r="I19" s="569"/>
      <c r="J19" s="569"/>
    </row>
    <row r="20" spans="2:10" s="5" customFormat="1">
      <c r="B20" s="60" t="s">
        <v>15</v>
      </c>
      <c r="D20" s="576">
        <v>1</v>
      </c>
      <c r="E20" s="576">
        <v>1</v>
      </c>
      <c r="F20" s="576">
        <v>1</v>
      </c>
      <c r="G20" s="576">
        <v>1</v>
      </c>
      <c r="H20" s="576">
        <v>1</v>
      </c>
      <c r="I20" s="500"/>
      <c r="J20" s="500"/>
    </row>
    <row r="21" spans="2:10" s="5" customFormat="1">
      <c r="B21" s="60"/>
      <c r="D21" s="576"/>
      <c r="E21" s="576"/>
      <c r="F21" s="576"/>
      <c r="G21" s="576"/>
      <c r="H21" s="500"/>
      <c r="I21" s="500"/>
      <c r="J21" s="500"/>
    </row>
    <row r="22" spans="2:10" s="5" customFormat="1">
      <c r="B22" s="25" t="s">
        <v>864</v>
      </c>
      <c r="D22" s="576"/>
      <c r="E22" s="576"/>
      <c r="F22" s="576"/>
      <c r="G22" s="576"/>
      <c r="H22" s="500"/>
      <c r="I22" s="500"/>
      <c r="J22" s="500"/>
    </row>
    <row r="23" spans="2:10">
      <c r="B23" s="2" t="s">
        <v>857</v>
      </c>
      <c r="D23" s="139">
        <v>0.23240589198035999</v>
      </c>
      <c r="E23" s="139">
        <v>0.25695581014729901</v>
      </c>
      <c r="F23" s="139">
        <v>0.25531914893617003</v>
      </c>
      <c r="G23" s="139">
        <v>0.220949263502454</v>
      </c>
      <c r="H23" s="139">
        <v>0.245499181669394</v>
      </c>
      <c r="I23" s="139">
        <v>0.24590163934426204</v>
      </c>
      <c r="J23" s="139">
        <v>0.2450980392156881</v>
      </c>
    </row>
    <row r="24" spans="2:10">
      <c r="B24" s="2" t="s">
        <v>858</v>
      </c>
      <c r="D24" s="139">
        <v>5.2373158756137017E-2</v>
      </c>
      <c r="E24" s="139">
        <v>6.8739770867429995E-2</v>
      </c>
      <c r="F24" s="139">
        <v>9.4926350245499003E-2</v>
      </c>
      <c r="G24" s="139">
        <v>8.3469721767594041E-2</v>
      </c>
      <c r="H24" s="139">
        <v>6.7103109656300952E-2</v>
      </c>
      <c r="I24" s="139">
        <v>7.5409836065574248E-2</v>
      </c>
      <c r="J24" s="139">
        <v>9.3137254901961716E-2</v>
      </c>
    </row>
    <row r="25" spans="2:10">
      <c r="B25" s="2" t="s">
        <v>859</v>
      </c>
      <c r="D25" s="139">
        <v>6.5466448445171965E-2</v>
      </c>
      <c r="E25" s="139">
        <v>8.6743044189853069E-2</v>
      </c>
      <c r="F25" s="139">
        <v>9.4926350245499003E-2</v>
      </c>
      <c r="G25" s="139">
        <v>9.3289689034369017E-2</v>
      </c>
      <c r="H25" s="139">
        <v>0.10638297872340402</v>
      </c>
      <c r="I25" s="139">
        <v>0.10000000000000096</v>
      </c>
      <c r="J25" s="139">
        <v>0.10130718954248423</v>
      </c>
    </row>
    <row r="26" spans="2:10">
      <c r="B26" s="2" t="s">
        <v>860</v>
      </c>
      <c r="D26" s="139">
        <v>6.5466448445172021E-2</v>
      </c>
      <c r="E26" s="139">
        <v>7.3649754500817899E-2</v>
      </c>
      <c r="F26" s="139">
        <v>8.6743044189853014E-2</v>
      </c>
      <c r="G26" s="139">
        <v>8.6743044189853014E-2</v>
      </c>
      <c r="H26" s="139">
        <v>7.5286415711947996E-2</v>
      </c>
      <c r="I26" s="139">
        <v>6.5573770491802505E-2</v>
      </c>
      <c r="J26" s="139">
        <v>6.2091503267974218E-2</v>
      </c>
    </row>
    <row r="27" spans="2:10">
      <c r="B27" s="2" t="s">
        <v>861</v>
      </c>
      <c r="D27" s="139">
        <v>9.165302782324003E-2</v>
      </c>
      <c r="E27" s="139">
        <v>8.3469721767593985E-2</v>
      </c>
      <c r="F27" s="139">
        <v>7.6923076923076983E-2</v>
      </c>
      <c r="G27" s="139">
        <v>6.0556464811784977E-2</v>
      </c>
      <c r="H27" s="139">
        <v>9.4926350245499003E-2</v>
      </c>
      <c r="I27" s="139">
        <v>0.14098360655737668</v>
      </c>
      <c r="J27" s="139">
        <v>0.15196078431372731</v>
      </c>
    </row>
    <row r="28" spans="2:10">
      <c r="B28" s="2" t="s">
        <v>862</v>
      </c>
      <c r="D28" s="139">
        <v>4.4189852700491028E-2</v>
      </c>
      <c r="E28" s="139">
        <v>3.9279869067103013E-2</v>
      </c>
      <c r="F28" s="139">
        <v>3.7643207855974081E-2</v>
      </c>
      <c r="G28" s="139">
        <v>3.9279869067103013E-2</v>
      </c>
      <c r="H28" s="139">
        <v>5.0736497545008086E-2</v>
      </c>
      <c r="I28" s="139">
        <v>5.7377049180327461E-2</v>
      </c>
      <c r="J28" s="139">
        <v>5.555555555555599E-2</v>
      </c>
    </row>
    <row r="29" spans="2:10">
      <c r="B29" s="2" t="s">
        <v>863</v>
      </c>
      <c r="D29" s="139">
        <v>8.1833060556459891E-3</v>
      </c>
      <c r="E29" s="139">
        <v>6.5466448445170577E-3</v>
      </c>
      <c r="F29" s="139">
        <v>6.5466448445169467E-3</v>
      </c>
      <c r="G29" s="139">
        <v>1.6366612111292977E-2</v>
      </c>
      <c r="H29" s="139">
        <v>1.8003273322422908E-2</v>
      </c>
      <c r="I29" s="139">
        <v>2.6229508196721599E-2</v>
      </c>
      <c r="J29" s="139">
        <v>6.2091503267974218E-2</v>
      </c>
    </row>
    <row r="30" spans="2:10">
      <c r="B30" s="2" t="s">
        <v>872</v>
      </c>
      <c r="D30" s="139">
        <v>0.14402618657937799</v>
      </c>
      <c r="E30" s="139">
        <v>0.13093289689034399</v>
      </c>
      <c r="F30" s="139">
        <v>0</v>
      </c>
      <c r="G30" s="139">
        <v>0</v>
      </c>
      <c r="H30" s="139">
        <v>0</v>
      </c>
      <c r="I30" s="139">
        <v>0</v>
      </c>
      <c r="J30" s="139">
        <v>0</v>
      </c>
    </row>
    <row r="31" spans="2:10" ht="13.5">
      <c r="B31" s="2" t="s">
        <v>188</v>
      </c>
      <c r="D31" s="529">
        <f>1-SUM(D23:D30)</f>
        <v>0.29623567921440386</v>
      </c>
      <c r="E31" s="529">
        <f>1-SUM(E23:E30)</f>
        <v>0.25368248772504187</v>
      </c>
      <c r="F31" s="529">
        <f>1-SUM(F23:F30)</f>
        <v>0.34697217675941094</v>
      </c>
      <c r="G31" s="529">
        <f t="shared" ref="G31:H31" si="0">1-SUM(G23:G30)</f>
        <v>0.39934533551554896</v>
      </c>
      <c r="H31" s="529">
        <f t="shared" si="0"/>
        <v>0.34206219312602304</v>
      </c>
      <c r="I31" s="569">
        <v>0.2885245901639345</v>
      </c>
      <c r="J31" s="569">
        <v>0.22875816993463419</v>
      </c>
    </row>
    <row r="32" spans="2:10" s="5" customFormat="1">
      <c r="B32" s="60" t="s">
        <v>15</v>
      </c>
      <c r="D32" s="576">
        <v>1</v>
      </c>
      <c r="E32" s="576">
        <v>1</v>
      </c>
      <c r="F32" s="576">
        <v>1</v>
      </c>
      <c r="G32" s="576">
        <v>1</v>
      </c>
      <c r="H32" s="576">
        <v>1</v>
      </c>
      <c r="I32" s="500">
        <f>SUM(I23:I31)</f>
        <v>1</v>
      </c>
      <c r="J32" s="500">
        <f>SUM(J23:J31)</f>
        <v>0.99999999999999989</v>
      </c>
    </row>
    <row r="33" spans="2:10" s="5" customFormat="1">
      <c r="B33" s="60"/>
      <c r="D33" s="576"/>
      <c r="E33" s="576"/>
      <c r="F33" s="576"/>
      <c r="G33" s="576"/>
      <c r="H33" s="500"/>
      <c r="I33" s="500"/>
      <c r="J33" s="500"/>
    </row>
    <row r="34" spans="2:10" s="5" customFormat="1">
      <c r="B34" s="25" t="s">
        <v>312</v>
      </c>
      <c r="D34" s="576"/>
      <c r="E34" s="576"/>
      <c r="F34" s="576"/>
      <c r="G34" s="576"/>
      <c r="H34" s="500"/>
      <c r="I34" s="500"/>
      <c r="J34" s="500"/>
    </row>
    <row r="35" spans="2:10">
      <c r="B35" s="2" t="s">
        <v>857</v>
      </c>
      <c r="D35" s="138">
        <f t="shared" ref="D35:J43" si="1">IFERROR(AVERAGE(D11,D23),"n/a")</f>
        <v>0.23120294599017999</v>
      </c>
      <c r="E35" s="138">
        <f t="shared" si="1"/>
        <v>0.25347790507364953</v>
      </c>
      <c r="F35" s="138">
        <f t="shared" si="1"/>
        <v>0.25765957446808502</v>
      </c>
      <c r="G35" s="138">
        <f t="shared" si="1"/>
        <v>0.22547463175122701</v>
      </c>
      <c r="H35" s="138">
        <f t="shared" si="1"/>
        <v>0.247749590834697</v>
      </c>
      <c r="I35" s="138">
        <f t="shared" si="1"/>
        <v>0.24590163934426204</v>
      </c>
      <c r="J35" s="138">
        <f t="shared" si="1"/>
        <v>0.2450980392156881</v>
      </c>
    </row>
    <row r="36" spans="2:10">
      <c r="B36" s="2" t="s">
        <v>858</v>
      </c>
      <c r="D36" s="138">
        <f t="shared" si="1"/>
        <v>5.6186579378068507E-2</v>
      </c>
      <c r="E36" s="138">
        <f t="shared" si="1"/>
        <v>7.4369885433715005E-2</v>
      </c>
      <c r="F36" s="138">
        <f t="shared" si="1"/>
        <v>9.7463175122749504E-2</v>
      </c>
      <c r="G36" s="138">
        <f t="shared" si="1"/>
        <v>7.6734860883797024E-2</v>
      </c>
      <c r="H36" s="138">
        <f t="shared" si="1"/>
        <v>5.8551554828150477E-2</v>
      </c>
      <c r="I36" s="138">
        <f t="shared" si="1"/>
        <v>7.5409836065574248E-2</v>
      </c>
      <c r="J36" s="138">
        <f t="shared" si="1"/>
        <v>9.3137254901961716E-2</v>
      </c>
    </row>
    <row r="37" spans="2:10">
      <c r="B37" s="2" t="s">
        <v>859</v>
      </c>
      <c r="D37" s="138">
        <f t="shared" si="1"/>
        <v>5.2733224222585987E-2</v>
      </c>
      <c r="E37" s="138">
        <f t="shared" si="1"/>
        <v>7.3371522094926533E-2</v>
      </c>
      <c r="F37" s="138">
        <f t="shared" si="1"/>
        <v>9.7463175122749504E-2</v>
      </c>
      <c r="G37" s="138">
        <f t="shared" si="1"/>
        <v>9.1644844517184507E-2</v>
      </c>
      <c r="H37" s="138">
        <f t="shared" si="1"/>
        <v>0.108191489361702</v>
      </c>
      <c r="I37" s="138">
        <f t="shared" si="1"/>
        <v>0.10000000000000096</v>
      </c>
      <c r="J37" s="138">
        <f t="shared" si="1"/>
        <v>0.10130718954248423</v>
      </c>
    </row>
    <row r="38" spans="2:10">
      <c r="B38" s="2" t="s">
        <v>860</v>
      </c>
      <c r="D38" s="138">
        <f t="shared" si="1"/>
        <v>6.7733224222586014E-2</v>
      </c>
      <c r="E38" s="138">
        <f t="shared" si="1"/>
        <v>6.1824877250408951E-2</v>
      </c>
      <c r="F38" s="138">
        <f t="shared" si="1"/>
        <v>8.3371522094926515E-2</v>
      </c>
      <c r="G38" s="138">
        <f t="shared" si="1"/>
        <v>8.8371522094926505E-2</v>
      </c>
      <c r="H38" s="138">
        <f t="shared" si="1"/>
        <v>7.2643207855974001E-2</v>
      </c>
      <c r="I38" s="138">
        <f t="shared" si="1"/>
        <v>6.5573770491802505E-2</v>
      </c>
      <c r="J38" s="138">
        <f t="shared" si="1"/>
        <v>6.2091503267974218E-2</v>
      </c>
    </row>
    <row r="39" spans="2:10">
      <c r="B39" s="2" t="s">
        <v>861</v>
      </c>
      <c r="D39" s="138">
        <f t="shared" si="1"/>
        <v>7.5826513911620014E-2</v>
      </c>
      <c r="E39" s="138">
        <f t="shared" si="1"/>
        <v>6.1734860883796996E-2</v>
      </c>
      <c r="F39" s="138">
        <f t="shared" si="1"/>
        <v>5.8461538461538495E-2</v>
      </c>
      <c r="G39" s="138">
        <f t="shared" si="1"/>
        <v>6.0278232405892487E-2</v>
      </c>
      <c r="H39" s="138">
        <f t="shared" si="1"/>
        <v>8.2463175122749505E-2</v>
      </c>
      <c r="I39" s="138">
        <f t="shared" si="1"/>
        <v>0.14098360655737668</v>
      </c>
      <c r="J39" s="138">
        <f t="shared" si="1"/>
        <v>0.15196078431372731</v>
      </c>
    </row>
    <row r="40" spans="2:10">
      <c r="B40" s="2" t="s">
        <v>862</v>
      </c>
      <c r="D40" s="138">
        <f t="shared" si="1"/>
        <v>4.7094926350245515E-2</v>
      </c>
      <c r="E40" s="138">
        <f t="shared" si="1"/>
        <v>3.963993453355151E-2</v>
      </c>
      <c r="F40" s="138">
        <f t="shared" si="1"/>
        <v>4.3821603927987042E-2</v>
      </c>
      <c r="G40" s="138">
        <f t="shared" si="1"/>
        <v>3.4639934533551506E-2</v>
      </c>
      <c r="H40" s="138">
        <f t="shared" si="1"/>
        <v>5.0368248772504044E-2</v>
      </c>
      <c r="I40" s="138">
        <f t="shared" si="1"/>
        <v>5.7377049180327461E-2</v>
      </c>
      <c r="J40" s="138">
        <f t="shared" si="1"/>
        <v>5.555555555555599E-2</v>
      </c>
    </row>
    <row r="41" spans="2:10">
      <c r="B41" s="2" t="s">
        <v>863</v>
      </c>
      <c r="D41" s="138">
        <f t="shared" si="1"/>
        <v>1.4091653027822995E-2</v>
      </c>
      <c r="E41" s="138">
        <f t="shared" si="1"/>
        <v>1.3273322422258529E-2</v>
      </c>
      <c r="F41" s="138">
        <f t="shared" si="1"/>
        <v>1.3273322422258474E-2</v>
      </c>
      <c r="G41" s="138">
        <f t="shared" si="1"/>
        <v>2.8183306055646489E-2</v>
      </c>
      <c r="H41" s="138">
        <f t="shared" si="1"/>
        <v>2.4001636661211453E-2</v>
      </c>
      <c r="I41" s="138">
        <f t="shared" si="1"/>
        <v>2.6229508196721599E-2</v>
      </c>
      <c r="J41" s="138">
        <f t="shared" si="1"/>
        <v>6.2091503267974218E-2</v>
      </c>
    </row>
    <row r="42" spans="2:10">
      <c r="B42" s="2" t="s">
        <v>872</v>
      </c>
      <c r="D42" s="138">
        <f t="shared" si="1"/>
        <v>0.142013093289689</v>
      </c>
      <c r="E42" s="138">
        <f t="shared" si="1"/>
        <v>0.12546644844517199</v>
      </c>
      <c r="F42" s="138">
        <f t="shared" si="1"/>
        <v>0</v>
      </c>
      <c r="G42" s="138">
        <f t="shared" si="1"/>
        <v>0</v>
      </c>
      <c r="H42" s="138">
        <f t="shared" si="1"/>
        <v>0</v>
      </c>
      <c r="I42" s="138">
        <f t="shared" si="1"/>
        <v>0</v>
      </c>
      <c r="J42" s="138">
        <f t="shared" si="1"/>
        <v>0</v>
      </c>
    </row>
    <row r="43" spans="2:10" ht="13.5">
      <c r="B43" s="2" t="s">
        <v>188</v>
      </c>
      <c r="D43" s="529">
        <f t="shared" si="1"/>
        <v>0.31311783960720191</v>
      </c>
      <c r="E43" s="529">
        <f t="shared" si="1"/>
        <v>0.29684124386252092</v>
      </c>
      <c r="F43" s="529">
        <f t="shared" si="1"/>
        <v>0.34848608837970546</v>
      </c>
      <c r="G43" s="529">
        <f t="shared" si="1"/>
        <v>0.39467266775777443</v>
      </c>
      <c r="H43" s="529">
        <f t="shared" si="1"/>
        <v>0.35603109656301146</v>
      </c>
      <c r="I43" s="529">
        <f t="shared" si="1"/>
        <v>0.2885245901639345</v>
      </c>
      <c r="J43" s="529">
        <f t="shared" si="1"/>
        <v>0.22875816993463419</v>
      </c>
    </row>
    <row r="44" spans="2:10" s="5" customFormat="1">
      <c r="B44" s="60" t="s">
        <v>15</v>
      </c>
      <c r="D44" s="500">
        <f t="shared" ref="D44:J44" si="2">SUM(D35:D43)</f>
        <v>0.99999999999999978</v>
      </c>
      <c r="E44" s="500">
        <f t="shared" si="2"/>
        <v>1</v>
      </c>
      <c r="F44" s="500">
        <f t="shared" si="2"/>
        <v>1</v>
      </c>
      <c r="G44" s="500">
        <f t="shared" si="2"/>
        <v>1</v>
      </c>
      <c r="H44" s="500">
        <f t="shared" si="2"/>
        <v>0.99999999999999989</v>
      </c>
      <c r="I44" s="500">
        <f t="shared" si="2"/>
        <v>1</v>
      </c>
      <c r="J44" s="500">
        <f t="shared" si="2"/>
        <v>0.99999999999999989</v>
      </c>
    </row>
    <row r="45" spans="2:10" s="5" customFormat="1">
      <c r="B45" s="60"/>
      <c r="D45" s="576"/>
      <c r="E45" s="576"/>
      <c r="F45" s="576"/>
      <c r="G45" s="576"/>
      <c r="H45" s="500"/>
      <c r="I45" s="500"/>
      <c r="J45" s="500"/>
    </row>
    <row r="46" spans="2:10" s="5" customFormat="1">
      <c r="B46" s="110" t="s">
        <v>916</v>
      </c>
      <c r="D46" s="576"/>
      <c r="E46" s="576"/>
      <c r="F46" s="576"/>
      <c r="G46" s="576"/>
      <c r="H46" s="500"/>
      <c r="I46" s="500"/>
      <c r="J46" s="500"/>
    </row>
    <row r="47" spans="2:10" s="5" customFormat="1">
      <c r="B47" s="41" t="s">
        <v>873</v>
      </c>
      <c r="D47" s="250">
        <v>0.23</v>
      </c>
      <c r="E47" s="250">
        <v>0.25</v>
      </c>
      <c r="F47" s="250">
        <v>0.26</v>
      </c>
      <c r="G47" s="250">
        <v>0.23</v>
      </c>
      <c r="H47" s="250">
        <v>0.25</v>
      </c>
      <c r="I47" s="500"/>
      <c r="J47" s="500"/>
    </row>
    <row r="48" spans="2:10" s="5" customFormat="1">
      <c r="B48" s="41" t="s">
        <v>874</v>
      </c>
      <c r="D48" s="250">
        <v>0.14000000000000001</v>
      </c>
      <c r="E48" s="250">
        <v>0.12</v>
      </c>
      <c r="F48" s="250">
        <v>0.1</v>
      </c>
      <c r="G48" s="250" t="s">
        <v>876</v>
      </c>
      <c r="H48" s="250">
        <v>0.11</v>
      </c>
      <c r="I48" s="500"/>
      <c r="J48" s="500"/>
    </row>
    <row r="49" spans="2:10" s="5" customFormat="1">
      <c r="B49" s="41" t="s">
        <v>875</v>
      </c>
      <c r="D49" s="250">
        <v>0.71</v>
      </c>
      <c r="E49" s="250">
        <v>0.74</v>
      </c>
      <c r="F49" s="250">
        <v>0.71</v>
      </c>
      <c r="G49" s="250">
        <v>0.68</v>
      </c>
      <c r="H49" s="250">
        <v>0.7</v>
      </c>
      <c r="I49" s="500"/>
      <c r="J49" s="500"/>
    </row>
    <row r="51" spans="2:10">
      <c r="B51" s="25" t="s">
        <v>917</v>
      </c>
    </row>
    <row r="52" spans="2:10">
      <c r="B52" s="2" t="str">
        <f t="shared" ref="B52:B60" si="3">B35</f>
        <v>Apple</v>
      </c>
      <c r="D52" s="20">
        <f t="shared" ref="D52:J60" si="4">D35*D$61</f>
        <v>247.38378774422256</v>
      </c>
      <c r="E52" s="20">
        <f t="shared" si="4"/>
        <v>339.47150385208647</v>
      </c>
      <c r="F52" s="20">
        <f t="shared" si="4"/>
        <v>409.01268293765935</v>
      </c>
      <c r="G52" s="20">
        <f t="shared" si="4"/>
        <v>510.45005538850961</v>
      </c>
      <c r="H52" s="20">
        <f t="shared" si="4"/>
        <v>535.56920949263451</v>
      </c>
      <c r="I52" s="20">
        <f t="shared" ca="1" si="4"/>
        <v>709.91561955033319</v>
      </c>
      <c r="J52" s="20">
        <f t="shared" ca="1" si="4"/>
        <v>870.90315038128824</v>
      </c>
    </row>
    <row r="53" spans="2:10">
      <c r="B53" s="2" t="str">
        <f t="shared" si="3"/>
        <v>MediaTek</v>
      </c>
      <c r="D53" s="20">
        <f t="shared" si="4"/>
        <v>60.1188223074302</v>
      </c>
      <c r="E53" s="20">
        <f t="shared" si="4"/>
        <v>99.600226860621646</v>
      </c>
      <c r="F53" s="20">
        <f t="shared" si="4"/>
        <v>154.71450974361687</v>
      </c>
      <c r="G53" s="20">
        <f t="shared" si="4"/>
        <v>173.71938334765952</v>
      </c>
      <c r="H53" s="20">
        <f t="shared" si="4"/>
        <v>126.57300392798669</v>
      </c>
      <c r="I53" s="20">
        <f t="shared" ca="1" si="4"/>
        <v>217.70745666210377</v>
      </c>
      <c r="J53" s="20">
        <f t="shared" ca="1" si="4"/>
        <v>330.94319714489035</v>
      </c>
    </row>
    <row r="54" spans="2:10">
      <c r="B54" s="2" t="str">
        <f t="shared" si="3"/>
        <v>AMD</v>
      </c>
      <c r="D54" s="20">
        <f t="shared" si="4"/>
        <v>56.423782544288123</v>
      </c>
      <c r="E54" s="20">
        <f t="shared" si="4"/>
        <v>98.263163956023163</v>
      </c>
      <c r="F54" s="20">
        <f t="shared" si="4"/>
        <v>154.71450974361687</v>
      </c>
      <c r="G54" s="20">
        <f t="shared" si="4"/>
        <v>207.47396545914796</v>
      </c>
      <c r="H54" s="20">
        <f t="shared" si="4"/>
        <v>233.88143744680823</v>
      </c>
      <c r="I54" s="20">
        <f t="shared" ca="1" si="4"/>
        <v>288.69901861713856</v>
      </c>
      <c r="J54" s="20">
        <f t="shared" ca="1" si="4"/>
        <v>359.97330215759848</v>
      </c>
    </row>
    <row r="55" spans="2:10">
      <c r="B55" s="2" t="str">
        <f t="shared" si="3"/>
        <v>Qualcomm</v>
      </c>
      <c r="D55" s="20">
        <f t="shared" si="4"/>
        <v>72.473564264288157</v>
      </c>
      <c r="E55" s="20">
        <f t="shared" si="4"/>
        <v>82.799264297094638</v>
      </c>
      <c r="F55" s="20">
        <f t="shared" si="4"/>
        <v>132.34520783106407</v>
      </c>
      <c r="G55" s="20">
        <f t="shared" si="4"/>
        <v>200.06351933148974</v>
      </c>
      <c r="H55" s="20">
        <f t="shared" si="4"/>
        <v>157.03543757774182</v>
      </c>
      <c r="I55" s="20">
        <f t="shared" ca="1" si="4"/>
        <v>189.31083188008679</v>
      </c>
      <c r="J55" s="20">
        <f t="shared" ca="1" si="4"/>
        <v>220.62879809659267</v>
      </c>
    </row>
    <row r="56" spans="2:10">
      <c r="B56" s="2" t="str">
        <f t="shared" si="3"/>
        <v>NVIDIA</v>
      </c>
      <c r="D56" s="20">
        <f t="shared" si="4"/>
        <v>81.133266458002979</v>
      </c>
      <c r="E56" s="20">
        <f t="shared" si="4"/>
        <v>82.678709445040838</v>
      </c>
      <c r="F56" s="20">
        <f t="shared" si="4"/>
        <v>92.802725240000044</v>
      </c>
      <c r="G56" s="20">
        <f t="shared" si="4"/>
        <v>136.46336544085221</v>
      </c>
      <c r="H56" s="20">
        <f t="shared" si="4"/>
        <v>178.26361433715201</v>
      </c>
      <c r="I56" s="20">
        <f t="shared" ca="1" si="4"/>
        <v>407.01828854219036</v>
      </c>
      <c r="J56" s="20">
        <f t="shared" ca="1" si="4"/>
        <v>539.95995323640113</v>
      </c>
    </row>
    <row r="57" spans="2:10">
      <c r="B57" s="2" t="str">
        <f t="shared" si="3"/>
        <v>Broadcom</v>
      </c>
      <c r="D57" s="20">
        <f t="shared" si="4"/>
        <v>50.390885869394459</v>
      </c>
      <c r="E57" s="20">
        <f t="shared" si="4"/>
        <v>53.087973031783903</v>
      </c>
      <c r="F57" s="20">
        <f t="shared" si="4"/>
        <v>69.563073020744881</v>
      </c>
      <c r="G57" s="20">
        <f t="shared" si="4"/>
        <v>78.421046145957348</v>
      </c>
      <c r="H57" s="20">
        <f t="shared" si="4"/>
        <v>108.8828566284778</v>
      </c>
      <c r="I57" s="20">
        <f t="shared" ca="1" si="4"/>
        <v>165.64697789507673</v>
      </c>
      <c r="J57" s="20">
        <f t="shared" ca="1" si="4"/>
        <v>197.4047140864254</v>
      </c>
    </row>
    <row r="58" spans="2:10">
      <c r="B58" s="2" t="str">
        <f t="shared" si="3"/>
        <v>Intel</v>
      </c>
      <c r="D58" s="20">
        <f t="shared" si="4"/>
        <v>15.077863678035746</v>
      </c>
      <c r="E58" s="20">
        <f t="shared" si="4"/>
        <v>17.776360911963909</v>
      </c>
      <c r="F58" s="20">
        <f t="shared" si="4"/>
        <v>21.070271604042361</v>
      </c>
      <c r="G58" s="20">
        <f t="shared" si="4"/>
        <v>63.803941159148962</v>
      </c>
      <c r="H58" s="20">
        <f t="shared" si="4"/>
        <v>51.885202029460601</v>
      </c>
      <c r="I58" s="20">
        <f t="shared" ca="1" si="4"/>
        <v>75.724332752036446</v>
      </c>
      <c r="J58" s="20">
        <f t="shared" ca="1" si="4"/>
        <v>220.62879809659267</v>
      </c>
    </row>
    <row r="59" spans="2:10">
      <c r="B59" s="2" t="str">
        <f t="shared" si="3"/>
        <v>Huawei</v>
      </c>
      <c r="D59" s="20">
        <f t="shared" si="4"/>
        <v>151.95194324543371</v>
      </c>
      <c r="E59" s="20">
        <f t="shared" si="4"/>
        <v>168.03154469928006</v>
      </c>
      <c r="F59" s="20">
        <f t="shared" si="4"/>
        <v>0</v>
      </c>
      <c r="G59" s="20">
        <f t="shared" si="4"/>
        <v>0</v>
      </c>
      <c r="H59" s="20">
        <f t="shared" si="4"/>
        <v>0</v>
      </c>
      <c r="I59" s="20">
        <f t="shared" ca="1" si="4"/>
        <v>0</v>
      </c>
      <c r="J59" s="20">
        <f t="shared" ca="1" si="4"/>
        <v>0</v>
      </c>
    </row>
    <row r="60" spans="2:10" ht="13.5">
      <c r="B60" s="2" t="str">
        <f t="shared" si="3"/>
        <v>Others</v>
      </c>
      <c r="D60" s="21">
        <f t="shared" si="4"/>
        <v>335.03153188890411</v>
      </c>
      <c r="E60" s="21">
        <f t="shared" si="4"/>
        <v>397.54606394610539</v>
      </c>
      <c r="F60" s="21">
        <f t="shared" si="4"/>
        <v>553.19205687925535</v>
      </c>
      <c r="G60" s="21">
        <f t="shared" si="4"/>
        <v>893.49601572723475</v>
      </c>
      <c r="H60" s="21">
        <f t="shared" si="4"/>
        <v>769.64523855973812</v>
      </c>
      <c r="I60" s="21">
        <f t="shared" ca="1" si="4"/>
        <v>832.96766027239198</v>
      </c>
      <c r="J60" s="21">
        <f t="shared" ca="1" si="4"/>
        <v>812.84294035584048</v>
      </c>
    </row>
    <row r="61" spans="2:10" s="5" customFormat="1">
      <c r="B61" s="60" t="s">
        <v>15</v>
      </c>
      <c r="D61" s="570">
        <f>'Simple Model (A)'!E12</f>
        <v>1069.9854480000001</v>
      </c>
      <c r="E61" s="570">
        <f>'Simple Model (A)'!F12</f>
        <v>1339.254811</v>
      </c>
      <c r="F61" s="570">
        <f>'Simple Model (A)'!G12</f>
        <v>1587.4150369999998</v>
      </c>
      <c r="G61" s="570">
        <f>'Simple Model (A)'!H12</f>
        <v>2263.8912920000002</v>
      </c>
      <c r="H61" s="570">
        <f>'Simple Model (A)'!I12</f>
        <v>2161.7359999999999</v>
      </c>
      <c r="I61" s="570">
        <f ca="1">'Simple Model (A)'!J12</f>
        <v>2886.9901861713579</v>
      </c>
      <c r="J61" s="570">
        <f ca="1">'Simple Model (A)'!K12</f>
        <v>3553.2848535556295</v>
      </c>
    </row>
    <row r="63" spans="2:10">
      <c r="B63" s="32" t="s">
        <v>472</v>
      </c>
      <c r="C63" s="6"/>
      <c r="D63" s="6"/>
      <c r="E63" s="6"/>
      <c r="F63" s="6"/>
      <c r="G63" s="6"/>
      <c r="H63" s="6"/>
      <c r="I63" s="6"/>
      <c r="J63" s="6"/>
    </row>
    <row r="64" spans="2:10">
      <c r="B64" s="9" t="str">
        <f t="shared" ref="B64:B72" si="5">B35</f>
        <v>Apple</v>
      </c>
      <c r="C64" s="6"/>
      <c r="D64" s="6"/>
      <c r="E64" s="120">
        <f t="shared" ref="E64:J70" si="6">IFERROR((E52/D52)-1,"n/a")</f>
        <v>0.37224636645581688</v>
      </c>
      <c r="F64" s="120">
        <f t="shared" si="6"/>
        <v>0.20485130061424295</v>
      </c>
      <c r="G64" s="120">
        <f t="shared" si="6"/>
        <v>0.24800544502017585</v>
      </c>
      <c r="H64" s="120">
        <f t="shared" si="6"/>
        <v>4.9209817569725534E-2</v>
      </c>
      <c r="I64" s="120">
        <f t="shared" ca="1" si="6"/>
        <v>0.32553478984137985</v>
      </c>
      <c r="J64" s="120">
        <f t="shared" ca="1" si="6"/>
        <v>0.22676995180487225</v>
      </c>
    </row>
    <row r="65" spans="2:14">
      <c r="B65" s="9" t="str">
        <f t="shared" si="5"/>
        <v>MediaTek</v>
      </c>
      <c r="C65" s="6"/>
      <c r="D65" s="6"/>
      <c r="E65" s="120">
        <f t="shared" si="6"/>
        <v>0.65672285380600126</v>
      </c>
      <c r="F65" s="120">
        <f t="shared" si="6"/>
        <v>0.55335499345921102</v>
      </c>
      <c r="G65" s="120">
        <f t="shared" si="6"/>
        <v>0.1228383403440072</v>
      </c>
      <c r="H65" s="120">
        <f t="shared" si="6"/>
        <v>-0.27139389117747537</v>
      </c>
      <c r="I65" s="120">
        <f t="shared" ca="1" si="6"/>
        <v>0.72001493135114125</v>
      </c>
      <c r="J65" s="120">
        <f t="shared" ca="1" si="6"/>
        <v>0.52012798375820379</v>
      </c>
    </row>
    <row r="66" spans="2:14">
      <c r="B66" s="9" t="str">
        <f t="shared" si="5"/>
        <v>AMD</v>
      </c>
      <c r="C66" s="6"/>
      <c r="D66" s="6"/>
      <c r="E66" s="120">
        <f t="shared" si="6"/>
        <v>0.7415203221956006</v>
      </c>
      <c r="F66" s="120">
        <f t="shared" si="6"/>
        <v>0.57449143213888387</v>
      </c>
      <c r="G66" s="120">
        <f t="shared" si="6"/>
        <v>0.34101168534845727</v>
      </c>
      <c r="H66" s="120">
        <f t="shared" si="6"/>
        <v>0.12728089487863947</v>
      </c>
      <c r="I66" s="120">
        <f t="shared" ca="1" si="6"/>
        <v>0.23438192345981923</v>
      </c>
      <c r="J66" s="120">
        <f t="shared" ca="1" si="6"/>
        <v>0.24688093462133009</v>
      </c>
    </row>
    <row r="67" spans="2:14">
      <c r="B67" s="9" t="str">
        <f t="shared" si="5"/>
        <v>Qualcomm</v>
      </c>
      <c r="C67" s="6"/>
      <c r="D67" s="6"/>
      <c r="E67" s="120">
        <f t="shared" si="6"/>
        <v>0.14247539965265021</v>
      </c>
      <c r="F67" s="120">
        <f t="shared" si="6"/>
        <v>0.59838627739724926</v>
      </c>
      <c r="G67" s="120">
        <f t="shared" si="6"/>
        <v>0.51167936195216601</v>
      </c>
      <c r="H67" s="120">
        <f t="shared" si="6"/>
        <v>-0.21507210258784726</v>
      </c>
      <c r="I67" s="120">
        <f t="shared" ca="1" si="6"/>
        <v>0.20552936840365565</v>
      </c>
      <c r="J67" s="120">
        <f t="shared" ca="1" si="6"/>
        <v>0.16543145421463934</v>
      </c>
    </row>
    <row r="68" spans="2:14">
      <c r="B68" s="9" t="str">
        <f t="shared" si="5"/>
        <v>NVIDIA</v>
      </c>
      <c r="C68" s="6"/>
      <c r="D68" s="6"/>
      <c r="E68" s="120">
        <f t="shared" si="6"/>
        <v>1.9048203708620814E-2</v>
      </c>
      <c r="F68" s="120">
        <f t="shared" si="6"/>
        <v>0.12245009462428724</v>
      </c>
      <c r="G68" s="120">
        <f t="shared" si="6"/>
        <v>0.47046722052547496</v>
      </c>
      <c r="H68" s="120">
        <f t="shared" si="6"/>
        <v>0.30631113897317319</v>
      </c>
      <c r="I68" s="120">
        <f t="shared" ca="1" si="6"/>
        <v>1.2832381698061615</v>
      </c>
      <c r="J68" s="120">
        <f t="shared" ca="1" si="6"/>
        <v>0.32662331997504435</v>
      </c>
    </row>
    <row r="69" spans="2:14">
      <c r="B69" s="9" t="str">
        <f t="shared" si="5"/>
        <v>Broadcom</v>
      </c>
      <c r="C69" s="6"/>
      <c r="D69" s="6"/>
      <c r="E69" s="120">
        <f t="shared" si="6"/>
        <v>5.3523313112214144E-2</v>
      </c>
      <c r="F69" s="120">
        <f t="shared" si="6"/>
        <v>0.3103358265175673</v>
      </c>
      <c r="G69" s="120">
        <f t="shared" si="6"/>
        <v>0.12733728888847207</v>
      </c>
      <c r="H69" s="120">
        <f t="shared" si="6"/>
        <v>0.38843922619732574</v>
      </c>
      <c r="I69" s="120">
        <f t="shared" ca="1" si="6"/>
        <v>0.5213320354028308</v>
      </c>
      <c r="J69" s="120">
        <f t="shared" ca="1" si="6"/>
        <v>0.19171938175331205</v>
      </c>
    </row>
    <row r="70" spans="2:14">
      <c r="B70" s="9" t="str">
        <f t="shared" si="5"/>
        <v>Intel</v>
      </c>
      <c r="C70" s="6"/>
      <c r="D70" s="6"/>
      <c r="E70" s="120">
        <f t="shared" si="6"/>
        <v>0.17897079397654481</v>
      </c>
      <c r="F70" s="120">
        <f t="shared" si="6"/>
        <v>0.18529724437927975</v>
      </c>
      <c r="G70" s="120">
        <f t="shared" si="6"/>
        <v>2.0281499146365105</v>
      </c>
      <c r="H70" s="120">
        <f t="shared" si="6"/>
        <v>-0.18680255346545016</v>
      </c>
      <c r="I70" s="120">
        <f t="shared" ca="1" si="6"/>
        <v>0.45945914808310673</v>
      </c>
      <c r="J70" s="120">
        <f t="shared" ca="1" si="6"/>
        <v>1.9135786355365321</v>
      </c>
    </row>
    <row r="71" spans="2:14">
      <c r="B71" s="9" t="str">
        <f t="shared" si="5"/>
        <v>Huawei</v>
      </c>
      <c r="C71" s="6"/>
      <c r="D71" s="6"/>
      <c r="E71" s="120">
        <f>IFERROR((E59/D59)-1,"n/a")</f>
        <v>0.10582030812119636</v>
      </c>
      <c r="F71" s="250" t="s">
        <v>548</v>
      </c>
      <c r="G71" s="120" t="str">
        <f t="shared" ref="G71:J71" si="7">IFERROR((G59/F59)-1,"n/a")</f>
        <v>n/a</v>
      </c>
      <c r="H71" s="120" t="str">
        <f t="shared" si="7"/>
        <v>n/a</v>
      </c>
      <c r="I71" s="120" t="str">
        <f t="shared" ca="1" si="7"/>
        <v>n/a</v>
      </c>
      <c r="J71" s="120" t="str">
        <f t="shared" ca="1" si="7"/>
        <v>n/a</v>
      </c>
    </row>
    <row r="72" spans="2:14" ht="13.5">
      <c r="B72" s="9" t="str">
        <f t="shared" si="5"/>
        <v>Others</v>
      </c>
      <c r="C72" s="6"/>
      <c r="D72" s="6"/>
      <c r="E72" s="216">
        <f>IFERROR((E60/D60)-1,"n/a")</f>
        <v>0.1865929803823092</v>
      </c>
      <c r="F72" s="216">
        <f t="shared" ref="F72:J73" si="8">IFERROR((F60/E60)-1,"n/a")</f>
        <v>0.39151687577581096</v>
      </c>
      <c r="G72" s="216">
        <f t="shared" si="8"/>
        <v>0.61516421759153572</v>
      </c>
      <c r="H72" s="216">
        <f t="shared" si="8"/>
        <v>-0.13861368712057653</v>
      </c>
      <c r="I72" s="216">
        <f t="shared" ca="1" si="8"/>
        <v>8.227481772141032E-2</v>
      </c>
      <c r="J72" s="216">
        <f t="shared" ca="1" si="8"/>
        <v>-2.4160265609796228E-2</v>
      </c>
    </row>
    <row r="73" spans="2:14" s="5" customFormat="1">
      <c r="B73" s="573" t="s">
        <v>15</v>
      </c>
      <c r="C73" s="413"/>
      <c r="D73" s="413"/>
      <c r="E73" s="120">
        <f>IFERROR((E61/D61)-1,"n/a")</f>
        <v>0.25165703281601992</v>
      </c>
      <c r="F73" s="120">
        <f t="shared" si="8"/>
        <v>0.18529724437928463</v>
      </c>
      <c r="G73" s="120">
        <f t="shared" si="8"/>
        <v>0.42614958232879618</v>
      </c>
      <c r="H73" s="120">
        <f t="shared" si="8"/>
        <v>-4.5123762064455342E-2</v>
      </c>
      <c r="I73" s="120">
        <f t="shared" ca="1" si="8"/>
        <v>0.33549618740279019</v>
      </c>
      <c r="J73" s="120">
        <f t="shared" ca="1" si="8"/>
        <v>0.23079214836815654</v>
      </c>
    </row>
    <row r="75" spans="2:14" s="5" customFormat="1">
      <c r="B75" s="32" t="s">
        <v>918</v>
      </c>
      <c r="C75" s="571"/>
      <c r="D75" s="571"/>
      <c r="E75" s="571"/>
      <c r="F75" s="571"/>
      <c r="G75" s="571"/>
      <c r="H75" s="572"/>
      <c r="I75" s="572"/>
      <c r="J75" s="572"/>
      <c r="K75" s="60"/>
      <c r="L75" s="60"/>
      <c r="M75" s="60"/>
      <c r="N75" s="60"/>
    </row>
    <row r="76" spans="2:14" s="5" customFormat="1">
      <c r="B76" s="9" t="s">
        <v>865</v>
      </c>
      <c r="C76" s="571"/>
      <c r="D76" s="571"/>
      <c r="E76" s="571"/>
      <c r="F76" s="571"/>
      <c r="G76" s="571"/>
      <c r="H76" s="572"/>
      <c r="I76" s="250">
        <v>0.56000000000000005</v>
      </c>
      <c r="J76" s="572"/>
      <c r="K76" s="60"/>
      <c r="L76" s="60"/>
      <c r="M76" s="60"/>
      <c r="N76" s="60"/>
    </row>
    <row r="77" spans="2:14" s="5" customFormat="1">
      <c r="B77" s="9" t="s">
        <v>866</v>
      </c>
      <c r="C77" s="571"/>
      <c r="D77" s="571"/>
      <c r="E77" s="571"/>
      <c r="F77" s="571"/>
      <c r="G77" s="571"/>
      <c r="H77" s="572"/>
      <c r="I77" s="250">
        <v>0.14000000000000001</v>
      </c>
      <c r="J77" s="572"/>
      <c r="K77" s="60"/>
      <c r="L77" s="60"/>
      <c r="M77" s="60"/>
      <c r="N77" s="60"/>
    </row>
    <row r="78" spans="2:14" s="5" customFormat="1">
      <c r="B78" s="9" t="s">
        <v>867</v>
      </c>
      <c r="C78" s="571"/>
      <c r="D78" s="571"/>
      <c r="E78" s="571"/>
      <c r="F78" s="571"/>
      <c r="G78" s="571"/>
      <c r="H78" s="572"/>
      <c r="I78" s="250">
        <v>0.11</v>
      </c>
      <c r="J78" s="572"/>
      <c r="K78" s="60"/>
      <c r="L78" s="60"/>
      <c r="M78" s="60"/>
      <c r="N78" s="60"/>
    </row>
    <row r="79" spans="2:14" s="5" customFormat="1">
      <c r="B79" s="9" t="s">
        <v>868</v>
      </c>
      <c r="C79" s="571"/>
      <c r="D79" s="571"/>
      <c r="E79" s="571"/>
      <c r="F79" s="571"/>
      <c r="G79" s="571"/>
      <c r="H79" s="572"/>
      <c r="I79" s="250">
        <v>0.1</v>
      </c>
      <c r="J79" s="572"/>
      <c r="K79" s="60"/>
      <c r="L79" s="60"/>
      <c r="M79" s="60"/>
      <c r="N79" s="60"/>
    </row>
    <row r="80" spans="2:14" s="5" customFormat="1" ht="13.5">
      <c r="B80" s="9" t="s">
        <v>869</v>
      </c>
      <c r="C80" s="571"/>
      <c r="D80" s="571"/>
      <c r="E80" s="571"/>
      <c r="F80" s="571"/>
      <c r="G80" s="571"/>
      <c r="H80" s="572"/>
      <c r="I80" s="251">
        <v>0.09</v>
      </c>
      <c r="J80" s="572"/>
      <c r="K80" s="60"/>
      <c r="L80" s="60"/>
      <c r="M80" s="60"/>
      <c r="N80" s="60"/>
    </row>
    <row r="81" spans="2:14" s="5" customFormat="1">
      <c r="B81" s="573" t="s">
        <v>15</v>
      </c>
      <c r="C81" s="571"/>
      <c r="D81" s="571"/>
      <c r="E81" s="571"/>
      <c r="F81" s="571"/>
      <c r="G81" s="571"/>
      <c r="H81" s="572"/>
      <c r="I81" s="574">
        <f>SUM(I76:I80)</f>
        <v>1</v>
      </c>
      <c r="J81" s="572"/>
      <c r="K81" s="60"/>
      <c r="L81" s="60"/>
      <c r="M81" s="60"/>
      <c r="N81" s="60"/>
    </row>
    <row r="82" spans="2:14" s="5" customFormat="1">
      <c r="B82" s="573"/>
      <c r="C82" s="571"/>
      <c r="D82" s="571"/>
      <c r="E82" s="571"/>
      <c r="F82" s="571"/>
      <c r="G82" s="571"/>
      <c r="H82" s="572"/>
      <c r="I82" s="574"/>
      <c r="J82" s="572"/>
      <c r="K82" s="60"/>
      <c r="L82" s="60"/>
      <c r="M82" s="60"/>
      <c r="N82" s="60"/>
    </row>
    <row r="83" spans="2:14">
      <c r="B83" s="32" t="s">
        <v>870</v>
      </c>
    </row>
    <row r="84" spans="2:14">
      <c r="B84" s="9" t="s">
        <v>865</v>
      </c>
      <c r="E84" s="126"/>
      <c r="F84" s="126"/>
      <c r="G84" s="126"/>
      <c r="H84" s="126"/>
      <c r="I84" s="126">
        <f ca="1">I$35*I76*I$61</f>
        <v>397.55274694818661</v>
      </c>
    </row>
    <row r="85" spans="2:14">
      <c r="B85" s="9" t="s">
        <v>866</v>
      </c>
      <c r="E85" s="126"/>
      <c r="F85" s="126"/>
      <c r="G85" s="126"/>
      <c r="H85" s="126"/>
      <c r="I85" s="126">
        <f ca="1">I$35*I77*I$61</f>
        <v>99.388186737046652</v>
      </c>
    </row>
    <row r="86" spans="2:14">
      <c r="B86" s="9" t="s">
        <v>867</v>
      </c>
      <c r="E86" s="126"/>
      <c r="F86" s="126"/>
      <c r="G86" s="126"/>
      <c r="H86" s="126"/>
      <c r="I86" s="126">
        <f ca="1">I$35*I78*I$61</f>
        <v>78.090718150536645</v>
      </c>
    </row>
    <row r="87" spans="2:14">
      <c r="B87" s="9" t="s">
        <v>868</v>
      </c>
      <c r="E87" s="126"/>
      <c r="F87" s="126"/>
      <c r="G87" s="126"/>
      <c r="H87" s="126"/>
      <c r="I87" s="126">
        <f ca="1">I$35*I79*I$61</f>
        <v>70.991561955033319</v>
      </c>
    </row>
    <row r="88" spans="2:14" ht="13.5">
      <c r="B88" s="9" t="s">
        <v>869</v>
      </c>
      <c r="E88" s="327"/>
      <c r="F88" s="327"/>
      <c r="G88" s="327"/>
      <c r="H88" s="327"/>
      <c r="I88" s="327">
        <f ca="1">I$35*I80*I$61</f>
        <v>63.892405759529979</v>
      </c>
    </row>
    <row r="89" spans="2:14">
      <c r="B89" s="573" t="s">
        <v>15</v>
      </c>
      <c r="E89" s="575"/>
      <c r="F89" s="575"/>
      <c r="G89" s="575"/>
      <c r="H89" s="575"/>
      <c r="I89" s="575">
        <f t="shared" ref="I89" ca="1" si="9">SUM(I84:I88)</f>
        <v>709.9156195503333</v>
      </c>
    </row>
    <row r="90" spans="2:14">
      <c r="E90" s="6"/>
      <c r="F90" s="6"/>
      <c r="G90" s="6"/>
      <c r="H90" s="6"/>
      <c r="I90" s="6"/>
    </row>
    <row r="91" spans="2:14">
      <c r="B91" s="32" t="s">
        <v>919</v>
      </c>
      <c r="E91" s="6"/>
      <c r="F91" s="6"/>
      <c r="G91" s="6"/>
      <c r="H91" s="6"/>
      <c r="I91" s="6"/>
    </row>
    <row r="92" spans="2:14">
      <c r="B92" s="9" t="s">
        <v>242</v>
      </c>
      <c r="E92" s="126"/>
      <c r="F92" s="126"/>
      <c r="G92" s="126"/>
      <c r="H92" s="126"/>
      <c r="I92" s="126">
        <f t="shared" ref="I92" ca="1" si="10">I84</f>
        <v>397.55274694818661</v>
      </c>
    </row>
    <row r="93" spans="2:14">
      <c r="B93" s="9" t="s">
        <v>871</v>
      </c>
      <c r="E93" s="126"/>
      <c r="F93" s="126"/>
      <c r="G93" s="126"/>
      <c r="H93" s="126"/>
      <c r="I93" s="126">
        <f t="shared" ref="I93" ca="1" si="11">I85+I86+I88</f>
        <v>241.37131064711326</v>
      </c>
    </row>
    <row r="94" spans="2:14" ht="13.5">
      <c r="B94" s="9" t="s">
        <v>245</v>
      </c>
      <c r="E94" s="327"/>
      <c r="F94" s="327"/>
      <c r="G94" s="327"/>
      <c r="H94" s="327"/>
      <c r="I94" s="327">
        <f t="shared" ref="I94" ca="1" si="12">I87</f>
        <v>70.991561955033319</v>
      </c>
    </row>
    <row r="95" spans="2:14">
      <c r="B95" s="573" t="s">
        <v>15</v>
      </c>
      <c r="E95" s="575"/>
      <c r="F95" s="575"/>
      <c r="G95" s="575"/>
      <c r="H95" s="575"/>
      <c r="I95" s="575">
        <f t="shared" ref="I95" ca="1" si="13">SUM(I92:I94)</f>
        <v>709.9156195503333</v>
      </c>
    </row>
    <row r="97" spans="2:10">
      <c r="B97" s="32" t="s">
        <v>920</v>
      </c>
    </row>
    <row r="98" spans="2:10">
      <c r="B98" s="9" t="s">
        <v>242</v>
      </c>
      <c r="E98" s="120"/>
      <c r="F98" s="120"/>
      <c r="G98" s="120"/>
      <c r="H98" s="120"/>
      <c r="I98" s="120">
        <f t="shared" ref="I98" ca="1" si="14">I92/I$95</f>
        <v>0.55999999999999994</v>
      </c>
    </row>
    <row r="99" spans="2:10">
      <c r="B99" s="9" t="s">
        <v>871</v>
      </c>
      <c r="E99" s="120"/>
      <c r="F99" s="120"/>
      <c r="G99" s="120"/>
      <c r="H99" s="120"/>
      <c r="I99" s="120">
        <f t="shared" ref="I99:I101" ca="1" si="15">I93/I$95</f>
        <v>0.33999999999999991</v>
      </c>
    </row>
    <row r="100" spans="2:10" ht="13.5">
      <c r="B100" s="9" t="s">
        <v>245</v>
      </c>
      <c r="E100" s="216"/>
      <c r="F100" s="216"/>
      <c r="G100" s="216"/>
      <c r="H100" s="216"/>
      <c r="I100" s="216">
        <f t="shared" ca="1" si="15"/>
        <v>9.9999999999999978E-2</v>
      </c>
    </row>
    <row r="101" spans="2:10">
      <c r="B101" s="573" t="s">
        <v>15</v>
      </c>
      <c r="E101" s="574"/>
      <c r="F101" s="574"/>
      <c r="G101" s="574"/>
      <c r="H101" s="574"/>
      <c r="I101" s="574">
        <f t="shared" ca="1" si="15"/>
        <v>1</v>
      </c>
    </row>
    <row r="103" spans="2:10">
      <c r="B103" s="25" t="s">
        <v>878</v>
      </c>
    </row>
    <row r="104" spans="2:10">
      <c r="B104" s="2" t="str">
        <f t="shared" ref="B104:B112" si="16">B52</f>
        <v>Apple</v>
      </c>
      <c r="D104" s="20">
        <f t="shared" ref="D104:J112" si="17">D52/D$114*1000</f>
        <v>8003.6024312041436</v>
      </c>
      <c r="E104" s="20">
        <f t="shared" si="17"/>
        <v>11520.878291509085</v>
      </c>
      <c r="F104" s="20">
        <f t="shared" si="17"/>
        <v>14633.552605763471</v>
      </c>
      <c r="G104" s="20">
        <f t="shared" si="17"/>
        <v>17123.631309371754</v>
      </c>
      <c r="H104" s="20">
        <f t="shared" si="17"/>
        <v>17182.006552592924</v>
      </c>
      <c r="I104" s="20">
        <f t="shared" ca="1" si="17"/>
        <v>22091.280832247499</v>
      </c>
      <c r="J104" s="20">
        <f t="shared" ca="1" si="17"/>
        <v>26671.45898941256</v>
      </c>
    </row>
    <row r="105" spans="2:10">
      <c r="B105" s="2" t="str">
        <f t="shared" si="16"/>
        <v>MediaTek</v>
      </c>
      <c r="D105" s="20">
        <f t="shared" si="17"/>
        <v>1945.0229813700291</v>
      </c>
      <c r="E105" s="20">
        <f t="shared" si="17"/>
        <v>3380.2015145515529</v>
      </c>
      <c r="F105" s="20">
        <f t="shared" si="17"/>
        <v>5535.3367063025744</v>
      </c>
      <c r="G105" s="20">
        <f t="shared" si="17"/>
        <v>5827.6155332624121</v>
      </c>
      <c r="H105" s="20">
        <f t="shared" si="17"/>
        <v>4060.6856113559793</v>
      </c>
      <c r="I105" s="20">
        <f t="shared" ca="1" si="17"/>
        <v>6774.6594552226161</v>
      </c>
      <c r="J105" s="20">
        <f t="shared" ca="1" si="17"/>
        <v>10135.154415976798</v>
      </c>
    </row>
    <row r="106" spans="2:10">
      <c r="B106" s="2" t="str">
        <f t="shared" si="16"/>
        <v>AMD</v>
      </c>
      <c r="D106" s="20">
        <f t="shared" si="17"/>
        <v>1825.4774383845811</v>
      </c>
      <c r="E106" s="20">
        <f t="shared" si="17"/>
        <v>3334.8246896423179</v>
      </c>
      <c r="F106" s="20">
        <f t="shared" si="17"/>
        <v>5535.3367063025744</v>
      </c>
      <c r="G106" s="20">
        <f t="shared" si="17"/>
        <v>6959.9516217346127</v>
      </c>
      <c r="H106" s="20">
        <f t="shared" si="17"/>
        <v>7503.3297648829403</v>
      </c>
      <c r="I106" s="20">
        <f t="shared" ca="1" si="17"/>
        <v>8983.7875384474119</v>
      </c>
      <c r="J106" s="20">
        <f t="shared" ca="1" si="17"/>
        <v>11024.203048957172</v>
      </c>
    </row>
    <row r="107" spans="2:10">
      <c r="B107" s="2" t="str">
        <f t="shared" si="16"/>
        <v>Qualcomm</v>
      </c>
      <c r="D107" s="20">
        <f t="shared" si="17"/>
        <v>2344.73568552284</v>
      </c>
      <c r="E107" s="20">
        <f t="shared" si="17"/>
        <v>2810.0156736836448</v>
      </c>
      <c r="F107" s="20">
        <f t="shared" si="17"/>
        <v>4735.0134646356664</v>
      </c>
      <c r="G107" s="20">
        <f t="shared" si="17"/>
        <v>6711.3597252533773</v>
      </c>
      <c r="H107" s="20">
        <f t="shared" si="17"/>
        <v>5037.9743077578178</v>
      </c>
      <c r="I107" s="20">
        <f t="shared" ca="1" si="17"/>
        <v>5891.0082219326023</v>
      </c>
      <c r="J107" s="20">
        <f t="shared" ca="1" si="17"/>
        <v>6756.7696106511712</v>
      </c>
    </row>
    <row r="108" spans="2:10">
      <c r="B108" s="2" t="str">
        <f t="shared" si="16"/>
        <v>NVIDIA</v>
      </c>
      <c r="D108" s="20">
        <f t="shared" si="17"/>
        <v>2624.9028466901682</v>
      </c>
      <c r="E108" s="20">
        <f t="shared" si="17"/>
        <v>2805.9243206180636</v>
      </c>
      <c r="F108" s="20">
        <f t="shared" si="17"/>
        <v>3320.2724962070238</v>
      </c>
      <c r="G108" s="20">
        <f t="shared" si="17"/>
        <v>4577.8197737028158</v>
      </c>
      <c r="H108" s="20">
        <f t="shared" si="17"/>
        <v>5719.0117268531421</v>
      </c>
      <c r="I108" s="20">
        <f t="shared" ca="1" si="17"/>
        <v>12665.667677155212</v>
      </c>
      <c r="J108" s="20">
        <f t="shared" ca="1" si="17"/>
        <v>16536.30457343586</v>
      </c>
    </row>
    <row r="109" spans="2:10">
      <c r="B109" s="2" t="str">
        <f t="shared" si="16"/>
        <v>Broadcom</v>
      </c>
      <c r="D109" s="20">
        <f t="shared" si="17"/>
        <v>1630.2952603822555</v>
      </c>
      <c r="E109" s="20">
        <f t="shared" si="17"/>
        <v>1801.6831136100077</v>
      </c>
      <c r="F109" s="20">
        <f t="shared" si="17"/>
        <v>2488.8100807934843</v>
      </c>
      <c r="G109" s="20">
        <f t="shared" si="17"/>
        <v>2630.7237445131454</v>
      </c>
      <c r="H109" s="20">
        <f t="shared" si="17"/>
        <v>3493.15442877653</v>
      </c>
      <c r="I109" s="20">
        <f t="shared" ca="1" si="17"/>
        <v>5154.6321941910519</v>
      </c>
      <c r="J109" s="20">
        <f t="shared" ca="1" si="17"/>
        <v>6045.5307042668483</v>
      </c>
    </row>
    <row r="110" spans="2:10">
      <c r="B110" s="2" t="str">
        <f t="shared" si="16"/>
        <v>Intel</v>
      </c>
      <c r="D110" s="20">
        <f t="shared" si="17"/>
        <v>487.81380336719275</v>
      </c>
      <c r="E110" s="20">
        <f t="shared" si="17"/>
        <v>603.28860658039264</v>
      </c>
      <c r="F110" s="20">
        <f t="shared" si="17"/>
        <v>753.84686294061316</v>
      </c>
      <c r="G110" s="20">
        <f t="shared" si="17"/>
        <v>2140.3762287038244</v>
      </c>
      <c r="H110" s="20">
        <f t="shared" si="17"/>
        <v>1664.5689585055584</v>
      </c>
      <c r="I110" s="20">
        <f t="shared" ca="1" si="17"/>
        <v>2356.403288773095</v>
      </c>
      <c r="J110" s="20">
        <f t="shared" ca="1" si="17"/>
        <v>6756.7696106511712</v>
      </c>
    </row>
    <row r="111" spans="2:10">
      <c r="B111" s="2" t="str">
        <f t="shared" si="16"/>
        <v>Huawei</v>
      </c>
      <c r="D111" s="20">
        <f t="shared" si="17"/>
        <v>4916.0979928190536</v>
      </c>
      <c r="E111" s="20">
        <f t="shared" si="17"/>
        <v>5702.6022910546453</v>
      </c>
      <c r="F111" s="20">
        <f t="shared" si="17"/>
        <v>0</v>
      </c>
      <c r="G111" s="20">
        <f t="shared" si="17"/>
        <v>0</v>
      </c>
      <c r="H111" s="20">
        <f t="shared" si="17"/>
        <v>0</v>
      </c>
      <c r="I111" s="20">
        <f t="shared" ca="1" si="17"/>
        <v>0</v>
      </c>
      <c r="J111" s="20">
        <f t="shared" ca="1" si="17"/>
        <v>0</v>
      </c>
    </row>
    <row r="112" spans="2:10" ht="13.5">
      <c r="B112" s="2" t="str">
        <f t="shared" si="16"/>
        <v>Others</v>
      </c>
      <c r="D112" s="21">
        <f t="shared" si="17"/>
        <v>10839.268036143587</v>
      </c>
      <c r="E112" s="21">
        <f t="shared" si="17"/>
        <v>13491.794645559372</v>
      </c>
      <c r="F112" s="21">
        <f t="shared" si="17"/>
        <v>19791.965880595752</v>
      </c>
      <c r="G112" s="21">
        <f t="shared" si="17"/>
        <v>29973.346438489192</v>
      </c>
      <c r="H112" s="21">
        <f t="shared" si="17"/>
        <v>24691.579160484263</v>
      </c>
      <c r="I112" s="21">
        <f t="shared" ca="1" si="17"/>
        <v>25920.436176503768</v>
      </c>
      <c r="J112" s="21">
        <f t="shared" ca="1" si="17"/>
        <v>24893.361723450849</v>
      </c>
    </row>
    <row r="113" spans="2:11">
      <c r="B113" s="60" t="s">
        <v>15</v>
      </c>
      <c r="C113" s="5"/>
      <c r="D113" s="578">
        <f>SUM(D104:D112)</f>
        <v>34617.216475883855</v>
      </c>
      <c r="E113" s="578">
        <f t="shared" ref="E113:J113" si="18">SUM(E104:E112)</f>
        <v>45451.213146809081</v>
      </c>
      <c r="F113" s="578">
        <f t="shared" si="18"/>
        <v>56794.13480354115</v>
      </c>
      <c r="G113" s="578">
        <f t="shared" si="18"/>
        <v>75944.824375031138</v>
      </c>
      <c r="H113" s="578">
        <f t="shared" si="18"/>
        <v>69352.310511209158</v>
      </c>
      <c r="I113" s="578">
        <f t="shared" ca="1" si="18"/>
        <v>89837.875384473242</v>
      </c>
      <c r="J113" s="578">
        <f t="shared" ca="1" si="18"/>
        <v>108819.55267680244</v>
      </c>
    </row>
    <row r="114" spans="2:11">
      <c r="B114" s="41" t="s">
        <v>314</v>
      </c>
      <c r="D114" s="577">
        <f>FX!AY14</f>
        <v>30.909054999999999</v>
      </c>
      <c r="E114" s="577">
        <f>FX!AZ14</f>
        <v>29.465765999999999</v>
      </c>
      <c r="F114" s="577">
        <f>FX!BA14</f>
        <v>27.950334000000002</v>
      </c>
      <c r="G114" s="577">
        <f>FX!BB14</f>
        <v>29.809685000000002</v>
      </c>
      <c r="H114" s="577">
        <f>FX!BC14</f>
        <v>31.170352999999999</v>
      </c>
      <c r="I114" s="577">
        <f>FX!BD14</f>
        <v>32.13555723369565</v>
      </c>
      <c r="J114" s="577">
        <f>FX!BE14</f>
        <v>32.652999999999999</v>
      </c>
    </row>
    <row r="115" spans="2:11">
      <c r="B115" s="41" t="s">
        <v>915</v>
      </c>
      <c r="D115" s="313">
        <f>(D104+D106+D108+D107+D109)/D113</f>
        <v>0.47459083469721747</v>
      </c>
      <c r="E115" s="313">
        <f t="shared" ref="E115:J115" si="19">(E104+E106+E108+E107+E109)/E113</f>
        <v>0.4900490998363336</v>
      </c>
      <c r="F115" s="313">
        <f t="shared" si="19"/>
        <v>0.54077741407528668</v>
      </c>
      <c r="G115" s="313">
        <f t="shared" si="19"/>
        <v>0.50040916530278201</v>
      </c>
      <c r="H115" s="313">
        <f t="shared" si="19"/>
        <v>0.56141571194762652</v>
      </c>
      <c r="I115" s="313">
        <f t="shared" ca="1" si="19"/>
        <v>0.60983606557376968</v>
      </c>
      <c r="J115" s="313">
        <f t="shared" ca="1" si="19"/>
        <v>0.61601307189542975</v>
      </c>
    </row>
    <row r="117" spans="2:11">
      <c r="B117" s="306" t="s">
        <v>888</v>
      </c>
      <c r="C117" s="10"/>
    </row>
    <row r="118" spans="2:11">
      <c r="B118" s="6" t="s">
        <v>898</v>
      </c>
    </row>
    <row r="120" spans="2:11">
      <c r="B120" s="65" t="s">
        <v>857</v>
      </c>
    </row>
    <row r="121" spans="2:11">
      <c r="B121" s="25" t="s">
        <v>879</v>
      </c>
    </row>
    <row r="122" spans="2:11">
      <c r="B122" s="2" t="s">
        <v>887</v>
      </c>
      <c r="D122" s="16">
        <v>213883</v>
      </c>
      <c r="E122" s="16">
        <v>220747</v>
      </c>
      <c r="F122" s="16">
        <v>297392</v>
      </c>
      <c r="G122" s="16">
        <v>316199</v>
      </c>
      <c r="H122" s="16">
        <v>298085</v>
      </c>
      <c r="I122" s="16">
        <v>293975.59999999998</v>
      </c>
      <c r="J122" s="16">
        <v>313455.59999999998</v>
      </c>
      <c r="K122" s="16">
        <v>329835.7</v>
      </c>
    </row>
    <row r="123" spans="2:11">
      <c r="B123" s="116" t="s">
        <v>884</v>
      </c>
      <c r="D123" s="16">
        <v>-73435</v>
      </c>
      <c r="E123" s="16">
        <v>-79104</v>
      </c>
      <c r="F123" s="16">
        <v>-95678</v>
      </c>
      <c r="G123" s="16">
        <v>-104429</v>
      </c>
      <c r="H123" s="16">
        <v>-96388</v>
      </c>
      <c r="I123" s="16">
        <v>-96458</v>
      </c>
      <c r="J123" s="16">
        <v>-102152.7</v>
      </c>
      <c r="K123" s="16">
        <v>-109104.1</v>
      </c>
    </row>
    <row r="124" spans="2:11" ht="13.5">
      <c r="B124" s="116" t="s">
        <v>883</v>
      </c>
      <c r="D124" s="21">
        <f t="shared" ref="D124:J124" si="20">-E123</f>
        <v>79104</v>
      </c>
      <c r="E124" s="21">
        <f t="shared" si="20"/>
        <v>95678</v>
      </c>
      <c r="F124" s="21">
        <f t="shared" si="20"/>
        <v>104429</v>
      </c>
      <c r="G124" s="21">
        <f t="shared" si="20"/>
        <v>96388</v>
      </c>
      <c r="H124" s="21">
        <f t="shared" si="20"/>
        <v>96458</v>
      </c>
      <c r="I124" s="21">
        <f t="shared" si="20"/>
        <v>102152.7</v>
      </c>
      <c r="J124" s="21">
        <f t="shared" si="20"/>
        <v>109104.1</v>
      </c>
      <c r="K124" s="21"/>
    </row>
    <row r="125" spans="2:11">
      <c r="B125" s="60" t="s">
        <v>885</v>
      </c>
      <c r="C125" s="5"/>
      <c r="D125" s="557">
        <f>SUM(D122:D124)</f>
        <v>219552</v>
      </c>
      <c r="E125" s="557">
        <f t="shared" ref="E125:J125" si="21">SUM(E122:E124)</f>
        <v>237321</v>
      </c>
      <c r="F125" s="557">
        <f t="shared" si="21"/>
        <v>306143</v>
      </c>
      <c r="G125" s="557">
        <f t="shared" si="21"/>
        <v>308158</v>
      </c>
      <c r="H125" s="557">
        <f t="shared" si="21"/>
        <v>298155</v>
      </c>
      <c r="I125" s="557">
        <f t="shared" si="21"/>
        <v>299670.3</v>
      </c>
      <c r="J125" s="557">
        <f t="shared" si="21"/>
        <v>320407</v>
      </c>
      <c r="K125" s="20"/>
    </row>
    <row r="126" spans="2:11">
      <c r="B126" s="41" t="s">
        <v>249</v>
      </c>
      <c r="D126" s="20"/>
      <c r="E126" s="68">
        <f>E125/D125-1</f>
        <v>8.0932990817665029E-2</v>
      </c>
      <c r="F126" s="68">
        <f t="shared" ref="F126:J126" si="22">F125/E125-1</f>
        <v>0.28999540706469307</v>
      </c>
      <c r="G126" s="68">
        <f t="shared" si="22"/>
        <v>6.5818914690194408E-3</v>
      </c>
      <c r="H126" s="68">
        <f t="shared" si="22"/>
        <v>-3.2460620850342958E-2</v>
      </c>
      <c r="I126" s="68">
        <f t="shared" si="22"/>
        <v>5.0822558736227652E-3</v>
      </c>
      <c r="J126" s="68">
        <f t="shared" si="22"/>
        <v>6.919838235554221E-2</v>
      </c>
      <c r="K126" s="20"/>
    </row>
    <row r="127" spans="2:11">
      <c r="E127" s="42"/>
      <c r="F127" s="42"/>
      <c r="G127" s="42"/>
      <c r="H127" s="42"/>
      <c r="I127" s="42"/>
      <c r="J127" s="42"/>
    </row>
    <row r="128" spans="2:11">
      <c r="B128" s="25" t="s">
        <v>880</v>
      </c>
    </row>
    <row r="129" spans="2:11">
      <c r="B129" s="2" t="s">
        <v>887</v>
      </c>
      <c r="D129" s="16">
        <v>144996</v>
      </c>
      <c r="E129" s="16">
        <v>151286</v>
      </c>
      <c r="F129" s="16">
        <v>192266</v>
      </c>
      <c r="G129" s="16">
        <v>201471</v>
      </c>
      <c r="H129" s="16">
        <v>189282</v>
      </c>
      <c r="I129" s="16">
        <v>184785.4</v>
      </c>
      <c r="J129" s="16">
        <v>197867.8</v>
      </c>
      <c r="K129" s="16">
        <v>209051.8</v>
      </c>
    </row>
    <row r="130" spans="2:11">
      <c r="B130" s="116" t="s">
        <v>884</v>
      </c>
      <c r="D130" s="16">
        <v>-48238</v>
      </c>
      <c r="E130" s="16">
        <v>-52075</v>
      </c>
      <c r="F130" s="16">
        <v>-62130</v>
      </c>
      <c r="G130" s="16">
        <v>-64309</v>
      </c>
      <c r="H130" s="16">
        <v>-60765</v>
      </c>
      <c r="I130" s="16">
        <v>-58440</v>
      </c>
      <c r="J130" s="16">
        <v>-62762.6</v>
      </c>
      <c r="K130" s="16">
        <v>-66717.8</v>
      </c>
    </row>
    <row r="131" spans="2:11" ht="13.5">
      <c r="B131" s="116" t="s">
        <v>883</v>
      </c>
      <c r="D131" s="21">
        <f t="shared" ref="D131:J131" si="23">-E130</f>
        <v>52075</v>
      </c>
      <c r="E131" s="21">
        <f t="shared" si="23"/>
        <v>62130</v>
      </c>
      <c r="F131" s="21">
        <f t="shared" si="23"/>
        <v>64309</v>
      </c>
      <c r="G131" s="21">
        <f t="shared" si="23"/>
        <v>60765</v>
      </c>
      <c r="H131" s="21">
        <f t="shared" si="23"/>
        <v>58440</v>
      </c>
      <c r="I131" s="21">
        <f t="shared" si="23"/>
        <v>62762.6</v>
      </c>
      <c r="J131" s="21">
        <f t="shared" si="23"/>
        <v>66717.8</v>
      </c>
      <c r="K131" s="21"/>
    </row>
    <row r="132" spans="2:11">
      <c r="B132" s="60" t="s">
        <v>885</v>
      </c>
      <c r="C132" s="5"/>
      <c r="D132" s="557">
        <f>SUM(D129:D131)</f>
        <v>148833</v>
      </c>
      <c r="E132" s="557">
        <f t="shared" ref="E132" si="24">SUM(E129:E131)</f>
        <v>161341</v>
      </c>
      <c r="F132" s="557">
        <f t="shared" ref="F132" si="25">SUM(F129:F131)</f>
        <v>194445</v>
      </c>
      <c r="G132" s="557">
        <f t="shared" ref="G132" si="26">SUM(G129:G131)</f>
        <v>197927</v>
      </c>
      <c r="H132" s="557">
        <f t="shared" ref="H132" si="27">SUM(H129:H131)</f>
        <v>186957</v>
      </c>
      <c r="I132" s="557">
        <f t="shared" ref="I132" si="28">SUM(I129:I131)</f>
        <v>189108</v>
      </c>
      <c r="J132" s="557">
        <f t="shared" ref="J132" si="29">SUM(J129:J131)</f>
        <v>201823</v>
      </c>
      <c r="K132" s="20"/>
    </row>
    <row r="133" spans="2:11">
      <c r="B133" s="41" t="s">
        <v>893</v>
      </c>
      <c r="D133" s="313">
        <f>D132/D$125</f>
        <v>0.67789407520769562</v>
      </c>
      <c r="E133" s="313">
        <f t="shared" ref="E133:J133" si="30">E132/E$125</f>
        <v>0.67984291318509527</v>
      </c>
      <c r="F133" s="313">
        <f t="shared" si="30"/>
        <v>0.63514436064192226</v>
      </c>
      <c r="G133" s="313">
        <f t="shared" si="30"/>
        <v>0.64229064311165052</v>
      </c>
      <c r="H133" s="313">
        <f t="shared" si="30"/>
        <v>0.62704633496000406</v>
      </c>
      <c r="I133" s="313">
        <f t="shared" si="30"/>
        <v>0.63105352782708202</v>
      </c>
      <c r="J133" s="313">
        <f t="shared" si="30"/>
        <v>0.62989572637301927</v>
      </c>
      <c r="K133" s="377"/>
    </row>
    <row r="134" spans="2:11">
      <c r="B134" s="41"/>
      <c r="D134" s="313"/>
      <c r="E134" s="313"/>
      <c r="F134" s="313"/>
      <c r="G134" s="313"/>
      <c r="H134" s="313"/>
      <c r="I134" s="313"/>
      <c r="J134" s="313"/>
      <c r="K134" s="377"/>
    </row>
    <row r="136" spans="2:11">
      <c r="B136" s="5" t="s">
        <v>881</v>
      </c>
      <c r="C136" s="5"/>
      <c r="D136" s="44">
        <f>D104</f>
        <v>8003.6024312041436</v>
      </c>
      <c r="E136" s="44">
        <f>E104</f>
        <v>11520.878291509085</v>
      </c>
      <c r="F136" s="44">
        <f>F104</f>
        <v>14633.552605763471</v>
      </c>
      <c r="G136" s="44">
        <f>G104</f>
        <v>17123.631309371754</v>
      </c>
      <c r="H136" s="44">
        <f>H104</f>
        <v>17182.006552592924</v>
      </c>
      <c r="I136" s="44">
        <f>H136+(I132-H132)*I$138</f>
        <v>17373.730362990565</v>
      </c>
      <c r="J136" s="44">
        <f>I136+(J132-I132)*J$138</f>
        <v>18507.048935378301</v>
      </c>
      <c r="K136" s="19"/>
    </row>
    <row r="137" spans="2:11">
      <c r="B137" s="9" t="s">
        <v>882</v>
      </c>
      <c r="D137" s="43">
        <f t="shared" ref="D137:J137" si="31">D$136/D132</f>
        <v>5.3775724679366428E-2</v>
      </c>
      <c r="E137" s="43">
        <f t="shared" si="31"/>
        <v>7.1407009325026402E-2</v>
      </c>
      <c r="F137" s="43">
        <f t="shared" si="31"/>
        <v>7.5258055520910652E-2</v>
      </c>
      <c r="G137" s="43">
        <f t="shared" si="31"/>
        <v>8.651488331239171E-2</v>
      </c>
      <c r="H137" s="43">
        <f t="shared" si="31"/>
        <v>9.1903520876955261E-2</v>
      </c>
      <c r="I137" s="43">
        <f t="shared" si="31"/>
        <v>9.1872000988803035E-2</v>
      </c>
      <c r="J137" s="43">
        <f t="shared" si="31"/>
        <v>9.1699404603926712E-2</v>
      </c>
      <c r="K137" s="45"/>
    </row>
    <row r="138" spans="2:11">
      <c r="B138" s="41" t="s">
        <v>890</v>
      </c>
      <c r="E138" s="579">
        <f>IF(E132&gt;D132,((E136-D136)/(E132-D132)),"n/m")</f>
        <v>0.28120209948072766</v>
      </c>
      <c r="F138" s="579">
        <f t="shared" ref="F138:H138" si="32">IF(F132&gt;E132,((F136-E136)/(F132-E132)),"n/m")</f>
        <v>9.4027136124165828E-2</v>
      </c>
      <c r="G138" s="579">
        <f t="shared" si="32"/>
        <v>0.71512886375884088</v>
      </c>
      <c r="H138" s="579" t="str">
        <f t="shared" si="32"/>
        <v>n/m</v>
      </c>
      <c r="I138" s="580">
        <f>H139</f>
        <v>8.9132408367104579E-2</v>
      </c>
      <c r="J138" s="580">
        <f>I138</f>
        <v>8.9132408367104579E-2</v>
      </c>
    </row>
    <row r="139" spans="2:11">
      <c r="B139" s="9" t="s">
        <v>896</v>
      </c>
      <c r="E139" s="579">
        <f>SUM(D136:E136)/SUM(D132:E132)</f>
        <v>6.294686441388779E-2</v>
      </c>
      <c r="F139" s="579">
        <f t="shared" ref="F139:J139" si="33">SUM(E136:F136)/SUM(E132:F132)</f>
        <v>7.3511692133115286E-2</v>
      </c>
      <c r="G139" s="579">
        <f t="shared" si="33"/>
        <v>8.0936417265083202E-2</v>
      </c>
      <c r="H139" s="579">
        <f t="shared" si="33"/>
        <v>8.9132408367104579E-2</v>
      </c>
      <c r="I139" s="579">
        <f t="shared" si="33"/>
        <v>9.1887670789846138E-2</v>
      </c>
      <c r="J139" s="579">
        <f t="shared" si="33"/>
        <v>9.1782895954449426E-2</v>
      </c>
    </row>
    <row r="140" spans="2:11">
      <c r="B140" s="41" t="s">
        <v>891</v>
      </c>
      <c r="I140" s="29">
        <f ca="1">I136-I104</f>
        <v>-4717.5504692569339</v>
      </c>
      <c r="J140" s="29">
        <f ca="1">J136-J104</f>
        <v>-8164.4100540342588</v>
      </c>
    </row>
    <row r="142" spans="2:11">
      <c r="B142" s="65" t="s">
        <v>861</v>
      </c>
    </row>
    <row r="143" spans="2:11">
      <c r="B143" s="25" t="s">
        <v>7</v>
      </c>
    </row>
    <row r="144" spans="2:11">
      <c r="B144" s="2" t="s">
        <v>889</v>
      </c>
      <c r="D144" s="16">
        <v>11716</v>
      </c>
      <c r="E144" s="16">
        <v>10918</v>
      </c>
      <c r="F144" s="16">
        <v>16675</v>
      </c>
      <c r="G144" s="16">
        <v>26914</v>
      </c>
      <c r="H144" s="16">
        <v>26974</v>
      </c>
      <c r="I144" s="16">
        <v>60922</v>
      </c>
      <c r="J144" s="16">
        <v>120451.8</v>
      </c>
      <c r="K144" s="16">
        <v>169074.2</v>
      </c>
    </row>
    <row r="145" spans="2:11">
      <c r="B145" s="60" t="s">
        <v>885</v>
      </c>
      <c r="C145" s="5"/>
      <c r="D145" s="557">
        <f>(D144*(1/12))+(E144*(11/12))</f>
        <v>10984.5</v>
      </c>
      <c r="E145" s="557">
        <f t="shared" ref="E145:G145" si="34">(E144*(1/12))+(F144*(11/12))</f>
        <v>16195.25</v>
      </c>
      <c r="F145" s="557">
        <f t="shared" si="34"/>
        <v>26060.749999999996</v>
      </c>
      <c r="G145" s="557">
        <f t="shared" si="34"/>
        <v>26968.999999999996</v>
      </c>
      <c r="H145" s="557">
        <f>(H144*(1/12))+(I144*(11/12))</f>
        <v>58093</v>
      </c>
      <c r="I145" s="557">
        <f>(I144*(1/12))+(J144*(11/12))</f>
        <v>115490.98333333332</v>
      </c>
      <c r="J145" s="557">
        <f>(J144*(1/12))+(K144*(11/12))</f>
        <v>165022.33333333334</v>
      </c>
      <c r="K145" s="20"/>
    </row>
    <row r="146" spans="2:11">
      <c r="B146" s="41" t="s">
        <v>249</v>
      </c>
      <c r="D146" s="20"/>
      <c r="E146" s="68">
        <f>E145/D145-1</f>
        <v>0.47437298010833451</v>
      </c>
      <c r="F146" s="68">
        <f t="shared" ref="F146" si="35">F145/E145-1</f>
        <v>0.60916009323721432</v>
      </c>
      <c r="G146" s="68">
        <f t="shared" ref="G146" si="36">G145/F145-1</f>
        <v>3.4851260995942157E-2</v>
      </c>
      <c r="H146" s="68">
        <f t="shared" ref="H146" si="37">H145/G145-1</f>
        <v>1.1540657792280027</v>
      </c>
      <c r="I146" s="68">
        <f t="shared" ref="I146" si="38">I145/H145-1</f>
        <v>0.98803613745775443</v>
      </c>
      <c r="J146" s="68">
        <f t="shared" ref="J146" si="39">J145/I145-1</f>
        <v>0.42887633796520075</v>
      </c>
      <c r="K146" s="20"/>
    </row>
    <row r="148" spans="2:11">
      <c r="B148" s="25" t="s">
        <v>892</v>
      </c>
    </row>
    <row r="149" spans="2:11">
      <c r="B149" s="2" t="s">
        <v>889</v>
      </c>
      <c r="D149" s="16">
        <v>4545</v>
      </c>
      <c r="E149" s="16">
        <v>4150</v>
      </c>
      <c r="F149" s="16">
        <v>6279</v>
      </c>
      <c r="G149" s="16">
        <v>9439</v>
      </c>
      <c r="H149" s="16">
        <v>11618</v>
      </c>
      <c r="I149" s="16">
        <v>16621</v>
      </c>
      <c r="J149" s="16">
        <v>29187.4</v>
      </c>
      <c r="K149" s="16">
        <v>42134.9</v>
      </c>
    </row>
    <row r="150" spans="2:11">
      <c r="B150" s="60" t="s">
        <v>885</v>
      </c>
      <c r="C150" s="5"/>
      <c r="D150" s="557">
        <f>(D149*(1/12))+(E149*(11/12))</f>
        <v>4182.9166666666661</v>
      </c>
      <c r="E150" s="557">
        <f t="shared" ref="E150:J150" si="40">(E149*(1/12))+(F149*(11/12))</f>
        <v>6101.583333333333</v>
      </c>
      <c r="F150" s="557">
        <f t="shared" si="40"/>
        <v>9175.6666666666661</v>
      </c>
      <c r="G150" s="557">
        <f t="shared" si="40"/>
        <v>11436.416666666666</v>
      </c>
      <c r="H150" s="557">
        <f t="shared" si="40"/>
        <v>16204.083333333332</v>
      </c>
      <c r="I150" s="557">
        <f t="shared" si="40"/>
        <v>28140.2</v>
      </c>
      <c r="J150" s="557">
        <f t="shared" si="40"/>
        <v>41055.941666666666</v>
      </c>
      <c r="K150" s="20"/>
    </row>
    <row r="151" spans="2:11">
      <c r="B151" s="41" t="s">
        <v>886</v>
      </c>
      <c r="D151" s="313">
        <f>D150/D145</f>
        <v>0.38080173577920395</v>
      </c>
      <c r="E151" s="313">
        <f t="shared" ref="E151:J151" si="41">E150/E145</f>
        <v>0.37675141373756704</v>
      </c>
      <c r="F151" s="313">
        <f t="shared" si="41"/>
        <v>0.3520875902138913</v>
      </c>
      <c r="G151" s="313">
        <f t="shared" si="41"/>
        <v>0.4240578689112191</v>
      </c>
      <c r="H151" s="313">
        <f t="shared" si="41"/>
        <v>0.27893349170009007</v>
      </c>
      <c r="I151" s="313">
        <f t="shared" si="41"/>
        <v>0.24365711666668352</v>
      </c>
      <c r="J151" s="313">
        <f t="shared" si="41"/>
        <v>0.24879021425382825</v>
      </c>
      <c r="K151" s="377"/>
    </row>
    <row r="152" spans="2:11">
      <c r="D152" s="354"/>
      <c r="E152" s="354"/>
      <c r="F152" s="354"/>
      <c r="G152" s="354"/>
      <c r="H152" s="354"/>
      <c r="I152" s="354"/>
      <c r="J152" s="354"/>
    </row>
    <row r="153" spans="2:11">
      <c r="B153" s="5" t="s">
        <v>881</v>
      </c>
      <c r="C153" s="5"/>
      <c r="D153" s="44">
        <f>D108</f>
        <v>2624.9028466901682</v>
      </c>
      <c r="E153" s="44">
        <f t="shared" ref="E153:H153" si="42">E108</f>
        <v>2805.9243206180636</v>
      </c>
      <c r="F153" s="44">
        <f t="shared" si="42"/>
        <v>3320.2724962070238</v>
      </c>
      <c r="G153" s="44">
        <f t="shared" si="42"/>
        <v>4577.8197737028158</v>
      </c>
      <c r="H153" s="44">
        <f t="shared" si="42"/>
        <v>5719.0117268531421</v>
      </c>
      <c r="I153" s="44">
        <f>H153+(I150-H150)*I155</f>
        <v>11555.749252979578</v>
      </c>
      <c r="J153" s="44">
        <f>I153+(J150-I150)*J155</f>
        <v>17871.521473446712</v>
      </c>
      <c r="K153" s="19"/>
    </row>
    <row r="154" spans="2:11">
      <c r="B154" s="9" t="s">
        <v>894</v>
      </c>
      <c r="D154" s="43">
        <f>D153/D150</f>
        <v>0.6275293188620783</v>
      </c>
      <c r="E154" s="43">
        <f t="shared" ref="E154:H154" si="43">E153/E150</f>
        <v>0.45986822883973782</v>
      </c>
      <c r="F154" s="43">
        <f t="shared" si="43"/>
        <v>0.36185626797766091</v>
      </c>
      <c r="G154" s="43">
        <f t="shared" si="43"/>
        <v>0.40028445160149079</v>
      </c>
      <c r="H154" s="43">
        <f t="shared" si="43"/>
        <v>0.35293645491742159</v>
      </c>
      <c r="I154" s="43">
        <f t="shared" ref="I154" si="44">I153/I150</f>
        <v>0.41064915149784215</v>
      </c>
      <c r="J154" s="43">
        <f t="shared" ref="J154" si="45">J153/J150</f>
        <v>0.43529683519490692</v>
      </c>
      <c r="K154" s="45"/>
    </row>
    <row r="155" spans="2:11">
      <c r="B155" s="41" t="s">
        <v>890</v>
      </c>
      <c r="E155" s="579" t="str">
        <f>IF(E149&gt;D149,((E153-D153)/(E149-D149)),"n/m")</f>
        <v>n/m</v>
      </c>
      <c r="F155" s="579">
        <f t="shared" ref="F155:H155" si="46">IF(F149&gt;E149,((F153-E153)/(F149-E149)),"n/m")</f>
        <v>0.24159143991966192</v>
      </c>
      <c r="G155" s="579">
        <f t="shared" si="46"/>
        <v>0.39795799920752911</v>
      </c>
      <c r="H155" s="579">
        <f t="shared" si="46"/>
        <v>0.52372278712727227</v>
      </c>
      <c r="I155" s="580">
        <f>H156</f>
        <v>0.48899802918535207</v>
      </c>
      <c r="J155" s="580">
        <f>I155</f>
        <v>0.48899802918535207</v>
      </c>
    </row>
    <row r="156" spans="2:11">
      <c r="B156" s="9" t="s">
        <v>928</v>
      </c>
      <c r="E156" s="579">
        <f>SUM(D153:E153)/SUM(D149:E149)</f>
        <v>0.62459196863809452</v>
      </c>
      <c r="F156" s="579">
        <f t="shared" ref="F156:J156" si="47">SUM(E153:F153)/SUM(E149:F149)</f>
        <v>0.58741938985761699</v>
      </c>
      <c r="G156" s="579">
        <f t="shared" si="47"/>
        <v>0.5024871020428705</v>
      </c>
      <c r="H156" s="579">
        <f t="shared" si="47"/>
        <v>0.48899802918535207</v>
      </c>
      <c r="I156" s="579">
        <f t="shared" si="47"/>
        <v>0.61173416126041014</v>
      </c>
      <c r="J156" s="579">
        <f t="shared" si="47"/>
        <v>0.64239900818247941</v>
      </c>
    </row>
    <row r="157" spans="2:11">
      <c r="B157" s="41" t="s">
        <v>891</v>
      </c>
      <c r="I157" s="29">
        <f ca="1">I153-I108</f>
        <v>-1109.9184241756338</v>
      </c>
      <c r="J157" s="29">
        <f ca="1">J153-J108</f>
        <v>1335.2169000108515</v>
      </c>
    </row>
    <row r="159" spans="2:11">
      <c r="B159" s="65" t="s">
        <v>859</v>
      </c>
    </row>
    <row r="160" spans="2:11">
      <c r="B160" s="48" t="s">
        <v>7</v>
      </c>
      <c r="C160" s="5"/>
      <c r="D160" s="596">
        <v>6731</v>
      </c>
      <c r="E160" s="596">
        <v>9763</v>
      </c>
      <c r="F160" s="596">
        <v>16434</v>
      </c>
      <c r="G160" s="596">
        <v>23601</v>
      </c>
      <c r="H160" s="596">
        <v>22680</v>
      </c>
      <c r="I160" s="596">
        <v>25621.5</v>
      </c>
      <c r="J160" s="596">
        <v>32794.800000000003</v>
      </c>
      <c r="K160" s="20"/>
    </row>
    <row r="161" spans="2:11">
      <c r="B161" s="9" t="s">
        <v>249</v>
      </c>
      <c r="D161" s="20"/>
      <c r="E161" s="68">
        <f>E160/D160-1</f>
        <v>0.45045312732134901</v>
      </c>
      <c r="F161" s="68">
        <f t="shared" ref="F161" si="48">F160/E160-1</f>
        <v>0.68329406944586712</v>
      </c>
      <c r="G161" s="68">
        <f t="shared" ref="G161" si="49">G160/F160-1</f>
        <v>0.43610806863818907</v>
      </c>
      <c r="H161" s="68">
        <f t="shared" ref="H161" si="50">H160/G160-1</f>
        <v>-3.9023770179229644E-2</v>
      </c>
      <c r="I161" s="68">
        <f t="shared" ref="I161" si="51">I160/H160-1</f>
        <v>0.12969576719576725</v>
      </c>
      <c r="J161" s="68">
        <f t="shared" ref="J161" si="52">J160/I160-1</f>
        <v>0.27997189860078464</v>
      </c>
      <c r="K161" s="20"/>
    </row>
    <row r="163" spans="2:11">
      <c r="B163" s="48" t="s">
        <v>892</v>
      </c>
      <c r="C163" s="5"/>
      <c r="D163" s="596">
        <v>3863</v>
      </c>
      <c r="E163" s="596">
        <v>5416</v>
      </c>
      <c r="F163" s="596">
        <v>8505</v>
      </c>
      <c r="G163" s="596">
        <v>11550</v>
      </c>
      <c r="H163" s="596">
        <v>11278</v>
      </c>
      <c r="I163" s="596">
        <v>12718.9</v>
      </c>
      <c r="J163" s="596">
        <v>15299.7</v>
      </c>
      <c r="K163" s="20"/>
    </row>
    <row r="164" spans="2:11">
      <c r="B164" s="9" t="s">
        <v>886</v>
      </c>
      <c r="D164" s="313">
        <f t="shared" ref="D164:J164" si="53">D163/D160</f>
        <v>0.57391175159708807</v>
      </c>
      <c r="E164" s="313">
        <f t="shared" si="53"/>
        <v>0.55474751613233642</v>
      </c>
      <c r="F164" s="313">
        <f t="shared" si="53"/>
        <v>0.51752464403066811</v>
      </c>
      <c r="G164" s="313">
        <f t="shared" si="53"/>
        <v>0.48938604296428118</v>
      </c>
      <c r="H164" s="313">
        <f t="shared" si="53"/>
        <v>0.4972663139329806</v>
      </c>
      <c r="I164" s="313">
        <f t="shared" si="53"/>
        <v>0.49641512011396677</v>
      </c>
      <c r="J164" s="313">
        <f t="shared" si="53"/>
        <v>0.4665282300852574</v>
      </c>
      <c r="K164" s="377"/>
    </row>
    <row r="165" spans="2:11">
      <c r="D165" s="354"/>
      <c r="E165" s="354"/>
      <c r="F165" s="354"/>
      <c r="G165" s="354"/>
      <c r="H165" s="354"/>
      <c r="I165" s="354"/>
      <c r="J165" s="354"/>
    </row>
    <row r="166" spans="2:11">
      <c r="B166" s="5" t="s">
        <v>881</v>
      </c>
      <c r="C166" s="5"/>
      <c r="D166" s="44">
        <f>D106</f>
        <v>1825.4774383845811</v>
      </c>
      <c r="E166" s="44">
        <f t="shared" ref="E166:H166" si="54">E106</f>
        <v>3334.8246896423179</v>
      </c>
      <c r="F166" s="44">
        <f t="shared" si="54"/>
        <v>5535.3367063025744</v>
      </c>
      <c r="G166" s="44">
        <f t="shared" si="54"/>
        <v>6959.9516217346127</v>
      </c>
      <c r="H166" s="44">
        <f t="shared" si="54"/>
        <v>7503.3297648829403</v>
      </c>
      <c r="I166" s="44">
        <f>H166+(I163-H163)*I168</f>
        <v>8416.2499571896351</v>
      </c>
      <c r="J166" s="44">
        <f>I166+(J163-I163)*J168</f>
        <v>10051.383854271404</v>
      </c>
      <c r="K166" s="19"/>
    </row>
    <row r="167" spans="2:11">
      <c r="B167" s="9" t="s">
        <v>894</v>
      </c>
      <c r="D167" s="43">
        <f>D166/D163</f>
        <v>0.47255434594475304</v>
      </c>
      <c r="E167" s="43">
        <f t="shared" ref="E167:J167" si="55">E166/E163</f>
        <v>0.61573572556172784</v>
      </c>
      <c r="F167" s="43">
        <f t="shared" si="55"/>
        <v>0.65083324001206044</v>
      </c>
      <c r="G167" s="43">
        <f t="shared" si="55"/>
        <v>0.60259321400299681</v>
      </c>
      <c r="H167" s="43">
        <f t="shared" si="55"/>
        <v>0.66530677113698711</v>
      </c>
      <c r="I167" s="43">
        <f t="shared" si="55"/>
        <v>0.66171209437841605</v>
      </c>
      <c r="J167" s="43">
        <f t="shared" si="55"/>
        <v>0.6569660747773749</v>
      </c>
      <c r="K167" s="45"/>
    </row>
    <row r="168" spans="2:11">
      <c r="B168" s="41" t="s">
        <v>890</v>
      </c>
      <c r="E168" s="579">
        <f>IF(E163&gt;D163,((E166-D166)/(E163-D163)),"n/m")</f>
        <v>0.97189134015308232</v>
      </c>
      <c r="F168" s="579">
        <f t="shared" ref="F168:H168" si="56">IF(F163&gt;E163,((F166-E166)/(F163-E163)),"n/m")</f>
        <v>0.71237035178383179</v>
      </c>
      <c r="G168" s="579">
        <f t="shared" si="56"/>
        <v>0.46785383101216366</v>
      </c>
      <c r="H168" s="579" t="str">
        <f t="shared" si="56"/>
        <v>n/m</v>
      </c>
      <c r="I168" s="580">
        <f>H169</f>
        <v>0.63357637053695259</v>
      </c>
      <c r="J168" s="580">
        <f>I168</f>
        <v>0.63357637053695259</v>
      </c>
    </row>
    <row r="169" spans="2:11">
      <c r="B169" s="9" t="s">
        <v>896</v>
      </c>
      <c r="E169" s="579">
        <f>SUM(D166:E166)/SUM(D163:E163)</f>
        <v>0.55612696713297749</v>
      </c>
      <c r="F169" s="579">
        <f t="shared" ref="F169:J169" si="57">SUM(E166:F166)/SUM(E163:F163)</f>
        <v>0.63717846389949651</v>
      </c>
      <c r="G169" s="579">
        <f t="shared" si="57"/>
        <v>0.62305102608013896</v>
      </c>
      <c r="H169" s="579">
        <f t="shared" si="57"/>
        <v>0.63357637053695259</v>
      </c>
      <c r="I169" s="579">
        <f t="shared" si="57"/>
        <v>0.66340151111487633</v>
      </c>
      <c r="J169" s="579">
        <f t="shared" si="57"/>
        <v>0.65912050607314576</v>
      </c>
    </row>
    <row r="170" spans="2:11">
      <c r="B170" s="41" t="s">
        <v>891</v>
      </c>
      <c r="I170" s="29">
        <f ca="1">I166-I106</f>
        <v>-567.53758125777676</v>
      </c>
      <c r="J170" s="29">
        <f ca="1">J166-J106</f>
        <v>-972.8191946857678</v>
      </c>
    </row>
    <row r="172" spans="2:11">
      <c r="B172" s="65" t="s">
        <v>860</v>
      </c>
    </row>
    <row r="173" spans="2:11" ht="11.25" customHeight="1">
      <c r="B173" s="25" t="s">
        <v>899</v>
      </c>
      <c r="D173"/>
      <c r="E173"/>
      <c r="F173"/>
      <c r="G173"/>
      <c r="H173"/>
      <c r="I173"/>
      <c r="J173"/>
      <c r="K173" s="20"/>
    </row>
    <row r="174" spans="2:11">
      <c r="B174" s="2" t="s">
        <v>887</v>
      </c>
      <c r="D174" s="16">
        <v>14639</v>
      </c>
      <c r="E174" s="16">
        <v>16493</v>
      </c>
      <c r="F174" s="16">
        <v>27019</v>
      </c>
      <c r="G174" s="16">
        <v>37677</v>
      </c>
      <c r="H174" s="16">
        <v>30382</v>
      </c>
      <c r="I174" s="16">
        <v>32922.199999999997</v>
      </c>
      <c r="J174" s="16">
        <v>35729</v>
      </c>
      <c r="K174" s="16"/>
    </row>
    <row r="175" spans="2:11">
      <c r="B175" s="116" t="s">
        <v>884</v>
      </c>
      <c r="D175" s="16">
        <v>-3739</v>
      </c>
      <c r="E175" s="16">
        <v>-3618</v>
      </c>
      <c r="F175" s="16">
        <v>-6533</v>
      </c>
      <c r="G175" s="16">
        <v>-8847</v>
      </c>
      <c r="H175" s="16">
        <v>-7892</v>
      </c>
      <c r="I175" s="16">
        <v>-8423</v>
      </c>
      <c r="J175" s="16">
        <v>-8944.6</v>
      </c>
      <c r="K175" s="581">
        <v>-9613.9</v>
      </c>
    </row>
    <row r="176" spans="2:11" ht="13.5">
      <c r="B176" s="116" t="s">
        <v>883</v>
      </c>
      <c r="D176" s="21">
        <f t="shared" ref="D176:J176" si="58">-E175</f>
        <v>3618</v>
      </c>
      <c r="E176" s="21">
        <f t="shared" si="58"/>
        <v>6533</v>
      </c>
      <c r="F176" s="21">
        <f t="shared" si="58"/>
        <v>8847</v>
      </c>
      <c r="G176" s="21">
        <f t="shared" si="58"/>
        <v>7892</v>
      </c>
      <c r="H176" s="21">
        <f t="shared" si="58"/>
        <v>8423</v>
      </c>
      <c r="I176" s="21">
        <f t="shared" si="58"/>
        <v>8944.6</v>
      </c>
      <c r="J176" s="21">
        <f t="shared" si="58"/>
        <v>9613.9</v>
      </c>
      <c r="K176" s="20"/>
    </row>
    <row r="177" spans="2:11">
      <c r="B177" s="60" t="s">
        <v>885</v>
      </c>
      <c r="C177" s="5"/>
      <c r="D177" s="557">
        <f>SUM(D174:D176)</f>
        <v>14518</v>
      </c>
      <c r="E177" s="557">
        <f t="shared" ref="E177" si="59">SUM(E174:E176)</f>
        <v>19408</v>
      </c>
      <c r="F177" s="557">
        <f t="shared" ref="F177" si="60">SUM(F174:F176)</f>
        <v>29333</v>
      </c>
      <c r="G177" s="557">
        <f t="shared" ref="G177" si="61">SUM(G174:G176)</f>
        <v>36722</v>
      </c>
      <c r="H177" s="557">
        <f t="shared" ref="H177" si="62">SUM(H174:H176)</f>
        <v>30913</v>
      </c>
      <c r="I177" s="557">
        <f t="shared" ref="I177" si="63">SUM(I174:I176)</f>
        <v>33443.799999999996</v>
      </c>
      <c r="J177" s="557">
        <f t="shared" ref="J177" si="64">SUM(J174:J176)</f>
        <v>36398.300000000003</v>
      </c>
      <c r="K177" s="377"/>
    </row>
    <row r="178" spans="2:11">
      <c r="B178" s="41" t="s">
        <v>249</v>
      </c>
      <c r="D178" s="20"/>
      <c r="E178" s="68">
        <f>E177/D177-1</f>
        <v>0.33682325389172063</v>
      </c>
      <c r="F178" s="68">
        <f t="shared" ref="F178" si="65">F177/E177-1</f>
        <v>0.51138705688375929</v>
      </c>
      <c r="G178" s="68">
        <f t="shared" ref="G178" si="66">G177/F177-1</f>
        <v>0.25190058977942931</v>
      </c>
      <c r="H178" s="68">
        <f t="shared" ref="H178" si="67">H177/G177-1</f>
        <v>-0.15818855182179625</v>
      </c>
      <c r="I178" s="68">
        <f t="shared" ref="I178" si="68">I177/H177-1</f>
        <v>8.1868469575906433E-2</v>
      </c>
      <c r="J178" s="68">
        <f t="shared" ref="J178" si="69">J177/I177-1</f>
        <v>8.8342233837064299E-2</v>
      </c>
    </row>
    <row r="179" spans="2:11">
      <c r="E179" s="42"/>
      <c r="F179" s="42"/>
      <c r="G179" s="42"/>
      <c r="H179" s="42"/>
      <c r="I179" s="42"/>
      <c r="J179" s="42"/>
      <c r="K179" s="19"/>
    </row>
    <row r="180" spans="2:11">
      <c r="B180" s="25" t="s">
        <v>900</v>
      </c>
      <c r="K180" s="45"/>
    </row>
    <row r="181" spans="2:11">
      <c r="B181" s="2" t="s">
        <v>887</v>
      </c>
      <c r="D181" s="16">
        <v>2143</v>
      </c>
      <c r="E181" s="16">
        <v>2763</v>
      </c>
      <c r="F181" s="16">
        <v>7763</v>
      </c>
      <c r="G181" s="16">
        <v>12837</v>
      </c>
      <c r="H181" s="16">
        <v>7924</v>
      </c>
      <c r="I181" s="16">
        <v>9413.5</v>
      </c>
      <c r="J181" s="16">
        <v>10254.1</v>
      </c>
      <c r="K181" s="594"/>
    </row>
    <row r="182" spans="2:11">
      <c r="B182" s="116" t="s">
        <v>884</v>
      </c>
      <c r="D182" s="16">
        <v>-598</v>
      </c>
      <c r="E182" s="16">
        <v>-479</v>
      </c>
      <c r="F182" s="16">
        <v>-1919</v>
      </c>
      <c r="G182" s="16">
        <v>-3114</v>
      </c>
      <c r="H182" s="16">
        <v>-2183</v>
      </c>
      <c r="I182" s="16">
        <v>-2593</v>
      </c>
      <c r="J182" s="16">
        <v>-2593.3000000000002</v>
      </c>
      <c r="K182" s="16">
        <v>-2766.7</v>
      </c>
    </row>
    <row r="183" spans="2:11" ht="13.5">
      <c r="B183" s="116" t="s">
        <v>883</v>
      </c>
      <c r="D183" s="21">
        <f t="shared" ref="D183:J183" si="70">-E182</f>
        <v>479</v>
      </c>
      <c r="E183" s="21">
        <f t="shared" si="70"/>
        <v>1919</v>
      </c>
      <c r="F183" s="21">
        <f t="shared" si="70"/>
        <v>3114</v>
      </c>
      <c r="G183" s="21">
        <f t="shared" si="70"/>
        <v>2183</v>
      </c>
      <c r="H183" s="21">
        <f t="shared" si="70"/>
        <v>2593</v>
      </c>
      <c r="I183" s="21">
        <f t="shared" si="70"/>
        <v>2593.3000000000002</v>
      </c>
      <c r="J183" s="21">
        <f t="shared" si="70"/>
        <v>2766.7</v>
      </c>
    </row>
    <row r="184" spans="2:11">
      <c r="B184" s="12" t="s">
        <v>885</v>
      </c>
      <c r="D184" s="20">
        <f>SUM(D181:D183)</f>
        <v>2024</v>
      </c>
      <c r="E184" s="20">
        <f t="shared" ref="E184" si="71">SUM(E181:E183)</f>
        <v>4203</v>
      </c>
      <c r="F184" s="20">
        <f t="shared" ref="F184" si="72">SUM(F181:F183)</f>
        <v>8958</v>
      </c>
      <c r="G184" s="20">
        <f t="shared" ref="G184" si="73">SUM(G181:G183)</f>
        <v>11906</v>
      </c>
      <c r="H184" s="20">
        <f t="shared" ref="H184" si="74">SUM(H181:H183)</f>
        <v>8334</v>
      </c>
      <c r="I184" s="20">
        <f t="shared" ref="I184" si="75">SUM(I181:I183)</f>
        <v>9413.7999999999993</v>
      </c>
      <c r="J184" s="20">
        <f t="shared" ref="J184" si="76">SUM(J181:J183)</f>
        <v>10427.5</v>
      </c>
    </row>
    <row r="185" spans="2:11">
      <c r="B185" s="41" t="s">
        <v>249</v>
      </c>
      <c r="D185" s="20"/>
      <c r="E185" s="68">
        <f>E184/D184-1</f>
        <v>1.0765810276679844</v>
      </c>
      <c r="F185" s="68">
        <f t="shared" ref="F185" si="77">F184/E184-1</f>
        <v>1.1313347608850819</v>
      </c>
      <c r="G185" s="68">
        <f t="shared" ref="G185" si="78">G184/F184-1</f>
        <v>0.32909131502567535</v>
      </c>
      <c r="H185" s="68">
        <f t="shared" ref="H185" si="79">H184/G184-1</f>
        <v>-0.30001679825298166</v>
      </c>
      <c r="I185" s="68">
        <f t="shared" ref="I185" si="80">I184/H184-1</f>
        <v>0.12956563474922</v>
      </c>
      <c r="J185" s="68">
        <f t="shared" ref="J185" si="81">J184/I184-1</f>
        <v>0.10768233869425736</v>
      </c>
    </row>
    <row r="186" spans="2:11">
      <c r="B186" s="41"/>
      <c r="D186" s="313"/>
      <c r="E186" s="313"/>
      <c r="F186" s="313"/>
      <c r="G186" s="313"/>
      <c r="H186" s="313"/>
      <c r="I186" s="313"/>
      <c r="J186" s="313"/>
    </row>
    <row r="187" spans="2:11">
      <c r="B187" s="5" t="s">
        <v>914</v>
      </c>
      <c r="C187" s="5"/>
      <c r="D187" s="557">
        <f t="shared" ref="D187:J187" si="82">D177-D184</f>
        <v>12494</v>
      </c>
      <c r="E187" s="557">
        <f t="shared" si="82"/>
        <v>15205</v>
      </c>
      <c r="F187" s="557">
        <f t="shared" si="82"/>
        <v>20375</v>
      </c>
      <c r="G187" s="557">
        <f t="shared" si="82"/>
        <v>24816</v>
      </c>
      <c r="H187" s="557">
        <f t="shared" si="82"/>
        <v>22579</v>
      </c>
      <c r="I187" s="557">
        <f t="shared" si="82"/>
        <v>24029.999999999996</v>
      </c>
      <c r="J187" s="557">
        <f t="shared" si="82"/>
        <v>25970.800000000003</v>
      </c>
    </row>
    <row r="188" spans="2:11">
      <c r="B188" s="9" t="s">
        <v>901</v>
      </c>
      <c r="D188" s="313">
        <f>D187/D177</f>
        <v>0.8605868576938972</v>
      </c>
      <c r="E188" s="313">
        <f t="shared" ref="E188:J188" si="83">E187/E177</f>
        <v>0.78343981863149215</v>
      </c>
      <c r="F188" s="313">
        <f t="shared" si="83"/>
        <v>0.6946101660246139</v>
      </c>
      <c r="G188" s="313">
        <f t="shared" si="83"/>
        <v>0.67578018626436465</v>
      </c>
      <c r="H188" s="313">
        <f t="shared" si="83"/>
        <v>0.73040468411347981</v>
      </c>
      <c r="I188" s="313">
        <f t="shared" si="83"/>
        <v>0.71851882860201288</v>
      </c>
      <c r="J188" s="313">
        <f t="shared" si="83"/>
        <v>0.71351684007220118</v>
      </c>
    </row>
    <row r="190" spans="2:11">
      <c r="B190" s="5" t="s">
        <v>881</v>
      </c>
      <c r="C190" s="5"/>
      <c r="D190" s="44">
        <f>D107</f>
        <v>2344.73568552284</v>
      </c>
      <c r="E190" s="44">
        <f>E107</f>
        <v>2810.0156736836448</v>
      </c>
      <c r="F190" s="44">
        <f>F107</f>
        <v>4735.0134646356664</v>
      </c>
      <c r="G190" s="44">
        <f>G107</f>
        <v>6711.3597252533773</v>
      </c>
      <c r="H190" s="44">
        <f>H107</f>
        <v>5037.9743077578178</v>
      </c>
      <c r="I190" s="44">
        <f>H190+(I187-H187)*I192</f>
        <v>5397.6806835759253</v>
      </c>
      <c r="J190" s="44">
        <f>I190+(J187-I187)*J192</f>
        <v>5878.80965269225</v>
      </c>
    </row>
    <row r="191" spans="2:11">
      <c r="B191" s="9" t="s">
        <v>902</v>
      </c>
      <c r="D191" s="43">
        <f>D190/D187</f>
        <v>0.18766893593107412</v>
      </c>
      <c r="E191" s="43">
        <f t="shared" ref="E191:H191" si="84">E190/E187</f>
        <v>0.1848086598936958</v>
      </c>
      <c r="F191" s="43">
        <f t="shared" si="84"/>
        <v>0.23239329887782412</v>
      </c>
      <c r="G191" s="43">
        <f t="shared" si="84"/>
        <v>0.27044486320331146</v>
      </c>
      <c r="H191" s="43">
        <f t="shared" si="84"/>
        <v>0.22312654713485175</v>
      </c>
      <c r="I191" s="43">
        <f t="shared" ref="I191" si="85">I190/I187</f>
        <v>0.22462258358618087</v>
      </c>
      <c r="J191" s="43">
        <f t="shared" ref="J191" si="86">J190/J187</f>
        <v>0.22636228582455101</v>
      </c>
    </row>
    <row r="192" spans="2:11">
      <c r="B192" s="41" t="s">
        <v>890</v>
      </c>
      <c r="E192" s="579">
        <f>IF(E187&gt;D187,((E190-D190)/(E187-D187)),"n/m")</f>
        <v>0.17162670164544624</v>
      </c>
      <c r="F192" s="579">
        <f t="shared" ref="F192:H192" si="87">IF(F187&gt;E187,((F190-E190)/(F187-E187)),"n/m")</f>
        <v>0.37233999824990749</v>
      </c>
      <c r="G192" s="579">
        <f t="shared" si="87"/>
        <v>0.44502280131000022</v>
      </c>
      <c r="H192" s="579" t="str">
        <f t="shared" si="87"/>
        <v>n/m</v>
      </c>
      <c r="I192" s="580">
        <f>H193</f>
        <v>0.2479023954638927</v>
      </c>
      <c r="J192" s="580">
        <f>I192</f>
        <v>0.2479023954638927</v>
      </c>
    </row>
    <row r="193" spans="2:11">
      <c r="B193" s="9" t="s">
        <v>903</v>
      </c>
      <c r="E193" s="579">
        <f>SUM(D190:E190)/SUM(D187:E187)</f>
        <v>0.18609882519969978</v>
      </c>
      <c r="F193" s="579">
        <f t="shared" ref="F193:H193" si="88">SUM(E190:F190)/SUM(E187:F187)</f>
        <v>0.21205815453398849</v>
      </c>
      <c r="G193" s="579">
        <f t="shared" si="88"/>
        <v>0.25328877851539122</v>
      </c>
      <c r="H193" s="579">
        <f t="shared" si="88"/>
        <v>0.2479023954638927</v>
      </c>
      <c r="I193" s="579">
        <f>SUM(H190:I190)/SUM(H184:I184)</f>
        <v>0.58799710337809441</v>
      </c>
      <c r="J193" s="579">
        <f>SUM(I190:J190)/SUM(I184:J184)</f>
        <v>0.56833424907985752</v>
      </c>
    </row>
    <row r="194" spans="2:11">
      <c r="B194" s="41" t="s">
        <v>891</v>
      </c>
      <c r="I194" s="29">
        <f ca="1">I190-I107</f>
        <v>-493.327538356677</v>
      </c>
      <c r="J194" s="29">
        <f ca="1">J190-J107</f>
        <v>-877.95995795892122</v>
      </c>
    </row>
    <row r="195" spans="2:11">
      <c r="B195" s="41"/>
      <c r="I195" s="29"/>
      <c r="J195" s="29"/>
    </row>
    <row r="196" spans="2:11">
      <c r="B196" s="65" t="s">
        <v>862</v>
      </c>
    </row>
    <row r="197" spans="2:11" ht="11.25" customHeight="1">
      <c r="B197" s="25" t="s">
        <v>921</v>
      </c>
      <c r="D197"/>
      <c r="E197"/>
      <c r="F197"/>
      <c r="G197"/>
      <c r="H197"/>
      <c r="I197"/>
      <c r="J197"/>
      <c r="K197" s="20"/>
    </row>
    <row r="198" spans="2:11">
      <c r="B198" s="2" t="s">
        <v>922</v>
      </c>
      <c r="D198" s="16">
        <v>17441</v>
      </c>
      <c r="E198" s="16">
        <v>17267</v>
      </c>
      <c r="F198" s="16">
        <v>20383</v>
      </c>
      <c r="G198" s="16">
        <v>25818</v>
      </c>
      <c r="H198" s="16">
        <v>28182</v>
      </c>
      <c r="I198" s="16">
        <v>30133.8</v>
      </c>
      <c r="J198" s="16">
        <v>34571.699999999997</v>
      </c>
      <c r="K198" s="16"/>
    </row>
    <row r="199" spans="2:11">
      <c r="B199" s="116" t="s">
        <v>884</v>
      </c>
      <c r="D199" s="16">
        <v>-4386</v>
      </c>
      <c r="E199" s="16">
        <v>-4191</v>
      </c>
      <c r="F199" s="16">
        <v>-4908</v>
      </c>
      <c r="G199" s="16">
        <v>-5873</v>
      </c>
      <c r="H199" s="16">
        <v>-7107</v>
      </c>
      <c r="I199" s="16">
        <v>-7390</v>
      </c>
      <c r="J199" s="16">
        <v>-8277.2999999999993</v>
      </c>
      <c r="K199" s="581">
        <v>-9383</v>
      </c>
    </row>
    <row r="200" spans="2:11" ht="13.5">
      <c r="B200" s="116" t="s">
        <v>883</v>
      </c>
      <c r="D200" s="21">
        <f t="shared" ref="D200" si="89">-E199</f>
        <v>4191</v>
      </c>
      <c r="E200" s="21">
        <f t="shared" ref="E200" si="90">-F199</f>
        <v>4908</v>
      </c>
      <c r="F200" s="21">
        <f t="shared" ref="F200" si="91">-G199</f>
        <v>5873</v>
      </c>
      <c r="G200" s="21">
        <f t="shared" ref="G200" si="92">-H199</f>
        <v>7107</v>
      </c>
      <c r="H200" s="21">
        <f t="shared" ref="H200" si="93">-I199</f>
        <v>7390</v>
      </c>
      <c r="I200" s="21">
        <f t="shared" ref="I200" si="94">-J199</f>
        <v>8277.2999999999993</v>
      </c>
      <c r="J200" s="21">
        <f t="shared" ref="J200" si="95">-K199</f>
        <v>9383</v>
      </c>
      <c r="K200" s="20"/>
    </row>
    <row r="201" spans="2:11">
      <c r="B201" s="60" t="s">
        <v>885</v>
      </c>
      <c r="C201" s="5"/>
      <c r="D201" s="557">
        <f>SUM(D198:D200)</f>
        <v>17246</v>
      </c>
      <c r="E201" s="557">
        <f t="shared" ref="E201:J201" si="96">SUM(E198:E200)</f>
        <v>17984</v>
      </c>
      <c r="F201" s="557">
        <f t="shared" si="96"/>
        <v>21348</v>
      </c>
      <c r="G201" s="557">
        <f t="shared" si="96"/>
        <v>27052</v>
      </c>
      <c r="H201" s="557">
        <f t="shared" si="96"/>
        <v>28465</v>
      </c>
      <c r="I201" s="557">
        <f t="shared" si="96"/>
        <v>31021.1</v>
      </c>
      <c r="J201" s="557">
        <f t="shared" si="96"/>
        <v>35677.399999999994</v>
      </c>
      <c r="K201" s="377"/>
    </row>
    <row r="202" spans="2:11">
      <c r="B202" s="41" t="s">
        <v>249</v>
      </c>
      <c r="D202" s="20"/>
      <c r="E202" s="68">
        <f>E201/D201-1</f>
        <v>4.2792531601530737E-2</v>
      </c>
      <c r="F202" s="68">
        <f t="shared" ref="F202" si="97">F201/E201-1</f>
        <v>0.18705516014234869</v>
      </c>
      <c r="G202" s="68">
        <f t="shared" ref="G202" si="98">G201/F201-1</f>
        <v>0.26719130597714069</v>
      </c>
      <c r="H202" s="68">
        <f t="shared" ref="H202" si="99">H201/G201-1</f>
        <v>5.2232736951057124E-2</v>
      </c>
      <c r="I202" s="68">
        <f t="shared" ref="I202" si="100">I201/H201-1</f>
        <v>8.9797997540839614E-2</v>
      </c>
      <c r="J202" s="68">
        <f t="shared" ref="J202" si="101">J201/I201-1</f>
        <v>0.15010106024609038</v>
      </c>
    </row>
    <row r="203" spans="2:11">
      <c r="E203" s="42"/>
      <c r="F203" s="42"/>
      <c r="G203" s="42"/>
      <c r="H203" s="42"/>
      <c r="I203" s="42"/>
      <c r="J203" s="42"/>
      <c r="K203" s="19"/>
    </row>
    <row r="204" spans="2:11">
      <c r="B204" s="25" t="s">
        <v>923</v>
      </c>
      <c r="K204" s="45"/>
    </row>
    <row r="205" spans="2:11">
      <c r="B205" s="2" t="s">
        <v>922</v>
      </c>
      <c r="D205" s="16">
        <v>8538</v>
      </c>
      <c r="E205" s="16">
        <v>8576</v>
      </c>
      <c r="F205" s="16">
        <v>10976</v>
      </c>
      <c r="G205" s="16">
        <v>15075</v>
      </c>
      <c r="H205" s="16">
        <v>16486</v>
      </c>
      <c r="I205" s="16">
        <v>16436.099999999999</v>
      </c>
      <c r="J205" s="16">
        <v>18779.7</v>
      </c>
      <c r="K205" s="594"/>
    </row>
    <row r="206" spans="2:11">
      <c r="B206" s="116" t="s">
        <v>884</v>
      </c>
      <c r="D206" s="16">
        <v>-2032</v>
      </c>
      <c r="E206" s="16">
        <v>-2043</v>
      </c>
      <c r="F206" s="16">
        <v>-2561</v>
      </c>
      <c r="G206" s="16">
        <v>-3349</v>
      </c>
      <c r="H206" s="16">
        <v>-4123</v>
      </c>
      <c r="I206" s="16">
        <v>-4116</v>
      </c>
      <c r="J206" s="16">
        <v>-4735.8</v>
      </c>
      <c r="K206" s="16">
        <v>-5471.4</v>
      </c>
    </row>
    <row r="207" spans="2:11" ht="13.5">
      <c r="B207" s="116" t="s">
        <v>883</v>
      </c>
      <c r="D207" s="21">
        <f t="shared" ref="D207" si="102">-E206</f>
        <v>2043</v>
      </c>
      <c r="E207" s="21">
        <f t="shared" ref="E207" si="103">-F206</f>
        <v>2561</v>
      </c>
      <c r="F207" s="21">
        <f t="shared" ref="F207" si="104">-G206</f>
        <v>3349</v>
      </c>
      <c r="G207" s="21">
        <f t="shared" ref="G207" si="105">-H206</f>
        <v>4123</v>
      </c>
      <c r="H207" s="21">
        <f t="shared" ref="H207" si="106">-I206</f>
        <v>4116</v>
      </c>
      <c r="I207" s="21">
        <f t="shared" ref="I207" si="107">-J206</f>
        <v>4735.8</v>
      </c>
      <c r="J207" s="21">
        <f t="shared" ref="J207" si="108">-K206</f>
        <v>5471.4</v>
      </c>
    </row>
    <row r="208" spans="2:11">
      <c r="B208" s="12" t="s">
        <v>885</v>
      </c>
      <c r="D208" s="20">
        <f>SUM(D205:D207)</f>
        <v>8549</v>
      </c>
      <c r="E208" s="20">
        <f t="shared" ref="E208:J208" si="109">SUM(E205:E207)</f>
        <v>9094</v>
      </c>
      <c r="F208" s="20">
        <f t="shared" si="109"/>
        <v>11764</v>
      </c>
      <c r="G208" s="20">
        <f t="shared" si="109"/>
        <v>15849</v>
      </c>
      <c r="H208" s="20">
        <f t="shared" si="109"/>
        <v>16479</v>
      </c>
      <c r="I208" s="20">
        <f t="shared" si="109"/>
        <v>17055.899999999998</v>
      </c>
      <c r="J208" s="20">
        <f t="shared" si="109"/>
        <v>19515.300000000003</v>
      </c>
    </row>
    <row r="209" spans="2:10">
      <c r="B209" s="41" t="s">
        <v>249</v>
      </c>
      <c r="D209" s="20"/>
      <c r="E209" s="68">
        <f>E208/D208-1</f>
        <v>6.375014621593178E-2</v>
      </c>
      <c r="F209" s="68">
        <f t="shared" ref="F209" si="110">F208/E208-1</f>
        <v>0.29360017594018029</v>
      </c>
      <c r="G209" s="68">
        <f t="shared" ref="G209" si="111">G208/F208-1</f>
        <v>0.34724583475008508</v>
      </c>
      <c r="H209" s="68">
        <f t="shared" ref="H209" si="112">H208/G208-1</f>
        <v>3.9750141964792762E-2</v>
      </c>
      <c r="I209" s="68">
        <f t="shared" ref="I209" si="113">I208/H208-1</f>
        <v>3.5008192244674996E-2</v>
      </c>
      <c r="J209" s="68">
        <f t="shared" ref="J209" si="114">J208/I208-1</f>
        <v>0.14419643642375979</v>
      </c>
    </row>
    <row r="210" spans="2:10">
      <c r="B210" s="41"/>
      <c r="D210" s="313"/>
      <c r="E210" s="313"/>
      <c r="F210" s="313"/>
      <c r="G210" s="313"/>
      <c r="H210" s="313"/>
      <c r="I210" s="313"/>
      <c r="J210" s="313"/>
    </row>
    <row r="211" spans="2:10">
      <c r="B211" s="5" t="s">
        <v>924</v>
      </c>
      <c r="C211" s="5"/>
      <c r="D211" s="557">
        <f>D201-D208</f>
        <v>8697</v>
      </c>
      <c r="E211" s="557">
        <f t="shared" ref="E211:J211" si="115">E201-E208</f>
        <v>8890</v>
      </c>
      <c r="F211" s="557">
        <f t="shared" si="115"/>
        <v>9584</v>
      </c>
      <c r="G211" s="557">
        <f t="shared" si="115"/>
        <v>11203</v>
      </c>
      <c r="H211" s="557">
        <f t="shared" si="115"/>
        <v>11986</v>
      </c>
      <c r="I211" s="557">
        <f t="shared" si="115"/>
        <v>13965.2</v>
      </c>
      <c r="J211" s="557">
        <f t="shared" si="115"/>
        <v>16162.099999999991</v>
      </c>
    </row>
    <row r="212" spans="2:10">
      <c r="B212" s="9" t="s">
        <v>901</v>
      </c>
      <c r="D212" s="313">
        <f>D211/D201</f>
        <v>0.50429085005218599</v>
      </c>
      <c r="E212" s="313">
        <f t="shared" ref="E212:J212" si="116">E211/E201</f>
        <v>0.49432829181494664</v>
      </c>
      <c r="F212" s="313">
        <f t="shared" si="116"/>
        <v>0.4489413528199363</v>
      </c>
      <c r="G212" s="313">
        <f t="shared" si="116"/>
        <v>0.41412834540884225</v>
      </c>
      <c r="H212" s="313">
        <f t="shared" si="116"/>
        <v>0.42107851747760405</v>
      </c>
      <c r="I212" s="313">
        <f t="shared" si="116"/>
        <v>0.45018390708259864</v>
      </c>
      <c r="J212" s="313">
        <f t="shared" si="116"/>
        <v>0.45300666528390504</v>
      </c>
    </row>
    <row r="214" spans="2:10">
      <c r="B214" s="5" t="s">
        <v>881</v>
      </c>
      <c r="C214" s="5"/>
      <c r="D214" s="44">
        <f>D109</f>
        <v>1630.2952603822555</v>
      </c>
      <c r="E214" s="44">
        <f t="shared" ref="E214:H214" si="117">E109</f>
        <v>1801.6831136100077</v>
      </c>
      <c r="F214" s="44">
        <f t="shared" si="117"/>
        <v>2488.8100807934843</v>
      </c>
      <c r="G214" s="44">
        <f t="shared" si="117"/>
        <v>2630.7237445131454</v>
      </c>
      <c r="H214" s="44">
        <f t="shared" si="117"/>
        <v>3493.15442877653</v>
      </c>
      <c r="I214" s="44">
        <f>H214+(I211-H211)*I216</f>
        <v>4015.8324088780837</v>
      </c>
      <c r="J214" s="44">
        <f>I214+(J211-I211)*J216</f>
        <v>4596.0017977650568</v>
      </c>
    </row>
    <row r="215" spans="2:10">
      <c r="B215" s="9" t="s">
        <v>902</v>
      </c>
      <c r="D215" s="43">
        <f>D214/D211</f>
        <v>0.18745489943454702</v>
      </c>
      <c r="E215" s="43">
        <f t="shared" ref="E215:H215" si="118">E214/E211</f>
        <v>0.20266401727896599</v>
      </c>
      <c r="F215" s="43">
        <f t="shared" si="118"/>
        <v>0.25968385651017156</v>
      </c>
      <c r="G215" s="43">
        <f t="shared" si="118"/>
        <v>0.23482314955932745</v>
      </c>
      <c r="H215" s="43">
        <f t="shared" si="118"/>
        <v>0.29143621131124064</v>
      </c>
      <c r="I215" s="43">
        <f t="shared" ref="I215" si="119">I214/I211</f>
        <v>0.28755996397316785</v>
      </c>
      <c r="J215" s="43">
        <f t="shared" ref="J215" si="120">J214/J211</f>
        <v>0.28436909793684356</v>
      </c>
    </row>
    <row r="216" spans="2:10">
      <c r="B216" s="41" t="s">
        <v>890</v>
      </c>
      <c r="E216" s="579">
        <f>IF(E211&gt;D211,((E214-D214)/(E211-D211)),"n/m")</f>
        <v>0.88801996491063317</v>
      </c>
      <c r="F216" s="579">
        <f t="shared" ref="F216:H216" si="121">IF(F211&gt;E211,((F214-E214)/(F211-E211)),"n/m")</f>
        <v>0.99009649450068671</v>
      </c>
      <c r="G216" s="579">
        <f t="shared" si="121"/>
        <v>8.7655135095528816E-2</v>
      </c>
      <c r="H216" s="579">
        <f t="shared" si="121"/>
        <v>1.1014440412048334</v>
      </c>
      <c r="I216" s="580">
        <f>H217</f>
        <v>0.26408547903271701</v>
      </c>
      <c r="J216" s="580">
        <f>I216</f>
        <v>0.26408547903271701</v>
      </c>
    </row>
    <row r="217" spans="2:10">
      <c r="B217" s="9" t="s">
        <v>925</v>
      </c>
      <c r="E217" s="579">
        <f>SUM(D214:E214)/SUM(D211:E211)</f>
        <v>0.19514291089965674</v>
      </c>
      <c r="F217" s="579">
        <f t="shared" ref="F217:H217" si="122">SUM(E214:F214)/SUM(E211:F211)</f>
        <v>0.23224494935604051</v>
      </c>
      <c r="G217" s="579">
        <f t="shared" si="122"/>
        <v>0.2462853622603853</v>
      </c>
      <c r="H217" s="579">
        <f t="shared" si="122"/>
        <v>0.26408547903271701</v>
      </c>
      <c r="I217" s="579">
        <f>SUM(H214:I214)/SUM(H208:I208)</f>
        <v>0.22391558757159302</v>
      </c>
      <c r="J217" s="579">
        <f>SUM(I214:J214)/SUM(I208:J208)</f>
        <v>0.23548131334610678</v>
      </c>
    </row>
    <row r="218" spans="2:10">
      <c r="B218" s="41" t="s">
        <v>891</v>
      </c>
      <c r="I218" s="29">
        <f ca="1">I214-I109</f>
        <v>-1138.7997853129682</v>
      </c>
      <c r="J218" s="29">
        <f ca="1">J214-J109</f>
        <v>-1449.5289065017914</v>
      </c>
    </row>
    <row r="220" spans="2:10">
      <c r="B220" s="65" t="s">
        <v>930</v>
      </c>
    </row>
    <row r="221" spans="2:10">
      <c r="B221" s="2" t="s">
        <v>857</v>
      </c>
      <c r="D221" s="19">
        <f t="shared" ref="D221:J221" si="123">D136</f>
        <v>8003.6024312041436</v>
      </c>
      <c r="E221" s="19">
        <f t="shared" si="123"/>
        <v>11520.878291509085</v>
      </c>
      <c r="F221" s="19">
        <f t="shared" si="123"/>
        <v>14633.552605763471</v>
      </c>
      <c r="G221" s="19">
        <f t="shared" si="123"/>
        <v>17123.631309371754</v>
      </c>
      <c r="H221" s="19">
        <f t="shared" si="123"/>
        <v>17182.006552592924</v>
      </c>
      <c r="I221" s="19">
        <f t="shared" si="123"/>
        <v>17373.730362990565</v>
      </c>
      <c r="J221" s="19">
        <f t="shared" si="123"/>
        <v>18507.048935378301</v>
      </c>
    </row>
    <row r="222" spans="2:10">
      <c r="B222" s="2" t="s">
        <v>861</v>
      </c>
      <c r="D222" s="19">
        <f t="shared" ref="D222:J222" si="124">D153</f>
        <v>2624.9028466901682</v>
      </c>
      <c r="E222" s="19">
        <f t="shared" si="124"/>
        <v>2805.9243206180636</v>
      </c>
      <c r="F222" s="19">
        <f t="shared" si="124"/>
        <v>3320.2724962070238</v>
      </c>
      <c r="G222" s="19">
        <f t="shared" si="124"/>
        <v>4577.8197737028158</v>
      </c>
      <c r="H222" s="19">
        <f t="shared" si="124"/>
        <v>5719.0117268531421</v>
      </c>
      <c r="I222" s="19">
        <f t="shared" si="124"/>
        <v>11555.749252979578</v>
      </c>
      <c r="J222" s="19">
        <f t="shared" si="124"/>
        <v>17871.521473446712</v>
      </c>
    </row>
    <row r="223" spans="2:10" ht="11.25" customHeight="1">
      <c r="B223" s="2" t="s">
        <v>859</v>
      </c>
      <c r="D223" s="19">
        <f t="shared" ref="D223:J223" si="125">D166</f>
        <v>1825.4774383845811</v>
      </c>
      <c r="E223" s="19">
        <f t="shared" si="125"/>
        <v>3334.8246896423179</v>
      </c>
      <c r="F223" s="19">
        <f t="shared" si="125"/>
        <v>5535.3367063025744</v>
      </c>
      <c r="G223" s="19">
        <f t="shared" si="125"/>
        <v>6959.9516217346127</v>
      </c>
      <c r="H223" s="19">
        <f t="shared" si="125"/>
        <v>7503.3297648829403</v>
      </c>
      <c r="I223" s="19">
        <f t="shared" si="125"/>
        <v>8416.2499571896351</v>
      </c>
      <c r="J223" s="19">
        <f t="shared" si="125"/>
        <v>10051.383854271404</v>
      </c>
    </row>
    <row r="224" spans="2:10" ht="11.25" customHeight="1">
      <c r="B224" s="2" t="s">
        <v>860</v>
      </c>
      <c r="D224" s="19">
        <f>D190</f>
        <v>2344.73568552284</v>
      </c>
      <c r="E224" s="19">
        <f t="shared" ref="E224:J224" si="126">E190</f>
        <v>2810.0156736836448</v>
      </c>
      <c r="F224" s="19">
        <f t="shared" si="126"/>
        <v>4735.0134646356664</v>
      </c>
      <c r="G224" s="19">
        <f t="shared" si="126"/>
        <v>6711.3597252533773</v>
      </c>
      <c r="H224" s="19">
        <f t="shared" si="126"/>
        <v>5037.9743077578178</v>
      </c>
      <c r="I224" s="19">
        <f t="shared" si="126"/>
        <v>5397.6806835759253</v>
      </c>
      <c r="J224" s="19">
        <f t="shared" si="126"/>
        <v>5878.80965269225</v>
      </c>
    </row>
    <row r="225" spans="2:10">
      <c r="B225" s="2" t="s">
        <v>862</v>
      </c>
      <c r="D225" s="19">
        <f>D214</f>
        <v>1630.2952603822555</v>
      </c>
      <c r="E225" s="19">
        <f t="shared" ref="E225:J225" si="127">E214</f>
        <v>1801.6831136100077</v>
      </c>
      <c r="F225" s="19">
        <f t="shared" si="127"/>
        <v>2488.8100807934843</v>
      </c>
      <c r="G225" s="19">
        <f t="shared" si="127"/>
        <v>2630.7237445131454</v>
      </c>
      <c r="H225" s="19">
        <f t="shared" si="127"/>
        <v>3493.15442877653</v>
      </c>
      <c r="I225" s="19">
        <f t="shared" si="127"/>
        <v>4015.8324088780837</v>
      </c>
      <c r="J225" s="19">
        <f t="shared" si="127"/>
        <v>4596.0017977650568</v>
      </c>
    </row>
    <row r="226" spans="2:10">
      <c r="B226" s="2" t="s">
        <v>19</v>
      </c>
      <c r="C226" s="5"/>
      <c r="D226" s="19">
        <f>D227-SUM(D221:D225)</f>
        <v>18188.202813699867</v>
      </c>
      <c r="E226" s="19">
        <f t="shared" ref="E226:H226" si="128">E227-SUM(E221:E225)</f>
        <v>23177.887057745964</v>
      </c>
      <c r="F226" s="19">
        <f t="shared" si="128"/>
        <v>26081.149449838929</v>
      </c>
      <c r="G226" s="19">
        <f t="shared" si="128"/>
        <v>37941.33820045543</v>
      </c>
      <c r="H226" s="19">
        <f t="shared" si="128"/>
        <v>30416.833730345803</v>
      </c>
      <c r="I226" s="19">
        <f>H226*(1+I230)</f>
        <v>36528.847907055955</v>
      </c>
      <c r="J226" s="19">
        <f>I226*(1+J230)</f>
        <v>44454.644973659575</v>
      </c>
    </row>
    <row r="227" spans="2:10">
      <c r="B227" s="415" t="s">
        <v>897</v>
      </c>
      <c r="C227" s="147"/>
      <c r="D227" s="595">
        <f>D113</f>
        <v>34617.216475883855</v>
      </c>
      <c r="E227" s="595">
        <f>E113</f>
        <v>45451.213146809081</v>
      </c>
      <c r="F227" s="595">
        <f>F113</f>
        <v>56794.13480354115</v>
      </c>
      <c r="G227" s="595">
        <f>G113</f>
        <v>75944.824375031138</v>
      </c>
      <c r="H227" s="595">
        <f>H113</f>
        <v>69352.310511209158</v>
      </c>
      <c r="I227" s="595">
        <f>SUM(I221:I226)</f>
        <v>83288.090572669753</v>
      </c>
      <c r="J227" s="595">
        <f>SUM(J221:J226)</f>
        <v>101359.4106872133</v>
      </c>
    </row>
    <row r="228" spans="2:10">
      <c r="B228" s="9" t="s">
        <v>472</v>
      </c>
      <c r="D228" s="27"/>
      <c r="E228" s="579">
        <f>IFERROR(E227/D227-1,"n/a")</f>
        <v>0.31296556378161577</v>
      </c>
      <c r="F228" s="579">
        <f t="shared" ref="F228:J228" si="129">IFERROR(F227/E227-1,"n/a")</f>
        <v>0.24956257207247723</v>
      </c>
      <c r="G228" s="579">
        <f t="shared" si="129"/>
        <v>0.33719484657588139</v>
      </c>
      <c r="H228" s="579">
        <f t="shared" si="129"/>
        <v>-8.680662465248179E-2</v>
      </c>
      <c r="I228" s="579">
        <f t="shared" si="129"/>
        <v>0.20094182816314676</v>
      </c>
      <c r="J228" s="579">
        <f t="shared" si="129"/>
        <v>0.21697363921167256</v>
      </c>
    </row>
    <row r="229" spans="2:10">
      <c r="B229" s="9" t="s">
        <v>932</v>
      </c>
      <c r="D229" s="27"/>
      <c r="E229" s="579">
        <f>(SUM(E221:E225)/SUM(D221:D225)-1)</f>
        <v>0.35573118064485287</v>
      </c>
      <c r="F229" s="579">
        <f t="shared" ref="F229:J229" si="130">(SUM(F221:F225)/SUM(E221:E225)-1)</f>
        <v>0.37891328986483219</v>
      </c>
      <c r="G229" s="579">
        <f t="shared" si="130"/>
        <v>0.23737519283499653</v>
      </c>
      <c r="H229" s="579">
        <f t="shared" si="130"/>
        <v>2.4523818736164937E-2</v>
      </c>
      <c r="I229" s="579">
        <f t="shared" si="130"/>
        <v>0.20094182816314676</v>
      </c>
      <c r="J229" s="579">
        <f t="shared" si="130"/>
        <v>0.21697363921167256</v>
      </c>
    </row>
    <row r="230" spans="2:10">
      <c r="B230" s="9" t="s">
        <v>931</v>
      </c>
      <c r="D230" s="27"/>
      <c r="E230" s="579">
        <f>E226/D226-1</f>
        <v>0.27433629892711142</v>
      </c>
      <c r="F230" s="579">
        <f t="shared" ref="F230:H230" si="131">F226/E226-1</f>
        <v>0.12526001118478591</v>
      </c>
      <c r="G230" s="579">
        <f t="shared" si="131"/>
        <v>0.45474179630874145</v>
      </c>
      <c r="H230" s="579">
        <f t="shared" si="131"/>
        <v>-0.1983194274897585</v>
      </c>
      <c r="I230" s="580">
        <f>I229</f>
        <v>0.20094182816314676</v>
      </c>
      <c r="J230" s="580">
        <f>J229</f>
        <v>0.21697363921167256</v>
      </c>
    </row>
    <row r="231" spans="2:10">
      <c r="B231" s="9" t="s">
        <v>915</v>
      </c>
      <c r="D231" s="579">
        <f>SUM(D221:D225)/D227</f>
        <v>0.47459083469721747</v>
      </c>
      <c r="E231" s="579">
        <f>SUM(E221:E225)/E227</f>
        <v>0.49004909983633349</v>
      </c>
      <c r="F231" s="579">
        <f>SUM(F221:F225)/F227</f>
        <v>0.54077741407528668</v>
      </c>
      <c r="G231" s="579">
        <f>SUM(G221:G225)/G227</f>
        <v>0.50040916530278201</v>
      </c>
      <c r="H231" s="579">
        <f>SUM(H221:H225)/H227</f>
        <v>0.56141571194762652</v>
      </c>
      <c r="I231" s="579">
        <f t="shared" ref="I231:J231" si="132">SUM(I221:I225)/I227</f>
        <v>0.56141571194762652</v>
      </c>
      <c r="J231" s="579">
        <f t="shared" si="132"/>
        <v>0.56141571194762652</v>
      </c>
    </row>
    <row r="232" spans="2:10">
      <c r="B232" s="9" t="s">
        <v>927</v>
      </c>
      <c r="I232" s="406">
        <f ca="1">'Simple Model (A)'!J12*FX!BD15*1000</f>
        <v>89837.875384473256</v>
      </c>
      <c r="J232" s="406">
        <f ca="1">'Simple Model (A)'!K12*FX!BE15*1000</f>
        <v>108819.55267680243</v>
      </c>
    </row>
    <row r="233" spans="2:10">
      <c r="B233" s="41" t="s">
        <v>926</v>
      </c>
      <c r="I233" s="63">
        <f ca="1">I227-I232</f>
        <v>-6549.7848118035035</v>
      </c>
      <c r="J233" s="63">
        <f ca="1">J227-J232</f>
        <v>-7460.1419895891304</v>
      </c>
    </row>
  </sheetData>
  <pageMargins left="0.3" right="0.3" top="0.3" bottom="0.5" header="0.3" footer="0.3"/>
  <pageSetup scale="53" fitToHeight="2" orientation="portrait" r:id="rId1"/>
  <headerFooter>
    <oddFooter>Page &amp;P of &amp;N</oddFooter>
  </headerFooter>
  <rowBreaks count="1" manualBreakCount="1">
    <brk id="116" min="1" max="9" man="1"/>
  </rowBreaks>
  <drawing r:id="rId2"/>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B102-DB56-4549-9965-48033F9586F5}">
  <sheetPr>
    <tabColor theme="7" tint="0.79998168889431442"/>
    <pageSetUpPr fitToPage="1"/>
  </sheetPr>
  <dimension ref="B2:G40"/>
  <sheetViews>
    <sheetView view="pageBreakPreview" zoomScaleNormal="100" zoomScaleSheetLayoutView="100" workbookViewId="0"/>
  </sheetViews>
  <sheetFormatPr defaultColWidth="9.140625" defaultRowHeight="11.25"/>
  <cols>
    <col min="1" max="1" width="2.7109375" style="2" customWidth="1"/>
    <col min="2" max="5" width="9.140625" style="2"/>
    <col min="6" max="6" width="9.85546875" style="2" bestFit="1" customWidth="1"/>
    <col min="7" max="7" width="9.140625" style="2"/>
    <col min="8" max="8" width="2.7109375" style="2" customWidth="1"/>
    <col min="9" max="16384" width="9.140625" style="2"/>
  </cols>
  <sheetData>
    <row r="2" spans="2:7">
      <c r="B2" s="355" t="s">
        <v>114</v>
      </c>
      <c r="G2" s="356">
        <f t="shared" ref="G2" ca="1" si="0">TODAY()</f>
        <v>45796</v>
      </c>
    </row>
    <row r="3" spans="2:7">
      <c r="B3" s="357" t="s">
        <v>502</v>
      </c>
    </row>
    <row r="4" spans="2:7">
      <c r="B4" s="7" t="s">
        <v>303</v>
      </c>
      <c r="C4" s="270"/>
      <c r="D4" s="270"/>
      <c r="E4" s="270"/>
      <c r="F4" s="270"/>
      <c r="G4" s="270"/>
    </row>
    <row r="6" spans="2:7" ht="13.5">
      <c r="E6" s="8" t="s">
        <v>353</v>
      </c>
      <c r="F6" s="8" t="s">
        <v>95</v>
      </c>
      <c r="G6" s="8" t="s">
        <v>96</v>
      </c>
    </row>
    <row r="7" spans="2:7">
      <c r="B7" s="2" t="s">
        <v>490</v>
      </c>
      <c r="E7" s="49">
        <f>'Historical Financials'!U105</f>
        <v>222.54336999999998</v>
      </c>
    </row>
    <row r="8" spans="2:7" s="6" customFormat="1">
      <c r="B8" s="9" t="s">
        <v>497</v>
      </c>
      <c r="F8" s="197">
        <v>265508.09999999998</v>
      </c>
      <c r="G8" s="197">
        <v>301978.40000000002</v>
      </c>
    </row>
    <row r="9" spans="2:7" s="6" customFormat="1">
      <c r="B9" s="9" t="s">
        <v>498</v>
      </c>
      <c r="F9" s="197">
        <v>269409.2</v>
      </c>
      <c r="G9" s="197">
        <v>296967.40000000002</v>
      </c>
    </row>
    <row r="10" spans="2:7" s="6" customFormat="1">
      <c r="B10" s="9"/>
      <c r="F10" s="197"/>
      <c r="G10" s="197"/>
    </row>
    <row r="11" spans="2:7">
      <c r="B11" s="2" t="s">
        <v>491</v>
      </c>
      <c r="E11" s="377">
        <v>85</v>
      </c>
      <c r="F11" s="377">
        <v>95</v>
      </c>
      <c r="G11" s="377">
        <v>95</v>
      </c>
    </row>
    <row r="12" spans="2:7">
      <c r="B12" s="9" t="s">
        <v>499</v>
      </c>
      <c r="E12" s="272"/>
      <c r="F12" s="43">
        <f>F11/E11-1</f>
        <v>0.11764705882352944</v>
      </c>
      <c r="G12" s="43">
        <f>G11/E11-1</f>
        <v>0.11764705882352944</v>
      </c>
    </row>
    <row r="14" spans="2:7">
      <c r="B14" s="13" t="s">
        <v>497</v>
      </c>
      <c r="F14" s="27">
        <f>F8</f>
        <v>265508.09999999998</v>
      </c>
      <c r="G14" s="27">
        <f>G8</f>
        <v>301978.40000000002</v>
      </c>
    </row>
    <row r="15" spans="2:7">
      <c r="B15" s="2" t="s">
        <v>500</v>
      </c>
      <c r="F15" s="379">
        <v>0.5</v>
      </c>
      <c r="G15" s="379">
        <v>0.5</v>
      </c>
    </row>
    <row r="16" spans="2:7">
      <c r="B16" s="2" t="s">
        <v>501</v>
      </c>
      <c r="F16" s="27">
        <f>F14*F15</f>
        <v>132754.04999999999</v>
      </c>
      <c r="G16" s="27">
        <f>G14*G15</f>
        <v>150989.20000000001</v>
      </c>
    </row>
    <row r="17" spans="2:7">
      <c r="E17" s="27"/>
    </row>
    <row r="18" spans="2:7">
      <c r="B18" s="2" t="s">
        <v>494</v>
      </c>
      <c r="F18" s="354">
        <f>F12</f>
        <v>0.11764705882352944</v>
      </c>
      <c r="G18" s="354">
        <f>G12</f>
        <v>0.11764705882352944</v>
      </c>
    </row>
    <row r="19" spans="2:7">
      <c r="B19" s="2" t="s">
        <v>495</v>
      </c>
      <c r="F19" s="379">
        <v>0.5</v>
      </c>
      <c r="G19" s="379">
        <v>1</v>
      </c>
    </row>
    <row r="20" spans="2:7">
      <c r="F20" s="361">
        <f>F18*F19</f>
        <v>5.8823529411764719E-2</v>
      </c>
      <c r="G20" s="361">
        <f>G18*G19</f>
        <v>0.11764705882352944</v>
      </c>
    </row>
    <row r="21" spans="2:7">
      <c r="F21" s="27">
        <f>F16</f>
        <v>132754.04999999999</v>
      </c>
      <c r="G21" s="27">
        <f>G16</f>
        <v>150989.20000000001</v>
      </c>
    </row>
    <row r="22" spans="2:7">
      <c r="B22" s="2" t="s">
        <v>492</v>
      </c>
      <c r="F22" s="27">
        <f>F20*F21</f>
        <v>7809.0617647058834</v>
      </c>
      <c r="G22" s="27">
        <f>G20*G21</f>
        <v>17763.435294117651</v>
      </c>
    </row>
    <row r="23" spans="2:7">
      <c r="E23" s="27"/>
    </row>
    <row r="24" spans="2:7">
      <c r="B24" s="2" t="s">
        <v>496</v>
      </c>
      <c r="F24" s="27">
        <f>F14+F22</f>
        <v>273317.16176470584</v>
      </c>
      <c r="G24" s="27">
        <f>G14+G22</f>
        <v>319741.83529411769</v>
      </c>
    </row>
    <row r="25" spans="2:7">
      <c r="F25" s="27"/>
      <c r="G25" s="27"/>
    </row>
    <row r="26" spans="2:7">
      <c r="B26" s="9" t="s">
        <v>498</v>
      </c>
      <c r="F26" s="380">
        <f>F9</f>
        <v>269409.2</v>
      </c>
      <c r="G26" s="380">
        <f>G9</f>
        <v>296967.40000000002</v>
      </c>
    </row>
    <row r="27" spans="2:7">
      <c r="B27" s="9" t="s">
        <v>493</v>
      </c>
      <c r="F27" s="378">
        <f>F24/F26-1</f>
        <v>1.4505673023437415E-2</v>
      </c>
      <c r="G27" s="378">
        <f>G24/G26-1</f>
        <v>7.6690018143801941E-2</v>
      </c>
    </row>
    <row r="31" spans="2:7">
      <c r="B31" s="2" t="s">
        <v>511</v>
      </c>
      <c r="E31" s="272">
        <v>673510</v>
      </c>
      <c r="F31" s="272">
        <v>721665.5</v>
      </c>
      <c r="G31" s="272">
        <v>780617.6</v>
      </c>
    </row>
    <row r="32" spans="2:7" ht="13.5" customHeight="1">
      <c r="B32" s="13" t="s">
        <v>503</v>
      </c>
      <c r="E32"/>
      <c r="F32" s="381">
        <v>0.25</v>
      </c>
      <c r="G32" s="381">
        <v>0.25</v>
      </c>
    </row>
    <row r="33" spans="2:7" ht="11.25" customHeight="1">
      <c r="B33" s="12" t="s">
        <v>507</v>
      </c>
      <c r="E33"/>
      <c r="F33" s="382">
        <f t="shared" ref="F33:G33" si="1">F31*F32</f>
        <v>180416.375</v>
      </c>
      <c r="G33" s="382">
        <f t="shared" si="1"/>
        <v>195154.4</v>
      </c>
    </row>
    <row r="34" spans="2:7" ht="13.5" customHeight="1">
      <c r="B34" s="2" t="s">
        <v>508</v>
      </c>
      <c r="E34"/>
      <c r="F34" s="381">
        <v>0.8</v>
      </c>
      <c r="G34" s="381">
        <v>0.8</v>
      </c>
    </row>
    <row r="35" spans="2:7" ht="11.25" customHeight="1">
      <c r="B35" s="12" t="s">
        <v>504</v>
      </c>
      <c r="E35"/>
      <c r="F35" s="382">
        <f t="shared" ref="F35:G35" si="2">F33*F34</f>
        <v>144333.1</v>
      </c>
      <c r="G35" s="382">
        <f t="shared" si="2"/>
        <v>156123.51999999999</v>
      </c>
    </row>
    <row r="36" spans="2:7" ht="13.5" customHeight="1">
      <c r="B36" s="2" t="s">
        <v>509</v>
      </c>
      <c r="E36"/>
      <c r="F36" s="381">
        <v>0.11764705882352944</v>
      </c>
      <c r="G36" s="381">
        <f>F36</f>
        <v>0.11764705882352944</v>
      </c>
    </row>
    <row r="37" spans="2:7" ht="11.25" customHeight="1">
      <c r="B37" s="2" t="s">
        <v>505</v>
      </c>
      <c r="E37"/>
      <c r="F37" s="382">
        <f t="shared" ref="F37:G37" si="3">F35*F36</f>
        <v>16980.364705882359</v>
      </c>
      <c r="G37" s="382">
        <f t="shared" si="3"/>
        <v>18367.472941176475</v>
      </c>
    </row>
    <row r="38" spans="2:7" ht="11.25" customHeight="1">
      <c r="B38" s="2" t="s">
        <v>506</v>
      </c>
      <c r="E38"/>
      <c r="F38" s="382">
        <f t="shared" ref="F38:G38" si="4">F37+F31</f>
        <v>738645.86470588238</v>
      </c>
      <c r="G38" s="382">
        <f t="shared" si="4"/>
        <v>798985.07294117648</v>
      </c>
    </row>
    <row r="39" spans="2:7" ht="11.25" customHeight="1">
      <c r="B39" s="2" t="s">
        <v>510</v>
      </c>
      <c r="E39"/>
      <c r="F39" s="265">
        <v>746599</v>
      </c>
      <c r="G39" s="265">
        <v>799082.8</v>
      </c>
    </row>
    <row r="40" spans="2:7">
      <c r="B40" s="9" t="s">
        <v>512</v>
      </c>
      <c r="F40" s="42">
        <f>F38/F39-1</f>
        <v>-1.0652485864724781E-2</v>
      </c>
      <c r="G40" s="42">
        <f>G38/G39-1</f>
        <v>-1.2229903937810427E-4</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27ABA-E0A8-49DF-944A-80DC5726824D}">
  <sheetPr>
    <tabColor theme="7" tint="0.79998168889431442"/>
  </sheetPr>
  <dimension ref="B5:P68"/>
  <sheetViews>
    <sheetView workbookViewId="0"/>
  </sheetViews>
  <sheetFormatPr defaultColWidth="9.140625" defaultRowHeight="11.25"/>
  <cols>
    <col min="1" max="1" width="2.7109375" style="2" customWidth="1"/>
    <col min="2" max="3" width="9.140625" style="2"/>
    <col min="4" max="4" width="9.7109375" style="2" bestFit="1" customWidth="1"/>
    <col min="5" max="5" width="9.7109375" style="2" customWidth="1"/>
    <col min="6" max="6" width="81.140625" style="2" bestFit="1" customWidth="1"/>
    <col min="7" max="8" width="9.7109375" style="2" bestFit="1" customWidth="1"/>
    <col min="9" max="10" width="10.42578125" style="2" bestFit="1" customWidth="1"/>
    <col min="11" max="11" width="9.5703125" style="2" bestFit="1" customWidth="1"/>
    <col min="12" max="12" width="9.140625" style="2"/>
    <col min="13" max="13" width="53.5703125" style="2" bestFit="1" customWidth="1"/>
    <col min="14" max="15" width="9.7109375" style="2" bestFit="1" customWidth="1"/>
    <col min="16" max="16384" width="9.140625" style="2"/>
  </cols>
  <sheetData>
    <row r="5" spans="2:16">
      <c r="B5" s="2" t="s">
        <v>250</v>
      </c>
      <c r="D5" s="220">
        <v>921466</v>
      </c>
      <c r="E5" s="557"/>
      <c r="G5" s="64">
        <v>2021</v>
      </c>
      <c r="H5" s="64">
        <v>2022</v>
      </c>
      <c r="I5" s="64">
        <v>2023</v>
      </c>
      <c r="N5" s="64" t="s">
        <v>831</v>
      </c>
      <c r="O5" s="64" t="s">
        <v>832</v>
      </c>
    </row>
    <row r="6" spans="2:16" ht="13.5">
      <c r="B6" s="2" t="s">
        <v>249</v>
      </c>
      <c r="D6" s="120">
        <v>-0.17820117915813605</v>
      </c>
      <c r="E6" s="120"/>
      <c r="G6" s="556" t="s">
        <v>800</v>
      </c>
      <c r="H6" s="556" t="s">
        <v>800</v>
      </c>
      <c r="I6" s="556" t="s">
        <v>800</v>
      </c>
      <c r="J6" s="556" t="s">
        <v>842</v>
      </c>
      <c r="K6" s="556" t="s">
        <v>493</v>
      </c>
      <c r="N6" s="556" t="s">
        <v>800</v>
      </c>
      <c r="O6" s="556" t="s">
        <v>800</v>
      </c>
    </row>
    <row r="7" spans="2:16">
      <c r="B7" s="2" t="s">
        <v>17</v>
      </c>
      <c r="D7" s="120">
        <v>0.42626204124833006</v>
      </c>
      <c r="E7" s="120"/>
    </row>
    <row r="8" spans="2:16">
      <c r="B8" s="2" t="s">
        <v>100</v>
      </c>
      <c r="D8" s="120" t="s">
        <v>799</v>
      </c>
      <c r="E8" s="120"/>
      <c r="F8" s="2" t="s">
        <v>801</v>
      </c>
      <c r="M8" s="2" t="s">
        <v>833</v>
      </c>
      <c r="N8" s="271"/>
      <c r="O8" s="271"/>
    </row>
    <row r="9" spans="2:16">
      <c r="B9" s="2" t="s">
        <v>794</v>
      </c>
      <c r="D9" s="120">
        <v>8.4362752898596308E-2</v>
      </c>
      <c r="E9" s="120"/>
      <c r="F9" s="549" t="s">
        <v>802</v>
      </c>
      <c r="G9" s="377">
        <v>663036</v>
      </c>
      <c r="H9" s="377">
        <v>1144072.2</v>
      </c>
      <c r="I9" s="272">
        <v>979316.5</v>
      </c>
      <c r="J9" s="19"/>
      <c r="M9" s="549" t="s">
        <v>834</v>
      </c>
      <c r="N9" s="377">
        <v>116.2</v>
      </c>
      <c r="O9" s="377">
        <v>121.4</v>
      </c>
    </row>
    <row r="10" spans="2:16">
      <c r="B10" s="2" t="s">
        <v>795</v>
      </c>
      <c r="D10" s="120">
        <v>3.3058615853184661E-2</v>
      </c>
      <c r="E10" s="120"/>
      <c r="F10" s="549" t="s">
        <v>803</v>
      </c>
      <c r="G10" s="377">
        <v>414187.7</v>
      </c>
      <c r="H10" s="377">
        <v>428498.2</v>
      </c>
      <c r="I10" s="272">
        <v>522932.7</v>
      </c>
      <c r="M10" s="549" t="s">
        <v>835</v>
      </c>
      <c r="N10" s="377">
        <v>0.8</v>
      </c>
      <c r="O10" s="377">
        <v>27334.2</v>
      </c>
    </row>
    <row r="11" spans="2:16">
      <c r="D11" s="158"/>
      <c r="E11" s="158"/>
      <c r="F11" s="549" t="s">
        <v>804</v>
      </c>
      <c r="G11" s="377">
        <v>8207.2000000000007</v>
      </c>
      <c r="H11" s="377">
        <v>8756.1</v>
      </c>
      <c r="I11" s="272">
        <v>9258.2000000000007</v>
      </c>
      <c r="M11" s="549" t="s">
        <v>563</v>
      </c>
      <c r="N11" s="377">
        <v>54879.7</v>
      </c>
      <c r="O11" s="377">
        <v>55726.8</v>
      </c>
    </row>
    <row r="12" spans="2:16">
      <c r="B12" s="2" t="s">
        <v>141</v>
      </c>
      <c r="D12" s="20">
        <v>4655</v>
      </c>
      <c r="E12" s="20"/>
      <c r="F12" s="549" t="s">
        <v>805</v>
      </c>
      <c r="G12" s="377">
        <v>-2.7</v>
      </c>
      <c r="H12" s="377">
        <v>52.4</v>
      </c>
      <c r="I12" s="272">
        <v>35.700000000000003</v>
      </c>
      <c r="M12" s="549" t="s">
        <v>824</v>
      </c>
      <c r="N12" s="377">
        <v>1642.6</v>
      </c>
      <c r="O12" s="377">
        <v>1566.3</v>
      </c>
    </row>
    <row r="13" spans="2:16">
      <c r="B13" s="2" t="s">
        <v>280</v>
      </c>
      <c r="D13" s="20">
        <v>48294</v>
      </c>
      <c r="E13" s="20"/>
      <c r="F13" s="549" t="s">
        <v>806</v>
      </c>
      <c r="G13" s="377">
        <v>5414.2</v>
      </c>
      <c r="H13" s="377">
        <v>11750</v>
      </c>
      <c r="I13" s="272">
        <v>11999.4</v>
      </c>
      <c r="M13" s="549" t="s">
        <v>825</v>
      </c>
      <c r="N13" s="377">
        <v>36435.5</v>
      </c>
      <c r="O13" s="377">
        <v>33200.6</v>
      </c>
    </row>
    <row r="14" spans="2:16" ht="13.5">
      <c r="B14" s="2" t="s">
        <v>19</v>
      </c>
      <c r="D14" s="21">
        <v>4756</v>
      </c>
      <c r="E14" s="21"/>
      <c r="F14" s="549" t="s">
        <v>807</v>
      </c>
      <c r="G14" s="377">
        <v>-5512.7</v>
      </c>
      <c r="H14" s="377">
        <v>-7679.8</v>
      </c>
      <c r="I14" s="272">
        <v>-4800.2</v>
      </c>
      <c r="M14" s="549" t="s">
        <v>826</v>
      </c>
      <c r="N14" s="377">
        <v>61748.6</v>
      </c>
      <c r="O14" s="377">
        <v>50716.9</v>
      </c>
    </row>
    <row r="15" spans="2:16">
      <c r="B15" s="2" t="s">
        <v>134</v>
      </c>
      <c r="D15" s="117">
        <v>979171</v>
      </c>
      <c r="E15" s="117"/>
      <c r="F15" s="549" t="s">
        <v>808</v>
      </c>
      <c r="G15" s="377">
        <v>-5708.8</v>
      </c>
      <c r="H15" s="377">
        <v>-22422.2</v>
      </c>
      <c r="I15" s="272">
        <v>-60293.9</v>
      </c>
      <c r="M15" s="549" t="s">
        <v>836</v>
      </c>
      <c r="N15" s="377">
        <v>213499.6</v>
      </c>
      <c r="O15" s="377">
        <v>171484.6</v>
      </c>
      <c r="P15" s="27">
        <f>O15-N15</f>
        <v>-42015</v>
      </c>
    </row>
    <row r="16" spans="2:16" ht="13.5">
      <c r="B16" s="2" t="s">
        <v>254</v>
      </c>
      <c r="D16" s="24">
        <v>146875.65000000002</v>
      </c>
      <c r="E16" s="24"/>
      <c r="F16" s="549" t="s">
        <v>809</v>
      </c>
      <c r="G16" s="377">
        <v>7.8</v>
      </c>
      <c r="H16" s="377">
        <v>302.39999999999998</v>
      </c>
      <c r="I16" s="272">
        <v>483</v>
      </c>
      <c r="M16" s="549" t="s">
        <v>837</v>
      </c>
      <c r="N16" s="377">
        <v>142617.1</v>
      </c>
      <c r="O16" s="377">
        <v>168558.5</v>
      </c>
    </row>
    <row r="17" spans="2:15">
      <c r="B17" s="2" t="s">
        <v>257</v>
      </c>
      <c r="D17" s="117">
        <v>832295.35</v>
      </c>
      <c r="E17" s="117"/>
      <c r="F17" s="549" t="s">
        <v>810</v>
      </c>
      <c r="G17" s="377">
        <v>273.60000000000002</v>
      </c>
      <c r="H17" s="377">
        <v>-98.9</v>
      </c>
      <c r="I17" s="272">
        <v>369.1</v>
      </c>
      <c r="M17" s="549" t="s">
        <v>838</v>
      </c>
      <c r="N17" s="377">
        <v>163138.6</v>
      </c>
      <c r="O17" s="377">
        <v>128134.6</v>
      </c>
    </row>
    <row r="18" spans="2:15" ht="13.5">
      <c r="B18" s="2" t="s">
        <v>279</v>
      </c>
      <c r="D18" s="21">
        <v>-730</v>
      </c>
      <c r="E18" s="21"/>
      <c r="F18" s="549" t="s">
        <v>811</v>
      </c>
      <c r="G18" s="377">
        <v>1.2</v>
      </c>
      <c r="H18" s="377">
        <v>6</v>
      </c>
      <c r="I18" s="272">
        <v>-3</v>
      </c>
      <c r="M18" s="549" t="s">
        <v>839</v>
      </c>
      <c r="N18" s="377">
        <v>19313.900000000001</v>
      </c>
      <c r="O18" s="377">
        <v>9293.2999999999993</v>
      </c>
    </row>
    <row r="19" spans="2:15">
      <c r="B19" s="2" t="s">
        <v>256</v>
      </c>
      <c r="D19" s="117">
        <v>833025.35</v>
      </c>
      <c r="E19" s="117"/>
      <c r="F19" s="549" t="s">
        <v>812</v>
      </c>
      <c r="G19" s="377">
        <v>274.39999999999998</v>
      </c>
      <c r="H19" s="377">
        <v>790.7</v>
      </c>
      <c r="I19" s="272">
        <v>0</v>
      </c>
      <c r="M19" s="549" t="s">
        <v>827</v>
      </c>
      <c r="N19" s="377">
        <v>293171</v>
      </c>
      <c r="O19" s="377">
        <v>296667.90000000002</v>
      </c>
    </row>
    <row r="20" spans="2:15" ht="13.5">
      <c r="B20" s="2" t="s">
        <v>255</v>
      </c>
      <c r="D20" s="24">
        <v>25929.277884330932</v>
      </c>
      <c r="E20" s="24"/>
      <c r="F20" s="549" t="s">
        <v>813</v>
      </c>
      <c r="G20" s="377">
        <v>0</v>
      </c>
      <c r="H20" s="377">
        <v>0</v>
      </c>
      <c r="I20" s="272">
        <v>-12.4</v>
      </c>
      <c r="M20" s="549" t="s">
        <v>840</v>
      </c>
      <c r="N20" s="377">
        <v>986563.6</v>
      </c>
      <c r="O20" s="377">
        <v>942805.1</v>
      </c>
    </row>
    <row r="21" spans="2:15">
      <c r="B21" s="2" t="s">
        <v>20</v>
      </c>
      <c r="D21" s="200">
        <v>32.126824114272665</v>
      </c>
      <c r="E21" s="200"/>
      <c r="F21" s="549" t="s">
        <v>814</v>
      </c>
      <c r="G21" s="377">
        <v>-93.2</v>
      </c>
      <c r="H21" s="377">
        <v>410.1</v>
      </c>
      <c r="I21" s="272">
        <v>473.9</v>
      </c>
    </row>
    <row r="22" spans="2:15">
      <c r="B22" s="2" t="s">
        <v>249</v>
      </c>
      <c r="D22" s="40">
        <v>-0.14314365867247703</v>
      </c>
      <c r="E22" s="40"/>
      <c r="F22" s="549" t="s">
        <v>815</v>
      </c>
      <c r="G22" s="377">
        <v>0</v>
      </c>
      <c r="H22" s="377">
        <v>0</v>
      </c>
      <c r="I22" s="272">
        <v>-15.8</v>
      </c>
      <c r="M22" s="549" t="str">
        <f>M9</f>
        <v>Financial liabilities at fair value through profit or loss</v>
      </c>
      <c r="N22" s="271"/>
      <c r="O22" s="27"/>
    </row>
    <row r="23" spans="2:15">
      <c r="B23" s="2" t="s">
        <v>796</v>
      </c>
      <c r="D23" s="68">
        <v>0.15000000000000002</v>
      </c>
      <c r="E23" s="68"/>
      <c r="F23" s="549" t="s">
        <v>816</v>
      </c>
      <c r="G23" s="377">
        <v>-16115.9</v>
      </c>
      <c r="H23" s="377">
        <v>10342.700000000001</v>
      </c>
      <c r="I23" s="272">
        <v>-246.7</v>
      </c>
      <c r="M23" s="549" t="str">
        <f t="shared" ref="M23:O33" si="0">M10</f>
        <v>Hedging financial liabilities</v>
      </c>
      <c r="N23" s="27"/>
      <c r="O23" s="27"/>
    </row>
    <row r="24" spans="2:15">
      <c r="D24" s="47"/>
      <c r="E24" s="47"/>
      <c r="F24" s="549" t="s">
        <v>817</v>
      </c>
      <c r="G24" s="377">
        <v>-362.3</v>
      </c>
      <c r="H24" s="377">
        <v>-266.8</v>
      </c>
      <c r="I24" s="272">
        <v>-464.1</v>
      </c>
      <c r="M24" s="549" t="str">
        <f t="shared" si="0"/>
        <v>Accounts payable</v>
      </c>
      <c r="N24" s="27"/>
      <c r="O24" s="27"/>
    </row>
    <row r="25" spans="2:15">
      <c r="B25" s="2" t="s">
        <v>21</v>
      </c>
      <c r="D25" s="47"/>
      <c r="E25" s="47"/>
      <c r="F25" s="549" t="s">
        <v>188</v>
      </c>
      <c r="G25" s="377">
        <v>-414.2</v>
      </c>
      <c r="H25" s="377">
        <v>138.80000000000001</v>
      </c>
      <c r="I25" s="272">
        <v>-338</v>
      </c>
      <c r="M25" s="549" t="str">
        <f t="shared" si="0"/>
        <v>Payables to related parties</v>
      </c>
      <c r="N25" s="27"/>
      <c r="O25" s="27"/>
    </row>
    <row r="26" spans="2:15">
      <c r="B26" s="2" t="s">
        <v>253</v>
      </c>
      <c r="D26" s="19">
        <v>921466</v>
      </c>
      <c r="E26" s="19"/>
      <c r="F26" s="549" t="s">
        <v>818</v>
      </c>
      <c r="G26" s="377">
        <v>2649.2</v>
      </c>
      <c r="H26" s="377">
        <v>-1354.4</v>
      </c>
      <c r="I26" s="377">
        <v>289.60000000000002</v>
      </c>
      <c r="M26" s="550" t="str">
        <f t="shared" si="0"/>
        <v>Salary and bonus payable</v>
      </c>
      <c r="N26" s="27">
        <f t="shared" ref="N26" si="1">N13</f>
        <v>36435.5</v>
      </c>
      <c r="O26" s="27">
        <f t="shared" si="0"/>
        <v>33200.6</v>
      </c>
    </row>
    <row r="27" spans="2:15" ht="13.5">
      <c r="B27" s="2" t="s">
        <v>72</v>
      </c>
      <c r="D27" s="21">
        <v>532191</v>
      </c>
      <c r="E27" s="21"/>
      <c r="F27" s="549" t="s">
        <v>819</v>
      </c>
      <c r="G27" s="377">
        <v>-52105.9</v>
      </c>
      <c r="H27" s="377">
        <v>-32169.9</v>
      </c>
      <c r="I27" s="272">
        <v>28442</v>
      </c>
      <c r="M27" s="550" t="str">
        <f t="shared" si="0"/>
        <v>Accrued profit sharing bonus to employees and compensation to directors</v>
      </c>
      <c r="N27" s="27">
        <f t="shared" ref="N27" si="2">N14</f>
        <v>61748.6</v>
      </c>
      <c r="O27" s="27">
        <f t="shared" si="0"/>
        <v>50716.9</v>
      </c>
    </row>
    <row r="28" spans="2:15">
      <c r="B28" s="2" t="s">
        <v>18</v>
      </c>
      <c r="D28" s="117">
        <v>1453657</v>
      </c>
      <c r="E28" s="117"/>
      <c r="F28" s="549" t="s">
        <v>820</v>
      </c>
      <c r="G28" s="377">
        <v>-157.19999999999999</v>
      </c>
      <c r="H28" s="377">
        <v>-868.7</v>
      </c>
      <c r="I28" s="272">
        <v>959.5</v>
      </c>
      <c r="M28" s="549" t="str">
        <f t="shared" si="0"/>
        <v>Payables to contractors and equipment suppliers</v>
      </c>
      <c r="N28" s="27"/>
      <c r="O28" s="27"/>
    </row>
    <row r="29" spans="2:15" ht="13.5">
      <c r="B29" s="2" t="s">
        <v>363</v>
      </c>
      <c r="D29" s="133">
        <v>949817</v>
      </c>
      <c r="E29" s="240"/>
      <c r="F29" s="549" t="s">
        <v>821</v>
      </c>
      <c r="G29" s="377">
        <v>-10.9</v>
      </c>
      <c r="H29" s="377">
        <v>-7.5</v>
      </c>
      <c r="I29" s="272">
        <v>-2.9</v>
      </c>
      <c r="M29" s="549" t="str">
        <f t="shared" si="0"/>
        <v>Cash dividends payable</v>
      </c>
      <c r="N29" s="27"/>
      <c r="O29" s="27"/>
    </row>
    <row r="30" spans="2:15">
      <c r="B30" s="2" t="s">
        <v>724</v>
      </c>
      <c r="D30" s="117">
        <v>503840</v>
      </c>
      <c r="E30" s="117"/>
      <c r="F30" s="549" t="s">
        <v>13</v>
      </c>
      <c r="G30" s="377">
        <v>-55748.9</v>
      </c>
      <c r="H30" s="377">
        <v>-28046.799999999999</v>
      </c>
      <c r="I30" s="272">
        <v>-29847.9</v>
      </c>
      <c r="M30" s="550" t="str">
        <f t="shared" si="0"/>
        <v>Income tax payable</v>
      </c>
      <c r="N30" s="27">
        <f t="shared" ref="N30" si="3">N17</f>
        <v>163138.6</v>
      </c>
      <c r="O30" s="27">
        <f t="shared" si="0"/>
        <v>128134.6</v>
      </c>
    </row>
    <row r="31" spans="2:15">
      <c r="B31" s="2" t="s">
        <v>249</v>
      </c>
      <c r="D31" s="67">
        <v>5.8795931651444588E-2</v>
      </c>
      <c r="E31" s="67"/>
      <c r="F31" s="549" t="s">
        <v>822</v>
      </c>
      <c r="G31" s="377">
        <v>-8236.9</v>
      </c>
      <c r="H31" s="377">
        <v>-1680.6</v>
      </c>
      <c r="I31" s="377">
        <v>1878.7</v>
      </c>
      <c r="M31" s="549" t="str">
        <f t="shared" si="0"/>
        <v>Long-term liabilities - current portion</v>
      </c>
      <c r="N31" s="27"/>
      <c r="O31" s="27"/>
    </row>
    <row r="32" spans="2:15">
      <c r="B32" s="2" t="s">
        <v>17</v>
      </c>
      <c r="D32" s="136">
        <v>0.23307193847907423</v>
      </c>
      <c r="E32" s="136"/>
      <c r="F32" s="549" t="s">
        <v>562</v>
      </c>
      <c r="G32" s="377">
        <v>-3899</v>
      </c>
      <c r="H32" s="377">
        <v>-4450.8999999999996</v>
      </c>
      <c r="I32" s="272">
        <v>-12530.9</v>
      </c>
      <c r="M32" s="549" t="str">
        <f t="shared" si="0"/>
        <v>Accrued expenses and other current liabilities</v>
      </c>
      <c r="N32" s="27">
        <f t="shared" ref="N32" si="4">N19</f>
        <v>293171</v>
      </c>
      <c r="O32" s="27">
        <f t="shared" si="0"/>
        <v>296667.90000000002</v>
      </c>
    </row>
    <row r="33" spans="2:16">
      <c r="B33" s="2" t="s">
        <v>797</v>
      </c>
      <c r="D33" s="136">
        <v>0.24618686093028935</v>
      </c>
      <c r="E33" s="136"/>
      <c r="F33" s="549" t="s">
        <v>823</v>
      </c>
      <c r="G33" s="377">
        <v>0</v>
      </c>
      <c r="H33" s="377">
        <v>0</v>
      </c>
      <c r="I33" s="377">
        <v>-720.3</v>
      </c>
      <c r="M33" s="549" t="str">
        <f t="shared" si="0"/>
        <v>Total current liabilities</v>
      </c>
      <c r="N33" s="27"/>
      <c r="O33" s="27"/>
    </row>
    <row r="34" spans="2:16">
      <c r="B34" s="2" t="s">
        <v>798</v>
      </c>
      <c r="D34" s="136">
        <v>0.43937696369954515</v>
      </c>
      <c r="E34" s="136"/>
      <c r="F34" s="549" t="s">
        <v>563</v>
      </c>
      <c r="G34" s="377">
        <v>8298.2999999999993</v>
      </c>
      <c r="H34" s="377">
        <v>7594.1</v>
      </c>
      <c r="I34" s="272">
        <v>847</v>
      </c>
      <c r="N34" s="559">
        <f>SUM(N22:N33)</f>
        <v>554493.69999999995</v>
      </c>
      <c r="O34" s="559">
        <f>SUM(O22:O33)</f>
        <v>508720</v>
      </c>
    </row>
    <row r="35" spans="2:16">
      <c r="D35" s="67"/>
      <c r="E35" s="67"/>
      <c r="F35" s="549" t="s">
        <v>824</v>
      </c>
      <c r="G35" s="377">
        <v>-670.5</v>
      </c>
      <c r="H35" s="377">
        <v>205.4</v>
      </c>
      <c r="I35" s="272">
        <v>-76.3</v>
      </c>
      <c r="N35" s="271"/>
      <c r="O35" s="27">
        <f>O34-N34</f>
        <v>-45773.699999999953</v>
      </c>
    </row>
    <row r="36" spans="2:16">
      <c r="B36" s="2" t="s">
        <v>280</v>
      </c>
      <c r="D36" s="56">
        <v>48294</v>
      </c>
      <c r="E36" s="56"/>
      <c r="F36" s="549" t="s">
        <v>825</v>
      </c>
      <c r="G36" s="377">
        <v>3730.9</v>
      </c>
      <c r="H36" s="377">
        <v>12633.4</v>
      </c>
      <c r="I36" s="377">
        <v>-3234.9</v>
      </c>
      <c r="N36" s="27"/>
      <c r="O36" s="27"/>
      <c r="P36" s="27"/>
    </row>
    <row r="37" spans="2:16" ht="13.5">
      <c r="B37" s="2" t="s">
        <v>254</v>
      </c>
      <c r="D37" s="24">
        <v>-146875.65000000002</v>
      </c>
      <c r="E37" s="24"/>
      <c r="F37" s="549" t="s">
        <v>826</v>
      </c>
      <c r="G37" s="377">
        <v>843.7</v>
      </c>
      <c r="H37" s="377">
        <v>25223.9</v>
      </c>
      <c r="I37" s="377">
        <v>-11031.6</v>
      </c>
      <c r="N37" s="27"/>
      <c r="O37" s="27"/>
      <c r="P37" s="27"/>
    </row>
    <row r="38" spans="2:16">
      <c r="B38" s="2" t="s">
        <v>31</v>
      </c>
      <c r="D38" s="206">
        <v>405258.35</v>
      </c>
      <c r="E38" s="117"/>
      <c r="F38" s="549" t="s">
        <v>827</v>
      </c>
      <c r="G38" s="377">
        <v>84322.7</v>
      </c>
      <c r="H38" s="377">
        <v>46578.8</v>
      </c>
      <c r="I38" s="272">
        <v>-44466.7</v>
      </c>
      <c r="N38" s="27"/>
      <c r="O38" s="27"/>
      <c r="P38" s="27"/>
    </row>
    <row r="39" spans="2:16">
      <c r="B39" s="2" t="s">
        <v>249</v>
      </c>
      <c r="D39" s="67">
        <v>0.28692420598639612</v>
      </c>
      <c r="E39" s="67"/>
      <c r="F39" s="549" t="s">
        <v>828</v>
      </c>
      <c r="G39" s="377">
        <v>154086</v>
      </c>
      <c r="H39" s="377">
        <v>101390.5</v>
      </c>
      <c r="I39" s="377">
        <v>13329.9</v>
      </c>
      <c r="N39" s="27"/>
      <c r="O39" s="27"/>
      <c r="P39" s="27"/>
    </row>
    <row r="40" spans="2:16">
      <c r="D40" s="47"/>
      <c r="E40" s="47"/>
      <c r="F40" s="549" t="s">
        <v>829</v>
      </c>
      <c r="G40" s="377">
        <v>-635.20000000000005</v>
      </c>
      <c r="H40" s="377">
        <v>-2538.8000000000002</v>
      </c>
      <c r="I40" s="377">
        <v>-687.2</v>
      </c>
      <c r="N40" s="27"/>
      <c r="O40" s="27"/>
      <c r="P40" s="27"/>
    </row>
    <row r="41" spans="2:16">
      <c r="B41" s="2" t="s">
        <v>32</v>
      </c>
      <c r="D41" s="56">
        <v>483.05</v>
      </c>
      <c r="E41" s="56"/>
      <c r="F41" s="549" t="s">
        <v>830</v>
      </c>
      <c r="G41" s="377">
        <v>-83497.899999999994</v>
      </c>
      <c r="H41" s="377">
        <v>-86561.2</v>
      </c>
      <c r="I41" s="272">
        <v>-159875.1</v>
      </c>
      <c r="N41" s="27"/>
      <c r="O41" s="27"/>
      <c r="P41" s="27"/>
    </row>
    <row r="42" spans="2:16">
      <c r="B42" s="2" t="s">
        <v>765</v>
      </c>
      <c r="D42" s="56">
        <v>-19526</v>
      </c>
      <c r="E42" s="56"/>
      <c r="F42" s="2" t="s">
        <v>363</v>
      </c>
      <c r="I42" s="272">
        <v>-949817</v>
      </c>
      <c r="N42" s="27"/>
      <c r="O42" s="27"/>
      <c r="P42" s="27"/>
    </row>
    <row r="43" spans="2:16" ht="13.5">
      <c r="B43" s="2" t="s">
        <v>19</v>
      </c>
      <c r="D43" s="24">
        <v>-45771.399999999965</v>
      </c>
      <c r="E43" s="24"/>
      <c r="G43" s="27"/>
      <c r="H43" s="27"/>
      <c r="I43" s="27">
        <f>SUM(I9:I42)</f>
        <v>292150.30000000005</v>
      </c>
      <c r="N43" s="27"/>
      <c r="O43" s="27"/>
      <c r="P43" s="27"/>
    </row>
    <row r="44" spans="2:16">
      <c r="B44" s="2" t="s">
        <v>33</v>
      </c>
      <c r="D44" s="117">
        <v>340444.1</v>
      </c>
      <c r="E44" s="117"/>
      <c r="I44" s="27">
        <f>I43-I13-I15</f>
        <v>340444.80000000005</v>
      </c>
      <c r="N44" s="27"/>
      <c r="O44" s="27"/>
      <c r="P44" s="27"/>
    </row>
    <row r="45" spans="2:16">
      <c r="D45" s="117"/>
      <c r="E45" s="117"/>
      <c r="N45" s="27"/>
      <c r="O45" s="27"/>
      <c r="P45" s="27"/>
    </row>
    <row r="46" spans="2:16">
      <c r="F46" s="2" t="s">
        <v>802</v>
      </c>
      <c r="I46" s="27">
        <f>I9</f>
        <v>979316.5</v>
      </c>
      <c r="J46" s="19">
        <f>D15</f>
        <v>979171</v>
      </c>
      <c r="K46" s="27">
        <f>I46-J46</f>
        <v>145.5</v>
      </c>
    </row>
    <row r="47" spans="2:16">
      <c r="F47" s="2" t="s">
        <v>141</v>
      </c>
      <c r="I47" s="27">
        <f>I14</f>
        <v>-4800.2</v>
      </c>
      <c r="J47" s="19">
        <f>-D12</f>
        <v>-4655</v>
      </c>
      <c r="K47" s="27">
        <f>I47-J47</f>
        <v>-145.19999999999982</v>
      </c>
    </row>
    <row r="48" spans="2:16">
      <c r="F48" s="2" t="s">
        <v>280</v>
      </c>
      <c r="I48" s="27">
        <f>I13+I15</f>
        <v>-48294.5</v>
      </c>
      <c r="J48" s="19">
        <f>-D13</f>
        <v>-48294</v>
      </c>
      <c r="K48" s="27">
        <f>I48-J48</f>
        <v>-0.5</v>
      </c>
      <c r="L48" s="553"/>
    </row>
    <row r="49" spans="6:16">
      <c r="F49" s="2" t="s">
        <v>19</v>
      </c>
      <c r="I49" s="27">
        <f>SUM(I12,I17,I18,I19,I20,I21,I22,I24,I25,I23)</f>
        <v>-201.3</v>
      </c>
      <c r="J49" s="19">
        <f>-D14</f>
        <v>-4756</v>
      </c>
      <c r="K49" s="554">
        <f>I49-J49</f>
        <v>4554.7</v>
      </c>
      <c r="L49" s="552"/>
      <c r="O49" s="27"/>
    </row>
    <row r="50" spans="6:16">
      <c r="F50" s="60" t="s">
        <v>253</v>
      </c>
      <c r="G50" s="5"/>
      <c r="H50" s="5"/>
      <c r="I50" s="559">
        <f>SUM(I46:I49)</f>
        <v>926020.5</v>
      </c>
      <c r="J50" s="559">
        <f>SUM(J46:J49)</f>
        <v>921466</v>
      </c>
      <c r="K50" s="559"/>
      <c r="L50" s="552"/>
    </row>
    <row r="51" spans="6:16">
      <c r="F51" s="2" t="s">
        <v>72</v>
      </c>
      <c r="G51" s="27"/>
      <c r="H51" s="27"/>
      <c r="I51" s="27">
        <f>SUM(I10:I11)</f>
        <v>532190.9</v>
      </c>
      <c r="J51" s="19">
        <f>D27</f>
        <v>532191</v>
      </c>
      <c r="K51" s="27">
        <f>I51-J51</f>
        <v>-9.9999999976716936E-2</v>
      </c>
      <c r="L51" s="552"/>
    </row>
    <row r="52" spans="6:16">
      <c r="F52" s="2" t="s">
        <v>69</v>
      </c>
      <c r="G52" s="551"/>
      <c r="H52" s="551"/>
      <c r="I52" s="551">
        <f>I42</f>
        <v>-949817</v>
      </c>
      <c r="J52" s="19">
        <f>-D29</f>
        <v>-949817</v>
      </c>
      <c r="K52" s="27">
        <f>I52-J52</f>
        <v>0</v>
      </c>
      <c r="L52" s="552"/>
    </row>
    <row r="53" spans="6:16">
      <c r="F53" s="60" t="s">
        <v>843</v>
      </c>
      <c r="G53" s="5"/>
      <c r="H53" s="5"/>
      <c r="I53" s="559">
        <f>SUM(I50:I52)</f>
        <v>508394.39999999991</v>
      </c>
      <c r="J53" s="559">
        <f>SUM(J50:J52)</f>
        <v>503840</v>
      </c>
      <c r="K53" s="559"/>
      <c r="L53" s="552"/>
    </row>
    <row r="54" spans="6:16">
      <c r="F54" s="13" t="s">
        <v>280</v>
      </c>
      <c r="I54" s="27">
        <f>-(I13+I15)</f>
        <v>48294.5</v>
      </c>
      <c r="J54" s="27">
        <f>D36</f>
        <v>48294</v>
      </c>
      <c r="K54" s="27">
        <f>I54-J54</f>
        <v>0.5</v>
      </c>
      <c r="L54" s="552"/>
    </row>
    <row r="55" spans="6:16">
      <c r="F55" s="13" t="s">
        <v>254</v>
      </c>
      <c r="I55" s="27">
        <f>I41</f>
        <v>-159875.1</v>
      </c>
      <c r="J55" s="27">
        <f>-D16</f>
        <v>-146875.65000000002</v>
      </c>
      <c r="K55" s="554">
        <f>I55-J55</f>
        <v>-12999.449999999983</v>
      </c>
      <c r="L55" s="27"/>
      <c r="N55" s="27"/>
      <c r="O55" s="27"/>
      <c r="P55" s="27"/>
    </row>
    <row r="56" spans="6:16">
      <c r="F56" s="60" t="s">
        <v>31</v>
      </c>
      <c r="G56" s="5"/>
      <c r="H56" s="5"/>
      <c r="I56" s="559">
        <f>SUM(I53:I55)</f>
        <v>396813.79999999993</v>
      </c>
      <c r="J56" s="559">
        <f>SUM(J53:J55)</f>
        <v>405258.35</v>
      </c>
      <c r="K56" s="559"/>
      <c r="L56" s="27"/>
      <c r="N56" s="27"/>
      <c r="O56" s="27"/>
      <c r="P56" s="27"/>
    </row>
    <row r="57" spans="6:16">
      <c r="F57" s="60"/>
      <c r="G57" s="5"/>
      <c r="H57" s="5"/>
      <c r="I57" s="559"/>
      <c r="J57" s="559"/>
      <c r="K57" s="559"/>
    </row>
    <row r="58" spans="6:16">
      <c r="F58" s="2" t="s">
        <v>540</v>
      </c>
      <c r="I58" s="377">
        <f>I27+I28+I29</f>
        <v>29398.6</v>
      </c>
      <c r="J58" s="272">
        <v>29402</v>
      </c>
      <c r="K58" s="27">
        <f t="shared" ref="K58:K68" si="5">I58-J58</f>
        <v>-3.4000000000014552</v>
      </c>
    </row>
    <row r="59" spans="6:16">
      <c r="F59" s="2" t="s">
        <v>541</v>
      </c>
      <c r="I59" s="377">
        <f>I30</f>
        <v>-29847.9</v>
      </c>
      <c r="J59" s="272">
        <v>-29847.9</v>
      </c>
      <c r="K59" s="27">
        <f t="shared" si="5"/>
        <v>0</v>
      </c>
    </row>
    <row r="60" spans="6:16">
      <c r="F60" s="2" t="s">
        <v>116</v>
      </c>
      <c r="I60" s="377">
        <f>I32</f>
        <v>-12530.9</v>
      </c>
      <c r="J60" s="272">
        <v>-14531</v>
      </c>
      <c r="K60" s="27">
        <f t="shared" si="5"/>
        <v>2000.1000000000004</v>
      </c>
    </row>
    <row r="61" spans="6:16">
      <c r="F61" s="2" t="s">
        <v>543</v>
      </c>
      <c r="I61" s="377">
        <f>I34+I35</f>
        <v>770.7</v>
      </c>
      <c r="J61" s="272">
        <v>771</v>
      </c>
      <c r="K61" s="27">
        <f t="shared" si="5"/>
        <v>-0.29999999999995453</v>
      </c>
    </row>
    <row r="62" spans="6:16">
      <c r="F62" s="2" t="s">
        <v>544</v>
      </c>
      <c r="I62" s="377">
        <f>I38</f>
        <v>-44466.7</v>
      </c>
      <c r="J62" s="272">
        <v>-5320</v>
      </c>
      <c r="K62" s="554">
        <f t="shared" si="5"/>
        <v>-39146.699999999997</v>
      </c>
      <c r="L62" s="2" t="s">
        <v>846</v>
      </c>
    </row>
    <row r="63" spans="6:16" s="5" customFormat="1">
      <c r="F63" s="2" t="s">
        <v>19</v>
      </c>
      <c r="G63" s="2"/>
      <c r="H63" s="2"/>
      <c r="I63" s="27">
        <f>I26+I31+I33+I36+I37+I39+I40</f>
        <v>-175.80000000000041</v>
      </c>
      <c r="J63" s="272">
        <v>0</v>
      </c>
      <c r="K63" s="27">
        <f t="shared" si="5"/>
        <v>-175.80000000000041</v>
      </c>
    </row>
    <row r="64" spans="6:16">
      <c r="F64" s="60" t="s">
        <v>34</v>
      </c>
      <c r="G64" s="5"/>
      <c r="H64" s="5"/>
      <c r="I64" s="559">
        <f>SUM(I58:I63)</f>
        <v>-56852</v>
      </c>
      <c r="J64" s="559">
        <f>SUM(J58:J63)</f>
        <v>-19525.900000000001</v>
      </c>
      <c r="K64" s="559"/>
    </row>
    <row r="65" spans="6:11">
      <c r="F65" s="12"/>
      <c r="I65" s="27"/>
      <c r="J65" s="27"/>
      <c r="K65" s="27"/>
    </row>
    <row r="66" spans="6:11">
      <c r="F66" s="2" t="s">
        <v>32</v>
      </c>
      <c r="I66" s="27">
        <f>I16</f>
        <v>483</v>
      </c>
      <c r="J66" s="19">
        <f>D41</f>
        <v>483.05</v>
      </c>
      <c r="K66" s="27">
        <f t="shared" si="5"/>
        <v>-5.0000000000011369E-2</v>
      </c>
    </row>
    <row r="67" spans="6:11">
      <c r="F67" s="2" t="s">
        <v>19</v>
      </c>
      <c r="I67" s="558">
        <v>0</v>
      </c>
      <c r="J67" s="19">
        <f>D43</f>
        <v>-45771.399999999965</v>
      </c>
      <c r="K67" s="27">
        <f t="shared" si="5"/>
        <v>45771.399999999965</v>
      </c>
    </row>
    <row r="68" spans="6:11">
      <c r="F68" s="60" t="s">
        <v>33</v>
      </c>
      <c r="G68" s="5"/>
      <c r="H68" s="5"/>
      <c r="I68" s="559">
        <f>I56+I64+I66+I67</f>
        <v>340444.79999999993</v>
      </c>
      <c r="J68" s="559">
        <f>J56+J64+J66+J67</f>
        <v>340444.1</v>
      </c>
      <c r="K68" s="560">
        <f t="shared" si="5"/>
        <v>0.69999999995343387</v>
      </c>
    </row>
  </sheetData>
  <pageMargins left="0.7" right="0.7" top="0.75" bottom="0.75" header="0.3" footer="0.3"/>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FD3DE-CF3C-415D-8DEE-FFC163087FDC}">
  <sheetPr>
    <tabColor theme="1"/>
  </sheetPr>
  <dimension ref="A1"/>
  <sheetViews>
    <sheetView workbookViewId="0"/>
  </sheetViews>
  <sheetFormatPr defaultRowHeight="15"/>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2BF95-3519-4811-83F7-497A2AF63DB7}">
  <sheetPr>
    <tabColor theme="1"/>
    <pageSetUpPr fitToPage="1"/>
  </sheetPr>
  <dimension ref="A1:BQ23"/>
  <sheetViews>
    <sheetView view="pageBreakPreview" zoomScaleNormal="100" zoomScaleSheetLayoutView="100" workbookViewId="0">
      <pane xSplit="3" ySplit="10" topLeftCell="AN11" activePane="bottomRight" state="frozen"/>
      <selection pane="topRight"/>
      <selection pane="bottomLeft"/>
      <selection pane="bottomRight" activeCell="BQ22" sqref="BQ22"/>
    </sheetView>
  </sheetViews>
  <sheetFormatPr defaultColWidth="9.140625" defaultRowHeight="11.25" customHeight="1"/>
  <cols>
    <col min="1" max="1" width="2.7109375" style="18" customWidth="1"/>
    <col min="2" max="2" width="22.140625" style="18" customWidth="1"/>
    <col min="3" max="3" width="2.42578125" style="18" customWidth="1"/>
    <col min="4" max="27" width="8" style="18" customWidth="1"/>
    <col min="28" max="28" width="2.7109375" style="18" customWidth="1"/>
    <col min="29" max="67" width="8" style="18" customWidth="1"/>
    <col min="68" max="68" width="2.7109375" style="18" customWidth="1"/>
    <col min="69" max="69" width="10.7109375" style="18" bestFit="1" customWidth="1"/>
    <col min="70" max="16384" width="9.140625" style="18"/>
  </cols>
  <sheetData>
    <row r="1" spans="1:69" ht="11.25" customHeight="1">
      <c r="BO1" s="695"/>
    </row>
    <row r="2" spans="1:69" ht="11.25" customHeight="1">
      <c r="B2" s="55" t="s">
        <v>114</v>
      </c>
      <c r="E2" s="62"/>
      <c r="BF2" s="62"/>
      <c r="BG2" s="62"/>
      <c r="BH2" s="62"/>
      <c r="BI2" s="62"/>
      <c r="BJ2" s="62"/>
      <c r="BK2" s="62"/>
      <c r="BL2" s="62"/>
      <c r="BM2" s="62"/>
      <c r="BO2" s="278">
        <v>45657</v>
      </c>
      <c r="BP2"/>
      <c r="BQ2" s="697">
        <v>45646</v>
      </c>
    </row>
    <row r="3" spans="1:69" ht="11.25" customHeight="1">
      <c r="B3" s="55" t="s">
        <v>305</v>
      </c>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c r="BQ3"/>
    </row>
    <row r="4" spans="1:69" ht="11.25" customHeight="1">
      <c r="B4" s="279"/>
      <c r="C4" s="279"/>
      <c r="D4" s="279"/>
      <c r="E4" s="280"/>
      <c r="F4" s="280"/>
      <c r="G4" s="280"/>
      <c r="H4" s="280"/>
      <c r="I4" s="280"/>
      <c r="J4" s="280"/>
      <c r="K4" s="280"/>
      <c r="L4" s="280"/>
      <c r="M4" s="280"/>
      <c r="N4" s="280"/>
      <c r="O4" s="280"/>
      <c r="P4" s="280"/>
      <c r="Q4" s="280"/>
      <c r="R4" s="280"/>
      <c r="S4" s="280"/>
      <c r="T4" s="280"/>
      <c r="U4" s="280"/>
      <c r="V4" s="280"/>
      <c r="W4" s="280"/>
      <c r="X4" s="280"/>
      <c r="Y4" s="280"/>
      <c r="Z4" s="280"/>
      <c r="AA4" s="280"/>
      <c r="AB4" s="280"/>
      <c r="AC4" s="280"/>
      <c r="AD4" s="280"/>
      <c r="AE4" s="280"/>
      <c r="AF4" s="280"/>
      <c r="AG4" s="280"/>
      <c r="AH4" s="280"/>
      <c r="AI4" s="280"/>
      <c r="AJ4" s="280"/>
      <c r="AK4" s="280"/>
      <c r="AL4" s="280"/>
      <c r="AM4" s="280"/>
      <c r="AN4" s="280"/>
      <c r="AO4" s="280"/>
      <c r="AP4" s="280"/>
      <c r="AQ4" s="280"/>
      <c r="AR4" s="280"/>
      <c r="AS4" s="280"/>
      <c r="AT4" s="280"/>
      <c r="AU4" s="280"/>
      <c r="AV4" s="280"/>
      <c r="AW4" s="280"/>
      <c r="AX4" s="280"/>
      <c r="AY4" s="280"/>
      <c r="AZ4" s="280"/>
      <c r="BA4" s="280"/>
      <c r="BB4" s="280"/>
      <c r="BC4" s="280"/>
      <c r="BD4" s="280"/>
      <c r="BE4" s="280"/>
      <c r="BF4" s="280"/>
      <c r="BG4" s="280"/>
      <c r="BH4" s="280"/>
      <c r="BI4" s="280"/>
      <c r="BJ4" s="280"/>
      <c r="BK4" s="280"/>
      <c r="BL4" s="280"/>
      <c r="BM4" s="280"/>
      <c r="BN4" s="280"/>
      <c r="BO4" s="280"/>
      <c r="BP4"/>
      <c r="BQ4"/>
    </row>
    <row r="6" spans="1:69" ht="11.25" customHeight="1">
      <c r="B6" s="52" t="s">
        <v>54</v>
      </c>
      <c r="D6" s="99">
        <v>43831</v>
      </c>
      <c r="E6" s="98">
        <f>D7+1</f>
        <v>43922</v>
      </c>
      <c r="F6" s="98">
        <f t="shared" ref="F6:W6" si="0">E7+1</f>
        <v>44013</v>
      </c>
      <c r="G6" s="98">
        <f t="shared" si="0"/>
        <v>44105</v>
      </c>
      <c r="H6" s="98">
        <f t="shared" si="0"/>
        <v>44197</v>
      </c>
      <c r="I6" s="98">
        <f t="shared" si="0"/>
        <v>44287</v>
      </c>
      <c r="J6" s="98">
        <f t="shared" si="0"/>
        <v>44378</v>
      </c>
      <c r="K6" s="98">
        <f t="shared" si="0"/>
        <v>44470</v>
      </c>
      <c r="L6" s="98">
        <f t="shared" si="0"/>
        <v>44562</v>
      </c>
      <c r="M6" s="98">
        <f t="shared" si="0"/>
        <v>44652</v>
      </c>
      <c r="N6" s="98">
        <f t="shared" si="0"/>
        <v>44743</v>
      </c>
      <c r="O6" s="98">
        <f t="shared" si="0"/>
        <v>44835</v>
      </c>
      <c r="P6" s="98">
        <f t="shared" si="0"/>
        <v>44927</v>
      </c>
      <c r="Q6" s="98">
        <f t="shared" si="0"/>
        <v>45017</v>
      </c>
      <c r="R6" s="98">
        <f t="shared" si="0"/>
        <v>45108</v>
      </c>
      <c r="S6" s="98">
        <f t="shared" si="0"/>
        <v>45200</v>
      </c>
      <c r="T6" s="98">
        <f t="shared" si="0"/>
        <v>45292</v>
      </c>
      <c r="U6" s="98">
        <f t="shared" si="0"/>
        <v>45383</v>
      </c>
      <c r="V6" s="98">
        <f t="shared" si="0"/>
        <v>45474</v>
      </c>
      <c r="W6" s="98">
        <f t="shared" si="0"/>
        <v>45566</v>
      </c>
      <c r="X6" s="98">
        <f>W7+1</f>
        <v>45658</v>
      </c>
      <c r="Y6" s="98">
        <f>X7+1</f>
        <v>45748</v>
      </c>
      <c r="Z6" s="98">
        <f>Y7+1</f>
        <v>45839</v>
      </c>
      <c r="AA6" s="98">
        <f>Z7+1</f>
        <v>45931</v>
      </c>
      <c r="AC6" s="99">
        <v>35431</v>
      </c>
      <c r="AD6" s="98">
        <f t="shared" ref="AD6" si="1">AC7+1</f>
        <v>35796</v>
      </c>
      <c r="AE6" s="98">
        <f t="shared" ref="AE6" si="2">AD7+1</f>
        <v>36161</v>
      </c>
      <c r="AF6" s="98">
        <f t="shared" ref="AF6" si="3">AE7+1</f>
        <v>36526</v>
      </c>
      <c r="AG6" s="98">
        <f t="shared" ref="AG6" si="4">AF7+1</f>
        <v>36892</v>
      </c>
      <c r="AH6" s="98">
        <f t="shared" ref="AH6" si="5">AG7+1</f>
        <v>37257</v>
      </c>
      <c r="AI6" s="98">
        <f t="shared" ref="AI6" si="6">AH7+1</f>
        <v>37622</v>
      </c>
      <c r="AJ6" s="98">
        <f t="shared" ref="AJ6" si="7">AI7+1</f>
        <v>37987</v>
      </c>
      <c r="AK6" s="98">
        <f t="shared" ref="AK6" si="8">AJ7+1</f>
        <v>38353</v>
      </c>
      <c r="AL6" s="98">
        <f t="shared" ref="AL6" si="9">AK7+1</f>
        <v>38718</v>
      </c>
      <c r="AM6" s="98">
        <f t="shared" ref="AM6:AN6" si="10">AL7+1</f>
        <v>39083</v>
      </c>
      <c r="AN6" s="98">
        <f t="shared" si="10"/>
        <v>39448</v>
      </c>
      <c r="AO6" s="98">
        <f t="shared" ref="AO6:AR6" si="11">AN7+1</f>
        <v>39814</v>
      </c>
      <c r="AP6" s="98">
        <f t="shared" si="11"/>
        <v>40179</v>
      </c>
      <c r="AQ6" s="98">
        <f t="shared" si="11"/>
        <v>40544</v>
      </c>
      <c r="AR6" s="98">
        <f t="shared" si="11"/>
        <v>40909</v>
      </c>
      <c r="AS6" s="98">
        <f>AR7+1</f>
        <v>41275</v>
      </c>
      <c r="AT6" s="98">
        <f t="shared" ref="AT6:AV6" si="12">AS7+1</f>
        <v>41640</v>
      </c>
      <c r="AU6" s="98">
        <f t="shared" si="12"/>
        <v>42005</v>
      </c>
      <c r="AV6" s="98">
        <f t="shared" si="12"/>
        <v>42370</v>
      </c>
      <c r="AW6" s="98">
        <f>AV7+1</f>
        <v>42736</v>
      </c>
      <c r="AX6" s="98">
        <f t="shared" ref="AX6:BO6" si="13">AW7+1</f>
        <v>43101</v>
      </c>
      <c r="AY6" s="98">
        <f t="shared" si="13"/>
        <v>43466</v>
      </c>
      <c r="AZ6" s="98">
        <f t="shared" si="13"/>
        <v>43831</v>
      </c>
      <c r="BA6" s="98">
        <f t="shared" si="13"/>
        <v>44197</v>
      </c>
      <c r="BB6" s="98">
        <f t="shared" si="13"/>
        <v>44562</v>
      </c>
      <c r="BC6" s="98">
        <f t="shared" si="13"/>
        <v>44927</v>
      </c>
      <c r="BD6" s="98">
        <f t="shared" si="13"/>
        <v>45292</v>
      </c>
      <c r="BE6" s="98">
        <f t="shared" si="13"/>
        <v>45658</v>
      </c>
      <c r="BF6" s="98">
        <f t="shared" si="13"/>
        <v>46023</v>
      </c>
      <c r="BG6" s="98">
        <f t="shared" si="13"/>
        <v>46388</v>
      </c>
      <c r="BH6" s="98">
        <f t="shared" si="13"/>
        <v>46753</v>
      </c>
      <c r="BI6" s="98">
        <f t="shared" si="13"/>
        <v>47119</v>
      </c>
      <c r="BJ6" s="98">
        <f t="shared" si="13"/>
        <v>47484</v>
      </c>
      <c r="BK6" s="98">
        <f t="shared" si="13"/>
        <v>47849</v>
      </c>
      <c r="BL6" s="98">
        <f t="shared" si="13"/>
        <v>48214</v>
      </c>
      <c r="BM6" s="98">
        <f t="shared" si="13"/>
        <v>48580</v>
      </c>
      <c r="BN6" s="98">
        <f t="shared" si="13"/>
        <v>48945</v>
      </c>
      <c r="BO6" s="98">
        <f t="shared" si="13"/>
        <v>49310</v>
      </c>
      <c r="BQ6" s="98">
        <f>BQ7-1</f>
        <v>45656</v>
      </c>
    </row>
    <row r="7" spans="1:69" ht="11.25" customHeight="1">
      <c r="B7" s="52" t="s">
        <v>55</v>
      </c>
      <c r="D7" s="98">
        <f>EOMONTH(D6,2)</f>
        <v>43921</v>
      </c>
      <c r="E7" s="98">
        <f>EOMONTH(E6,2)</f>
        <v>44012</v>
      </c>
      <c r="F7" s="98">
        <f t="shared" ref="F7:W7" si="14">EOMONTH(F6,2)</f>
        <v>44104</v>
      </c>
      <c r="G7" s="98">
        <f t="shared" si="14"/>
        <v>44196</v>
      </c>
      <c r="H7" s="98">
        <f t="shared" si="14"/>
        <v>44286</v>
      </c>
      <c r="I7" s="98">
        <f t="shared" si="14"/>
        <v>44377</v>
      </c>
      <c r="J7" s="98">
        <f t="shared" si="14"/>
        <v>44469</v>
      </c>
      <c r="K7" s="98">
        <f t="shared" si="14"/>
        <v>44561</v>
      </c>
      <c r="L7" s="98">
        <f t="shared" si="14"/>
        <v>44651</v>
      </c>
      <c r="M7" s="98">
        <f t="shared" si="14"/>
        <v>44742</v>
      </c>
      <c r="N7" s="98">
        <f t="shared" si="14"/>
        <v>44834</v>
      </c>
      <c r="O7" s="98">
        <f t="shared" si="14"/>
        <v>44926</v>
      </c>
      <c r="P7" s="98">
        <f t="shared" si="14"/>
        <v>45016</v>
      </c>
      <c r="Q7" s="98">
        <f t="shared" si="14"/>
        <v>45107</v>
      </c>
      <c r="R7" s="98">
        <f t="shared" si="14"/>
        <v>45199</v>
      </c>
      <c r="S7" s="98">
        <f t="shared" si="14"/>
        <v>45291</v>
      </c>
      <c r="T7" s="98">
        <f t="shared" si="14"/>
        <v>45382</v>
      </c>
      <c r="U7" s="98">
        <f t="shared" si="14"/>
        <v>45473</v>
      </c>
      <c r="V7" s="98">
        <f t="shared" si="14"/>
        <v>45565</v>
      </c>
      <c r="W7" s="98">
        <f t="shared" si="14"/>
        <v>45657</v>
      </c>
      <c r="X7" s="98">
        <f>EOMONTH(X6,2)</f>
        <v>45747</v>
      </c>
      <c r="Y7" s="98">
        <f>EOMONTH(Y6,2)</f>
        <v>45838</v>
      </c>
      <c r="Z7" s="98">
        <f>EOMONTH(Z6,2)</f>
        <v>45930</v>
      </c>
      <c r="AA7" s="98">
        <f>EOMONTH(AA6,2)</f>
        <v>46022</v>
      </c>
      <c r="AC7" s="98">
        <f t="shared" ref="AC7:AD7" si="15">EOMONTH(AC6,11)</f>
        <v>35795</v>
      </c>
      <c r="AD7" s="98">
        <f t="shared" si="15"/>
        <v>36160</v>
      </c>
      <c r="AE7" s="98">
        <f t="shared" ref="AE7:AM7" si="16">EOMONTH(AE6,11)</f>
        <v>36525</v>
      </c>
      <c r="AF7" s="98">
        <f t="shared" si="16"/>
        <v>36891</v>
      </c>
      <c r="AG7" s="98">
        <f t="shared" si="16"/>
        <v>37256</v>
      </c>
      <c r="AH7" s="98">
        <f t="shared" si="16"/>
        <v>37621</v>
      </c>
      <c r="AI7" s="98">
        <f t="shared" si="16"/>
        <v>37986</v>
      </c>
      <c r="AJ7" s="98">
        <f t="shared" si="16"/>
        <v>38352</v>
      </c>
      <c r="AK7" s="98">
        <f t="shared" si="16"/>
        <v>38717</v>
      </c>
      <c r="AL7" s="98">
        <f t="shared" si="16"/>
        <v>39082</v>
      </c>
      <c r="AM7" s="98">
        <f t="shared" si="16"/>
        <v>39447</v>
      </c>
      <c r="AN7" s="98">
        <f t="shared" ref="AN7:AQ7" si="17">EOMONTH(AN6,11)</f>
        <v>39813</v>
      </c>
      <c r="AO7" s="98">
        <f t="shared" si="17"/>
        <v>40178</v>
      </c>
      <c r="AP7" s="98">
        <f t="shared" si="17"/>
        <v>40543</v>
      </c>
      <c r="AQ7" s="98">
        <f t="shared" si="17"/>
        <v>40908</v>
      </c>
      <c r="AR7" s="98">
        <f>EOMONTH(AR6,11)</f>
        <v>41274</v>
      </c>
      <c r="AS7" s="98">
        <f t="shared" ref="AS7:AU7" si="18">EOMONTH(AS6,11)</f>
        <v>41639</v>
      </c>
      <c r="AT7" s="98">
        <f t="shared" si="18"/>
        <v>42004</v>
      </c>
      <c r="AU7" s="98">
        <f t="shared" si="18"/>
        <v>42369</v>
      </c>
      <c r="AV7" s="98">
        <f>EOMONTH(AV6,11)</f>
        <v>42735</v>
      </c>
      <c r="AW7" s="98">
        <f t="shared" ref="AW7:BN7" si="19">EOMONTH(AW6,11)</f>
        <v>43100</v>
      </c>
      <c r="AX7" s="98">
        <f t="shared" si="19"/>
        <v>43465</v>
      </c>
      <c r="AY7" s="98">
        <f t="shared" si="19"/>
        <v>43830</v>
      </c>
      <c r="AZ7" s="98">
        <f t="shared" si="19"/>
        <v>44196</v>
      </c>
      <c r="BA7" s="98">
        <f t="shared" si="19"/>
        <v>44561</v>
      </c>
      <c r="BB7" s="98">
        <f t="shared" si="19"/>
        <v>44926</v>
      </c>
      <c r="BC7" s="98">
        <f t="shared" si="19"/>
        <v>45291</v>
      </c>
      <c r="BD7" s="98">
        <f t="shared" si="19"/>
        <v>45657</v>
      </c>
      <c r="BE7" s="98">
        <f t="shared" si="19"/>
        <v>46022</v>
      </c>
      <c r="BF7" s="98">
        <f t="shared" si="19"/>
        <v>46387</v>
      </c>
      <c r="BG7" s="98">
        <f t="shared" si="19"/>
        <v>46752</v>
      </c>
      <c r="BH7" s="98">
        <f t="shared" si="19"/>
        <v>47118</v>
      </c>
      <c r="BI7" s="98">
        <f t="shared" si="19"/>
        <v>47483</v>
      </c>
      <c r="BJ7" s="98">
        <f t="shared" si="19"/>
        <v>47848</v>
      </c>
      <c r="BK7" s="98">
        <f t="shared" si="19"/>
        <v>48213</v>
      </c>
      <c r="BL7" s="98">
        <f t="shared" si="19"/>
        <v>48579</v>
      </c>
      <c r="BM7" s="98">
        <f t="shared" si="19"/>
        <v>48944</v>
      </c>
      <c r="BN7" s="98">
        <f t="shared" si="19"/>
        <v>49309</v>
      </c>
      <c r="BO7" s="98">
        <f>EOMONTH(BO6,11)</f>
        <v>49674</v>
      </c>
      <c r="BQ7" s="98">
        <v>45657</v>
      </c>
    </row>
    <row r="8" spans="1:69" ht="11.25" customHeight="1">
      <c r="B8" s="52"/>
      <c r="D8" s="98"/>
      <c r="E8" s="98"/>
      <c r="F8" s="98"/>
      <c r="G8" s="98"/>
      <c r="H8" s="98"/>
      <c r="I8" s="98"/>
      <c r="J8" s="98"/>
      <c r="K8" s="98"/>
      <c r="L8" s="98"/>
      <c r="M8" s="98"/>
      <c r="N8" s="98"/>
      <c r="O8" s="98"/>
      <c r="P8" s="98"/>
      <c r="Q8" s="98"/>
      <c r="R8" s="98"/>
      <c r="S8" s="98"/>
      <c r="T8" s="98"/>
      <c r="U8" s="98"/>
      <c r="V8" s="98"/>
      <c r="W8" s="98"/>
      <c r="X8" s="98"/>
      <c r="Y8" s="98"/>
      <c r="Z8" s="98"/>
      <c r="AA8" s="98"/>
      <c r="AV8" s="98"/>
      <c r="AW8" s="98"/>
      <c r="AX8" s="98"/>
      <c r="AY8" s="98"/>
      <c r="AZ8" s="98"/>
      <c r="BA8" s="98"/>
      <c r="BB8" s="98"/>
      <c r="BC8" s="98"/>
      <c r="BD8" s="98"/>
      <c r="BE8" s="98"/>
      <c r="BF8" s="98"/>
      <c r="BG8" s="98"/>
      <c r="BH8" s="98"/>
      <c r="BI8" s="98"/>
      <c r="BJ8" s="98"/>
      <c r="BK8" s="98"/>
      <c r="BL8" s="98"/>
      <c r="BM8" s="98"/>
      <c r="BN8" s="98"/>
      <c r="BO8" s="98"/>
    </row>
    <row r="9" spans="1:69" ht="13.5" customHeight="1">
      <c r="B9" s="2"/>
      <c r="C9" s="2"/>
      <c r="D9" s="22" t="s">
        <v>78</v>
      </c>
      <c r="E9" s="1"/>
      <c r="F9" s="22"/>
      <c r="G9" s="22"/>
      <c r="H9" s="22"/>
      <c r="I9" s="22"/>
      <c r="J9" s="22"/>
      <c r="K9" s="22"/>
      <c r="L9" s="22"/>
      <c r="M9" s="22"/>
      <c r="N9" s="22"/>
      <c r="O9" s="22"/>
      <c r="P9" s="22"/>
      <c r="Q9" s="22"/>
      <c r="R9" s="22"/>
      <c r="S9" s="22"/>
      <c r="T9" s="22"/>
      <c r="U9" s="22"/>
      <c r="V9" s="22"/>
      <c r="W9" s="22"/>
      <c r="X9" s="22"/>
      <c r="Y9" s="22"/>
      <c r="Z9" s="22"/>
      <c r="AA9" s="22"/>
      <c r="AB9" s="2"/>
      <c r="AC9" s="22" t="s">
        <v>98</v>
      </c>
      <c r="AD9" s="22"/>
      <c r="AE9" s="22"/>
      <c r="AF9" s="22"/>
      <c r="AG9" s="22"/>
      <c r="AH9" s="22"/>
      <c r="AI9" s="22"/>
      <c r="AJ9" s="22"/>
      <c r="AK9" s="22"/>
      <c r="AL9" s="22"/>
      <c r="AM9" s="22"/>
      <c r="AN9" s="22"/>
      <c r="AO9" s="22"/>
      <c r="AP9" s="22"/>
      <c r="AQ9" s="22"/>
      <c r="AR9" s="22"/>
      <c r="AS9" s="22"/>
      <c r="AT9" s="22"/>
      <c r="AU9" s="22"/>
      <c r="AV9" s="22"/>
      <c r="AW9" s="22"/>
      <c r="AX9" s="23"/>
      <c r="AY9" s="22"/>
      <c r="AZ9" s="22"/>
      <c r="BA9" s="22"/>
      <c r="BB9" s="22"/>
      <c r="BC9" s="22"/>
      <c r="BD9" s="22"/>
      <c r="BE9" s="22"/>
      <c r="BF9" s="22"/>
      <c r="BG9" s="22"/>
      <c r="BH9" s="22"/>
      <c r="BI9" s="22"/>
      <c r="BJ9" s="22"/>
      <c r="BK9" s="22"/>
      <c r="BL9" s="22"/>
      <c r="BM9" s="22"/>
      <c r="BN9" s="22"/>
      <c r="BO9" s="22"/>
    </row>
    <row r="10" spans="1:69" ht="13.5" customHeight="1">
      <c r="B10" s="2"/>
      <c r="C10" s="2"/>
      <c r="D10" s="8" t="s">
        <v>79</v>
      </c>
      <c r="E10" s="8" t="s">
        <v>80</v>
      </c>
      <c r="F10" s="8" t="s">
        <v>81</v>
      </c>
      <c r="G10" s="8" t="s">
        <v>82</v>
      </c>
      <c r="H10" s="8" t="s">
        <v>83</v>
      </c>
      <c r="I10" s="8" t="s">
        <v>84</v>
      </c>
      <c r="J10" s="8" t="s">
        <v>85</v>
      </c>
      <c r="K10" s="8" t="s">
        <v>86</v>
      </c>
      <c r="L10" s="8" t="s">
        <v>87</v>
      </c>
      <c r="M10" s="8" t="s">
        <v>88</v>
      </c>
      <c r="N10" s="8" t="s">
        <v>89</v>
      </c>
      <c r="O10" s="8" t="s">
        <v>90</v>
      </c>
      <c r="P10" s="8" t="s">
        <v>91</v>
      </c>
      <c r="Q10" s="8" t="s">
        <v>92</v>
      </c>
      <c r="R10" s="8" t="s">
        <v>93</v>
      </c>
      <c r="S10" s="8" t="s">
        <v>97</v>
      </c>
      <c r="T10" s="8" t="s">
        <v>306</v>
      </c>
      <c r="U10" s="8" t="s">
        <v>94</v>
      </c>
      <c r="V10" s="8" t="s">
        <v>355</v>
      </c>
      <c r="W10" s="8" t="s">
        <v>96</v>
      </c>
      <c r="X10" s="8" t="s">
        <v>307</v>
      </c>
      <c r="Y10" s="8" t="s">
        <v>308</v>
      </c>
      <c r="Z10" s="8" t="s">
        <v>309</v>
      </c>
      <c r="AA10" s="8" t="s">
        <v>310</v>
      </c>
      <c r="AB10" s="2"/>
      <c r="AC10" s="8" t="s">
        <v>158</v>
      </c>
      <c r="AD10" s="8" t="s">
        <v>159</v>
      </c>
      <c r="AE10" s="8" t="s">
        <v>160</v>
      </c>
      <c r="AF10" s="8" t="s">
        <v>161</v>
      </c>
      <c r="AG10" s="8" t="s">
        <v>162</v>
      </c>
      <c r="AH10" s="8" t="s">
        <v>163</v>
      </c>
      <c r="AI10" s="8" t="s">
        <v>164</v>
      </c>
      <c r="AJ10" s="8" t="s">
        <v>165</v>
      </c>
      <c r="AK10" s="8" t="s">
        <v>166</v>
      </c>
      <c r="AL10" s="8" t="s">
        <v>167</v>
      </c>
      <c r="AM10" s="8" t="s">
        <v>168</v>
      </c>
      <c r="AN10" s="8" t="s">
        <v>169</v>
      </c>
      <c r="AO10" s="8" t="s">
        <v>170</v>
      </c>
      <c r="AP10" s="8" t="s">
        <v>171</v>
      </c>
      <c r="AQ10" s="8" t="s">
        <v>172</v>
      </c>
      <c r="AR10" s="8" t="s">
        <v>153</v>
      </c>
      <c r="AS10" s="8" t="s">
        <v>152</v>
      </c>
      <c r="AT10" s="8" t="s">
        <v>151</v>
      </c>
      <c r="AU10" s="8" t="s">
        <v>150</v>
      </c>
      <c r="AV10" s="8" t="s">
        <v>10</v>
      </c>
      <c r="AW10" s="8" t="s">
        <v>11</v>
      </c>
      <c r="AX10" s="8" t="s">
        <v>1</v>
      </c>
      <c r="AY10" s="8" t="s">
        <v>2</v>
      </c>
      <c r="AZ10" s="8" t="s">
        <v>3</v>
      </c>
      <c r="BA10" s="8" t="s">
        <v>4</v>
      </c>
      <c r="BB10" s="8" t="s">
        <v>5</v>
      </c>
      <c r="BC10" s="8" t="s">
        <v>68</v>
      </c>
      <c r="BD10" s="8" t="s">
        <v>6</v>
      </c>
      <c r="BE10" s="8" t="s">
        <v>22</v>
      </c>
      <c r="BF10" s="8" t="s">
        <v>23</v>
      </c>
      <c r="BG10" s="8" t="s">
        <v>24</v>
      </c>
      <c r="BH10" s="8" t="s">
        <v>25</v>
      </c>
      <c r="BI10" s="8" t="s">
        <v>26</v>
      </c>
      <c r="BJ10" s="8" t="s">
        <v>27</v>
      </c>
      <c r="BK10" s="8" t="s">
        <v>38</v>
      </c>
      <c r="BL10" s="8" t="s">
        <v>39</v>
      </c>
      <c r="BM10" s="8" t="s">
        <v>40</v>
      </c>
      <c r="BN10" s="8" t="s">
        <v>41</v>
      </c>
      <c r="BO10" s="8" t="s">
        <v>112</v>
      </c>
      <c r="BQ10" s="8" t="s">
        <v>311</v>
      </c>
    </row>
    <row r="12" spans="1:69" ht="11.25" customHeight="1">
      <c r="B12" s="11" t="s">
        <v>312</v>
      </c>
      <c r="C12" s="281"/>
    </row>
    <row r="13" spans="1:69" ht="11.25" customHeight="1">
      <c r="D13" s="266"/>
      <c r="E13" s="266"/>
      <c r="F13" s="266"/>
      <c r="G13" s="266"/>
      <c r="H13" s="266"/>
      <c r="I13" s="266"/>
      <c r="J13" s="266"/>
      <c r="K13" s="266"/>
      <c r="L13" s="266"/>
      <c r="M13" s="266"/>
      <c r="N13" s="266"/>
      <c r="O13" s="266"/>
      <c r="P13" s="266"/>
      <c r="Q13" s="266"/>
      <c r="R13" s="266"/>
      <c r="S13" s="266"/>
      <c r="T13" s="266"/>
      <c r="AV13" s="266"/>
      <c r="AW13" s="266"/>
      <c r="AX13" s="266"/>
      <c r="AY13" s="266"/>
      <c r="AZ13" s="266"/>
      <c r="BA13" s="266"/>
      <c r="BB13" s="266"/>
      <c r="BC13" s="266"/>
    </row>
    <row r="14" spans="1:69" ht="11.25" customHeight="1">
      <c r="A14" s="52" t="s">
        <v>314</v>
      </c>
      <c r="B14" s="18" t="s">
        <v>313</v>
      </c>
      <c r="D14" s="283">
        <f>_xll.ciqfunctions.udf.CIQAVG("$"&amp;$A14,"IQ_LASTSALEPRICE",D$6,D$7)</f>
        <v>30.129242000000001</v>
      </c>
      <c r="E14" s="283">
        <f>_xll.ciqfunctions.udf.CIQAVG("$"&amp;$A14,"IQ_LASTSALEPRICE",E$6,E$7)</f>
        <v>29.902944999999999</v>
      </c>
      <c r="F14" s="283">
        <f>_xll.ciqfunctions.udf.CIQAVG("$"&amp;$A14,"IQ_LASTSALEPRICE",F$6,F$7)</f>
        <v>29.356929000000001</v>
      </c>
      <c r="G14" s="283">
        <f>_xll.ciqfunctions.udf.CIQAVG("$"&amp;$A14,"IQ_LASTSALEPRICE",G$6,G$7)</f>
        <v>28.485913</v>
      </c>
      <c r="H14" s="283">
        <f>_xll.ciqfunctions.udf.CIQAVG("$"&amp;$A14,"IQ_LASTSALEPRICE",H$6,H$7)</f>
        <v>28.094277999999999</v>
      </c>
      <c r="I14" s="283">
        <f>_xll.ciqfunctions.udf.CIQAVG("$"&amp;$A14,"IQ_LASTSALEPRICE",I$6,I$7)</f>
        <v>27.990055000000002</v>
      </c>
      <c r="J14" s="283">
        <f>_xll.ciqfunctions.udf.CIQAVG("$"&amp;$A14,"IQ_LASTSALEPRICE",J$6,J$7)</f>
        <v>27.873652</v>
      </c>
      <c r="K14" s="283">
        <f>_xll.ciqfunctions.udf.CIQAVG("$"&amp;$A14,"IQ_LASTSALEPRICE",K$6,K$7)</f>
        <v>27.846913000000001</v>
      </c>
      <c r="L14" s="283">
        <f>_xll.ciqfunctions.udf.CIQAVG("$"&amp;$A14,"IQ_LASTSALEPRICE",L$6,L$7)</f>
        <v>28.008199999999999</v>
      </c>
      <c r="M14" s="283">
        <f>_xll.ciqfunctions.udf.CIQAVG("$"&amp;$A14,"IQ_LASTSALEPRICE",M$6,M$7)</f>
        <v>29.445879000000001</v>
      </c>
      <c r="N14" s="283">
        <f>_xll.ciqfunctions.udf.CIQAVG("$"&amp;$A14,"IQ_LASTSALEPRICE",N$6,N$7)</f>
        <v>30.397379999999998</v>
      </c>
      <c r="O14" s="283">
        <f>_xll.ciqfunctions.udf.CIQAVG("$"&amp;$A14,"IQ_LASTSALEPRICE",O$6,O$7)</f>
        <v>31.344163000000002</v>
      </c>
      <c r="P14" s="283">
        <f>_xll.ciqfunctions.udf.CIQAVG("$"&amp;$A14,"IQ_LASTSALEPRICE",P$6,P$7)</f>
        <v>30.420511000000001</v>
      </c>
      <c r="Q14" s="283">
        <f>_xll.ciqfunctions.udf.CIQAVG("$"&amp;$A14,"IQ_LASTSALEPRICE",Q$6,Q$7)</f>
        <v>30.724658999999999</v>
      </c>
      <c r="R14" s="283">
        <f>_xll.ciqfunctions.udf.CIQAVG("$"&amp;$A14,"IQ_LASTSALEPRICE",R$6,R$7)</f>
        <v>31.696141000000001</v>
      </c>
      <c r="S14" s="283">
        <f>_xll.ciqfunctions.udf.CIQAVG("$"&amp;$A14,"IQ_LASTSALEPRICE",S$6,S$7)</f>
        <v>31.818957000000001</v>
      </c>
      <c r="T14" s="283">
        <f>_xll.ciqfunctions.udf.CIQAVG("$"&amp;$A14,"IQ_LASTSALEPRICE",T$6,T$7)</f>
        <v>31.461296999999998</v>
      </c>
      <c r="U14" s="283">
        <f>_xll.ciqfunctions.udf.CIQAVG("$"&amp;$A14,"IQ_LASTSALEPRICE",U$6,U$7)</f>
        <v>32.372669999999999</v>
      </c>
      <c r="V14" s="283">
        <f>_xll.ciqfunctions.udf.CIQAVG("$"&amp;$A14,"IQ_LASTSALEPRICE",V$6,V$7)</f>
        <v>32.301391000000002</v>
      </c>
      <c r="W14" s="283">
        <f>_xll.ciqfunctions.udf.CIQAVG("$"&amp;$A14,"IQ_LASTSALEPRICE",W$6,W$7)*($BQ$2-W$6+1)/(W$7-W$6+1)+_xll.ciqfunctions.udf.CIQ("$"&amp;$A14,"IQ_LASTSALEPRICE",$BQ$2)*(1-($BQ$2-W$6+1)/(W$7-W$6+1))</f>
        <v>32.40687093478261</v>
      </c>
      <c r="X14" s="283">
        <f>_xll.ciqfunctions.udf.CIQ("$"&amp;$A22,"IQ_LASTSALEPRICE",$BQ$2)</f>
        <v>32.652999999999999</v>
      </c>
      <c r="Y14" s="284">
        <f t="shared" ref="Y14:AA14" si="20">X14</f>
        <v>32.652999999999999</v>
      </c>
      <c r="Z14" s="284">
        <f t="shared" si="20"/>
        <v>32.652999999999999</v>
      </c>
      <c r="AA14" s="284">
        <f t="shared" si="20"/>
        <v>32.652999999999999</v>
      </c>
      <c r="AC14" s="283">
        <f>_xll.ciqfunctions.udf.CIQAVG("$"&amp;$A14,"IQ_LASTSALEPRICE",AC$6,AC$7)</f>
        <v>28.785945000000002</v>
      </c>
      <c r="AD14" s="283">
        <f>_xll.ciqfunctions.udf.CIQAVG("$"&amp;$A14,"IQ_LASTSALEPRICE",AD$6,AD$7)</f>
        <v>33.527068</v>
      </c>
      <c r="AE14" s="283">
        <f>_xll.ciqfunctions.udf.CIQAVG("$"&amp;$A14,"IQ_LASTSALEPRICE",AE$6,AE$7)</f>
        <v>32.318904000000003</v>
      </c>
      <c r="AF14" s="283">
        <f>_xll.ciqfunctions.udf.CIQAVG("$"&amp;$A14,"IQ_LASTSALEPRICE",AF$6,AF$7)</f>
        <v>31.266712999999999</v>
      </c>
      <c r="AG14" s="283">
        <f>_xll.ciqfunctions.udf.CIQAVG("$"&amp;$A14,"IQ_LASTSALEPRICE",AG$6,AG$7)</f>
        <v>33.833989000000003</v>
      </c>
      <c r="AH14" s="283">
        <f>_xll.ciqfunctions.udf.CIQAVG("$"&amp;$A14,"IQ_LASTSALEPRICE",AH$6,AH$7)</f>
        <v>34.538110000000003</v>
      </c>
      <c r="AI14" s="283">
        <f>_xll.ciqfunctions.udf.CIQAVG("$"&amp;$A14,"IQ_LASTSALEPRICE",AI$6,AI$7)</f>
        <v>34.402577999999998</v>
      </c>
      <c r="AJ14" s="283">
        <f>_xll.ciqfunctions.udf.CIQAVG("$"&amp;$A14,"IQ_LASTSALEPRICE",AJ$6,AJ$7)</f>
        <v>33.381672000000002</v>
      </c>
      <c r="AK14" s="283">
        <f>_xll.ciqfunctions.udf.CIQAVG("$"&amp;$A14,"IQ_LASTSALEPRICE",AK$6,AK$7)</f>
        <v>32.134466000000003</v>
      </c>
      <c r="AL14" s="283">
        <f>_xll.ciqfunctions.udf.CIQAVG("$"&amp;$A14,"IQ_LASTSALEPRICE",AL$6,AL$7)</f>
        <v>32.508702999999997</v>
      </c>
      <c r="AM14" s="283">
        <f>_xll.ciqfunctions.udf.CIQAVG("$"&amp;$A14,"IQ_LASTSALEPRICE",AM$6,AM$7)</f>
        <v>32.914285</v>
      </c>
      <c r="AN14" s="283">
        <f>_xll.ciqfunctions.udf.CIQAVG("$"&amp;$A14,"IQ_LASTSALEPRICE",AN$6,AN$7)</f>
        <v>31.54616</v>
      </c>
      <c r="AO14" s="283">
        <f>_xll.ciqfunctions.udf.CIQAVG("$"&amp;$A14,"IQ_LASTSALEPRICE",AO$6,AO$7)</f>
        <v>33.044998999999997</v>
      </c>
      <c r="AP14" s="283">
        <f>_xll.ciqfunctions.udf.CIQAVG("$"&amp;$A14,"IQ_LASTSALEPRICE",AP$6,AP$7)</f>
        <v>31.540811000000001</v>
      </c>
      <c r="AQ14" s="283">
        <f>_xll.ciqfunctions.udf.CIQAVG("$"&amp;$A14,"IQ_LASTSALEPRICE",AQ$6,AQ$7)</f>
        <v>29.41929</v>
      </c>
      <c r="AR14" s="283">
        <f>_xll.ciqfunctions.udf.CIQAVG("$"&amp;$A14,"IQ_LASTSALEPRICE",AR$6,AR$7)</f>
        <v>29.577525000000001</v>
      </c>
      <c r="AS14" s="283">
        <f>_xll.ciqfunctions.udf.CIQAVG("$"&amp;$A14,"IQ_LASTSALEPRICE",AS$6,AS$7)</f>
        <v>29.703274</v>
      </c>
      <c r="AT14" s="283">
        <f>_xll.ciqfunctions.udf.CIQAVG("$"&amp;$A14,"IQ_LASTSALEPRICE",AT$6,AT$7)</f>
        <v>30.329552</v>
      </c>
      <c r="AU14" s="283">
        <f>_xll.ciqfunctions.udf.CIQAVG("$"&amp;$A14,"IQ_LASTSALEPRICE",AU$6,AU$7)</f>
        <v>31.787731999999998</v>
      </c>
      <c r="AV14" s="283">
        <f>_xll.ciqfunctions.udf.CIQAVG("$"&amp;$A14,"IQ_LASTSALEPRICE",AV$6,AV$7)</f>
        <v>32.271028999999999</v>
      </c>
      <c r="AW14" s="283">
        <f>_xll.ciqfunctions.udf.CIQAVG("$"&amp;$A14,"IQ_LASTSALEPRICE",AW$6,AW$7)</f>
        <v>30.433181000000001</v>
      </c>
      <c r="AX14" s="283">
        <f>_xll.ciqfunctions.udf.CIQAVG("$"&amp;$A14,"IQ_LASTSALEPRICE",AX$6,AX$7)</f>
        <v>30.158078</v>
      </c>
      <c r="AY14" s="283">
        <f>_xll.ciqfunctions.udf.CIQAVG("$"&amp;$A14,"IQ_LASTSALEPRICE",AY$6,AY$7)</f>
        <v>30.909054999999999</v>
      </c>
      <c r="AZ14" s="283">
        <f>_xll.ciqfunctions.udf.CIQAVG("$"&amp;$A14,"IQ_LASTSALEPRICE",AZ$6,AZ$7)</f>
        <v>29.465765999999999</v>
      </c>
      <c r="BA14" s="283">
        <f>_xll.ciqfunctions.udf.CIQAVG("$"&amp;$A14,"IQ_LASTSALEPRICE",BA$6,BA$7)</f>
        <v>27.950334000000002</v>
      </c>
      <c r="BB14" s="283">
        <f>_xll.ciqfunctions.udf.CIQAVG("$"&amp;$A14,"IQ_LASTSALEPRICE",BB$6,BB$7)</f>
        <v>29.809685000000002</v>
      </c>
      <c r="BC14" s="283">
        <f>_xll.ciqfunctions.udf.CIQAVG("$"&amp;$A14,"IQ_LASTSALEPRICE",BC$6,BC$7)</f>
        <v>31.170352999999999</v>
      </c>
      <c r="BD14" s="292">
        <f>AVERAGE(T14:W14)</f>
        <v>32.13555723369565</v>
      </c>
      <c r="BE14" s="292">
        <f>AVERAGE(X14:AA14)</f>
        <v>32.652999999999999</v>
      </c>
      <c r="BF14" s="284">
        <f t="shared" ref="BF14:BO14" si="21">BE14</f>
        <v>32.652999999999999</v>
      </c>
      <c r="BG14" s="284">
        <f t="shared" si="21"/>
        <v>32.652999999999999</v>
      </c>
      <c r="BH14" s="284">
        <f t="shared" si="21"/>
        <v>32.652999999999999</v>
      </c>
      <c r="BI14" s="284">
        <f t="shared" si="21"/>
        <v>32.652999999999999</v>
      </c>
      <c r="BJ14" s="284">
        <f t="shared" si="21"/>
        <v>32.652999999999999</v>
      </c>
      <c r="BK14" s="284">
        <f t="shared" si="21"/>
        <v>32.652999999999999</v>
      </c>
      <c r="BL14" s="284">
        <f t="shared" si="21"/>
        <v>32.652999999999999</v>
      </c>
      <c r="BM14" s="284">
        <f t="shared" si="21"/>
        <v>32.652999999999999</v>
      </c>
      <c r="BN14" s="284">
        <f t="shared" si="21"/>
        <v>32.652999999999999</v>
      </c>
      <c r="BO14" s="284">
        <f t="shared" si="21"/>
        <v>32.652999999999999</v>
      </c>
      <c r="BQ14" s="283">
        <f>_xll.ciqfunctions.udf.CIQ("$"&amp;$A14,"IQ_LASTSALEPRICE",$BQ$7)</f>
        <v>32.78</v>
      </c>
    </row>
    <row r="15" spans="1:69" ht="11.25" customHeight="1">
      <c r="A15" s="52" t="s">
        <v>313</v>
      </c>
      <c r="B15" s="18" t="s">
        <v>314</v>
      </c>
      <c r="D15" s="285">
        <f>1/D14</f>
        <v>3.3190347105313836E-2</v>
      </c>
      <c r="E15" s="285">
        <f t="shared" ref="E15:AA15" si="22">1/E14</f>
        <v>3.3441522231338755E-2</v>
      </c>
      <c r="F15" s="285">
        <f t="shared" si="22"/>
        <v>3.4063508482103148E-2</v>
      </c>
      <c r="G15" s="285">
        <f t="shared" si="22"/>
        <v>3.5105071057403008E-2</v>
      </c>
      <c r="H15" s="285">
        <f t="shared" si="22"/>
        <v>3.5594436703445448E-2</v>
      </c>
      <c r="I15" s="285">
        <f t="shared" si="22"/>
        <v>3.572697517028816E-2</v>
      </c>
      <c r="J15" s="285">
        <f t="shared" si="22"/>
        <v>3.5876174388630527E-2</v>
      </c>
      <c r="K15" s="285">
        <f t="shared" si="22"/>
        <v>3.5910623199059799E-2</v>
      </c>
      <c r="L15" s="285">
        <f t="shared" si="22"/>
        <v>3.5703829592762124E-2</v>
      </c>
      <c r="M15" s="285">
        <f t="shared" si="22"/>
        <v>3.3960609564414768E-2</v>
      </c>
      <c r="N15" s="285">
        <f t="shared" si="22"/>
        <v>3.2897572093384363E-2</v>
      </c>
      <c r="O15" s="285">
        <f t="shared" si="22"/>
        <v>3.1903866758222252E-2</v>
      </c>
      <c r="P15" s="285">
        <f t="shared" si="22"/>
        <v>3.2872557597733977E-2</v>
      </c>
      <c r="Q15" s="285">
        <f t="shared" si="22"/>
        <v>3.254714722789926E-2</v>
      </c>
      <c r="R15" s="285">
        <f t="shared" si="22"/>
        <v>3.1549582013785209E-2</v>
      </c>
      <c r="S15" s="285">
        <f t="shared" si="22"/>
        <v>3.1427805757429449E-2</v>
      </c>
      <c r="T15" s="285">
        <f t="shared" si="22"/>
        <v>3.1785085020493598E-2</v>
      </c>
      <c r="U15" s="285">
        <f t="shared" si="22"/>
        <v>3.0890254032182086E-2</v>
      </c>
      <c r="V15" s="285">
        <f t="shared" si="22"/>
        <v>3.0958419097183769E-2</v>
      </c>
      <c r="W15" s="285">
        <f t="shared" si="22"/>
        <v>3.0857653675125118E-2</v>
      </c>
      <c r="X15" s="285">
        <f t="shared" si="22"/>
        <v>3.0625057421982668E-2</v>
      </c>
      <c r="Y15" s="285">
        <f t="shared" si="22"/>
        <v>3.0625057421982668E-2</v>
      </c>
      <c r="Z15" s="285">
        <f t="shared" si="22"/>
        <v>3.0625057421982668E-2</v>
      </c>
      <c r="AA15" s="285">
        <f t="shared" si="22"/>
        <v>3.0625057421982668E-2</v>
      </c>
      <c r="AC15" s="285">
        <f t="shared" ref="AC15:AM15" si="23">1/AC14</f>
        <v>3.4739175663678921E-2</v>
      </c>
      <c r="AD15" s="285">
        <f t="shared" si="23"/>
        <v>2.9826646338415277E-2</v>
      </c>
      <c r="AE15" s="285">
        <f t="shared" si="23"/>
        <v>3.0941643318102615E-2</v>
      </c>
      <c r="AF15" s="285">
        <f t="shared" si="23"/>
        <v>3.1982895036008423E-2</v>
      </c>
      <c r="AG15" s="285">
        <f t="shared" si="23"/>
        <v>2.955607746990755E-2</v>
      </c>
      <c r="AH15" s="285">
        <f t="shared" si="23"/>
        <v>2.8953524092661699E-2</v>
      </c>
      <c r="AI15" s="285">
        <f t="shared" si="23"/>
        <v>2.9067589062656874E-2</v>
      </c>
      <c r="AJ15" s="285">
        <f t="shared" si="23"/>
        <v>2.995655819756422E-2</v>
      </c>
      <c r="AK15" s="285">
        <f t="shared" si="23"/>
        <v>3.1119235029454042E-2</v>
      </c>
      <c r="AL15" s="285">
        <f t="shared" si="23"/>
        <v>3.0760993448431334E-2</v>
      </c>
      <c r="AM15" s="285">
        <f t="shared" si="23"/>
        <v>3.038194510377485E-2</v>
      </c>
      <c r="AN15" s="285">
        <f t="shared" ref="AN15:AQ15" si="24">1/AN14</f>
        <v>3.1699579283183753E-2</v>
      </c>
      <c r="AO15" s="285">
        <f t="shared" si="24"/>
        <v>3.0261765176630814E-2</v>
      </c>
      <c r="AP15" s="285">
        <f t="shared" si="24"/>
        <v>3.1704955208666001E-2</v>
      </c>
      <c r="AQ15" s="285">
        <f t="shared" si="24"/>
        <v>3.39913029852182E-2</v>
      </c>
      <c r="AR15" s="285">
        <f>1/AR14</f>
        <v>3.3809454983133307E-2</v>
      </c>
      <c r="AS15" s="285">
        <f t="shared" ref="AS15:AU15" si="25">1/AS14</f>
        <v>3.3666322439741825E-2</v>
      </c>
      <c r="AT15" s="285">
        <f t="shared" si="25"/>
        <v>3.2971143127996087E-2</v>
      </c>
      <c r="AU15" s="285">
        <f t="shared" si="25"/>
        <v>3.1458677202890729E-2</v>
      </c>
      <c r="AV15" s="285">
        <f>1/AV14</f>
        <v>3.098754613619541E-2</v>
      </c>
      <c r="AW15" s="285">
        <f t="shared" ref="AW15:BE15" si="26">1/AW14</f>
        <v>3.2858872031812904E-2</v>
      </c>
      <c r="AX15" s="285">
        <f t="shared" si="26"/>
        <v>3.3158611765643685E-2</v>
      </c>
      <c r="AY15" s="285">
        <f t="shared" si="26"/>
        <v>3.2352978763019444E-2</v>
      </c>
      <c r="AZ15" s="285">
        <f t="shared" si="26"/>
        <v>3.3937688909903105E-2</v>
      </c>
      <c r="BA15" s="285">
        <f t="shared" si="26"/>
        <v>3.577774777217331E-2</v>
      </c>
      <c r="BB15" s="285">
        <f t="shared" si="26"/>
        <v>3.3546144482908824E-2</v>
      </c>
      <c r="BC15" s="285">
        <f t="shared" si="26"/>
        <v>3.2081766927695689E-2</v>
      </c>
      <c r="BD15" s="285">
        <f t="shared" si="26"/>
        <v>3.1118178307219541E-2</v>
      </c>
      <c r="BE15" s="285">
        <f t="shared" si="26"/>
        <v>3.0625057421982668E-2</v>
      </c>
      <c r="BF15" s="282">
        <f t="shared" ref="BF15:BO15" si="27">BE15</f>
        <v>3.0625057421982668E-2</v>
      </c>
      <c r="BG15" s="282">
        <f t="shared" si="27"/>
        <v>3.0625057421982668E-2</v>
      </c>
      <c r="BH15" s="282">
        <f t="shared" si="27"/>
        <v>3.0625057421982668E-2</v>
      </c>
      <c r="BI15" s="282">
        <f t="shared" si="27"/>
        <v>3.0625057421982668E-2</v>
      </c>
      <c r="BJ15" s="282">
        <f t="shared" si="27"/>
        <v>3.0625057421982668E-2</v>
      </c>
      <c r="BK15" s="282">
        <f t="shared" si="27"/>
        <v>3.0625057421982668E-2</v>
      </c>
      <c r="BL15" s="282">
        <f t="shared" si="27"/>
        <v>3.0625057421982668E-2</v>
      </c>
      <c r="BM15" s="282">
        <f t="shared" si="27"/>
        <v>3.0625057421982668E-2</v>
      </c>
      <c r="BN15" s="282">
        <f t="shared" si="27"/>
        <v>3.0625057421982668E-2</v>
      </c>
      <c r="BO15" s="282">
        <f t="shared" si="27"/>
        <v>3.0625057421982668E-2</v>
      </c>
      <c r="BQ15" s="285">
        <f>1/BQ14</f>
        <v>3.0506406345332519E-2</v>
      </c>
    </row>
    <row r="16" spans="1:69" ht="11.25" customHeight="1">
      <c r="A16" s="52"/>
      <c r="D16" s="285"/>
      <c r="E16" s="285"/>
      <c r="F16" s="285"/>
      <c r="G16" s="285"/>
      <c r="H16" s="285"/>
      <c r="I16" s="285"/>
      <c r="J16" s="285"/>
      <c r="K16" s="285"/>
      <c r="L16" s="285"/>
      <c r="M16" s="285"/>
      <c r="N16" s="285"/>
      <c r="O16" s="285"/>
      <c r="P16" s="285"/>
      <c r="Q16" s="285"/>
      <c r="R16" s="285"/>
      <c r="S16" s="285"/>
      <c r="T16" s="285"/>
      <c r="U16" s="285"/>
      <c r="V16" s="282"/>
      <c r="W16" s="282"/>
      <c r="X16" s="282"/>
      <c r="Y16" s="282"/>
      <c r="Z16" s="282"/>
      <c r="AA16" s="282"/>
      <c r="AR16" s="285"/>
      <c r="AS16" s="285"/>
      <c r="AT16" s="285"/>
      <c r="AU16" s="285"/>
      <c r="AV16" s="285"/>
      <c r="AW16" s="285"/>
      <c r="AX16" s="285"/>
      <c r="AY16" s="285"/>
      <c r="AZ16" s="285"/>
      <c r="BA16" s="285"/>
      <c r="BB16" s="285"/>
      <c r="BC16" s="285"/>
      <c r="BD16" s="285"/>
      <c r="BE16" s="282"/>
      <c r="BF16" s="282"/>
      <c r="BG16" s="282"/>
      <c r="BH16" s="282"/>
      <c r="BI16" s="282"/>
      <c r="BJ16" s="282"/>
      <c r="BK16" s="282"/>
      <c r="BL16" s="282"/>
      <c r="BM16" s="282"/>
      <c r="BN16" s="282"/>
      <c r="BO16" s="282"/>
      <c r="BQ16" s="285"/>
    </row>
    <row r="17" spans="1:69" ht="11.25" customHeight="1">
      <c r="A17" s="52" t="s">
        <v>314</v>
      </c>
      <c r="B17" s="18" t="s">
        <v>329</v>
      </c>
      <c r="D17" s="283"/>
      <c r="E17" s="283"/>
      <c r="F17" s="283"/>
      <c r="G17" s="283">
        <f>_xll.ciqfunctions.udf.CIQAVG("$"&amp;$A17,"IQ_LASTSALEPRICE",D$6,G$7)</f>
        <v>29.465765999999999</v>
      </c>
      <c r="H17" s="283">
        <f>_xll.ciqfunctions.udf.CIQAVG("$"&amp;$A17,"IQ_LASTSALEPRICE",E$6,H$7)</f>
        <v>28.962177000000001</v>
      </c>
      <c r="I17" s="283">
        <f>_xll.ciqfunctions.udf.CIQAVG("$"&amp;$A17,"IQ_LASTSALEPRICE",F$6,I$7)</f>
        <v>28.485264000000001</v>
      </c>
      <c r="J17" s="283">
        <f>_xll.ciqfunctions.udf.CIQAVG("$"&amp;$A17,"IQ_LASTSALEPRICE",G$6,J$7)</f>
        <v>28.111397</v>
      </c>
      <c r="K17" s="283">
        <f>_xll.ciqfunctions.udf.CIQAVG("$"&amp;$A17,"IQ_LASTSALEPRICE",H$6,K$7)</f>
        <v>27.950334000000002</v>
      </c>
      <c r="L17" s="283">
        <f>_xll.ciqfunctions.udf.CIQAVG("$"&amp;$A17,"IQ_LASTSALEPRICE",I$6,L$7)</f>
        <v>27.929110000000001</v>
      </c>
      <c r="M17" s="283">
        <f>_xll.ciqfunctions.udf.CIQAVG("$"&amp;$A17,"IQ_LASTSALEPRICE",J$6,M$7)</f>
        <v>28.292068</v>
      </c>
      <c r="N17" s="283">
        <f>_xll.ciqfunctions.udf.CIQAVG("$"&amp;$A17,"IQ_LASTSALEPRICE",K$6,N$7)</f>
        <v>28.928186</v>
      </c>
      <c r="O17" s="283">
        <f>_xll.ciqfunctions.udf.CIQAVG("$"&amp;$A17,"IQ_LASTSALEPRICE",L$6,O$7)</f>
        <v>29.809685000000002</v>
      </c>
      <c r="P17" s="283">
        <f>_xll.ciqfunctions.udf.CIQAVG("$"&amp;$A17,"IQ_LASTSALEPRICE",M$6,P$7)</f>
        <v>30.404501</v>
      </c>
      <c r="Q17" s="283">
        <f>_xll.ciqfunctions.udf.CIQAVG("$"&amp;$A17,"IQ_LASTSALEPRICE",N$6,Q$7)</f>
        <v>30.723320999999999</v>
      </c>
      <c r="R17" s="283">
        <f>_xll.ciqfunctions.udf.CIQAVG("$"&amp;$A17,"IQ_LASTSALEPRICE",O$6,R$7)</f>
        <v>31.050678999999999</v>
      </c>
      <c r="S17" s="283">
        <f>_xll.ciqfunctions.udf.CIQAVG("$"&amp;$A17,"IQ_LASTSALEPRICE",P$6,S$7)</f>
        <v>31.170352999999999</v>
      </c>
      <c r="T17" s="283">
        <f>_xll.ciqfunctions.udf.CIQAVG("$"&amp;$A17,"IQ_LASTSALEPRICE",Q$6,T$7)</f>
        <v>31.427078999999999</v>
      </c>
      <c r="U17" s="283">
        <f>_xll.ciqfunctions.udf.CIQAVG("$"&amp;$A17,"IQ_LASTSALEPRICE",R$6,U$7)</f>
        <v>31.836831</v>
      </c>
      <c r="V17" s="283">
        <f>_xll.ciqfunctions.udf.CIQAVG("$"&amp;$A17,"IQ_LASTSALEPRICE",S$6,V$7)</f>
        <v>31.988969999999998</v>
      </c>
      <c r="W17" s="630">
        <f t="shared" ref="W17:AA17" si="28">+AVERAGE(T22:W22)</f>
        <v>32.748249999999999</v>
      </c>
      <c r="X17" s="630">
        <f t="shared" si="28"/>
        <v>32.716499999999996</v>
      </c>
      <c r="Y17" s="630">
        <f t="shared" si="28"/>
        <v>32.684749999999994</v>
      </c>
      <c r="Z17" s="630">
        <f t="shared" si="28"/>
        <v>32.652999999999999</v>
      </c>
      <c r="AA17" s="630">
        <f t="shared" si="28"/>
        <v>32.652999999999999</v>
      </c>
      <c r="AC17" s="292">
        <f>AC14</f>
        <v>28.785945000000002</v>
      </c>
      <c r="AD17" s="292">
        <f t="shared" ref="AD17:AM17" si="29">AD14</f>
        <v>33.527068</v>
      </c>
      <c r="AE17" s="292">
        <f t="shared" si="29"/>
        <v>32.318904000000003</v>
      </c>
      <c r="AF17" s="292">
        <f t="shared" si="29"/>
        <v>31.266712999999999</v>
      </c>
      <c r="AG17" s="292">
        <f t="shared" si="29"/>
        <v>33.833989000000003</v>
      </c>
      <c r="AH17" s="292">
        <f t="shared" si="29"/>
        <v>34.538110000000003</v>
      </c>
      <c r="AI17" s="292">
        <f t="shared" si="29"/>
        <v>34.402577999999998</v>
      </c>
      <c r="AJ17" s="292">
        <f t="shared" si="29"/>
        <v>33.381672000000002</v>
      </c>
      <c r="AK17" s="292">
        <f t="shared" si="29"/>
        <v>32.134466000000003</v>
      </c>
      <c r="AL17" s="292">
        <f t="shared" si="29"/>
        <v>32.508702999999997</v>
      </c>
      <c r="AM17" s="292">
        <f t="shared" si="29"/>
        <v>32.914285</v>
      </c>
      <c r="AN17" s="292">
        <f>AN14</f>
        <v>31.54616</v>
      </c>
      <c r="AO17" s="292">
        <f t="shared" ref="AO17:AQ17" si="30">AO14</f>
        <v>33.044998999999997</v>
      </c>
      <c r="AP17" s="292">
        <f t="shared" si="30"/>
        <v>31.540811000000001</v>
      </c>
      <c r="AQ17" s="292">
        <f t="shared" si="30"/>
        <v>29.41929</v>
      </c>
      <c r="AR17" s="292">
        <f>AR14</f>
        <v>29.577525000000001</v>
      </c>
      <c r="AS17" s="292">
        <f t="shared" ref="AS17:AU17" si="31">AS14</f>
        <v>29.703274</v>
      </c>
      <c r="AT17" s="292">
        <f t="shared" si="31"/>
        <v>30.329552</v>
      </c>
      <c r="AU17" s="292">
        <f t="shared" si="31"/>
        <v>31.787731999999998</v>
      </c>
      <c r="AV17" s="292">
        <f>AV14</f>
        <v>32.271028999999999</v>
      </c>
      <c r="AW17" s="292">
        <f t="shared" ref="AW17:BD17" si="32">AW14</f>
        <v>30.433181000000001</v>
      </c>
      <c r="AX17" s="292">
        <f t="shared" si="32"/>
        <v>30.158078</v>
      </c>
      <c r="AY17" s="292">
        <f t="shared" si="32"/>
        <v>30.909054999999999</v>
      </c>
      <c r="AZ17" s="292">
        <f t="shared" si="32"/>
        <v>29.465765999999999</v>
      </c>
      <c r="BA17" s="292">
        <f t="shared" si="32"/>
        <v>27.950334000000002</v>
      </c>
      <c r="BB17" s="292">
        <f t="shared" si="32"/>
        <v>29.809685000000002</v>
      </c>
      <c r="BC17" s="292">
        <f t="shared" si="32"/>
        <v>31.170352999999999</v>
      </c>
      <c r="BD17" s="292">
        <f t="shared" si="32"/>
        <v>32.13555723369565</v>
      </c>
      <c r="BE17" s="292">
        <f t="shared" ref="BE17:BO17" si="33">BE14</f>
        <v>32.652999999999999</v>
      </c>
      <c r="BF17" s="292">
        <f t="shared" si="33"/>
        <v>32.652999999999999</v>
      </c>
      <c r="BG17" s="292">
        <f t="shared" si="33"/>
        <v>32.652999999999999</v>
      </c>
      <c r="BH17" s="292">
        <f t="shared" si="33"/>
        <v>32.652999999999999</v>
      </c>
      <c r="BI17" s="292">
        <f t="shared" si="33"/>
        <v>32.652999999999999</v>
      </c>
      <c r="BJ17" s="292">
        <f t="shared" si="33"/>
        <v>32.652999999999999</v>
      </c>
      <c r="BK17" s="292">
        <f t="shared" si="33"/>
        <v>32.652999999999999</v>
      </c>
      <c r="BL17" s="292">
        <f t="shared" si="33"/>
        <v>32.652999999999999</v>
      </c>
      <c r="BM17" s="292">
        <f t="shared" si="33"/>
        <v>32.652999999999999</v>
      </c>
      <c r="BN17" s="292">
        <f t="shared" si="33"/>
        <v>32.652999999999999</v>
      </c>
      <c r="BO17" s="292">
        <f t="shared" si="33"/>
        <v>32.652999999999999</v>
      </c>
      <c r="BQ17" s="285"/>
    </row>
    <row r="18" spans="1:69" ht="11.25" customHeight="1">
      <c r="A18" s="52" t="s">
        <v>313</v>
      </c>
      <c r="B18" s="18" t="s">
        <v>330</v>
      </c>
      <c r="D18" s="285"/>
      <c r="E18" s="285"/>
      <c r="F18" s="285"/>
      <c r="G18" s="285">
        <f t="shared" ref="G18:H18" si="34">1/G17</f>
        <v>3.3937688909903105E-2</v>
      </c>
      <c r="H18" s="285">
        <f t="shared" si="34"/>
        <v>3.4527791194701972E-2</v>
      </c>
      <c r="I18" s="285">
        <f t="shared" ref="I18" si="35">1/I17</f>
        <v>3.5105870881168594E-2</v>
      </c>
      <c r="J18" s="285">
        <f t="shared" ref="J18" si="36">1/J17</f>
        <v>3.5572760756073414E-2</v>
      </c>
      <c r="K18" s="285">
        <f t="shared" ref="K18" si="37">1/K17</f>
        <v>3.577774777217331E-2</v>
      </c>
      <c r="L18" s="285">
        <f t="shared" ref="L18" si="38">1/L17</f>
        <v>3.5804936140106144E-2</v>
      </c>
      <c r="M18" s="285">
        <f t="shared" ref="M18" si="39">1/M17</f>
        <v>3.5345595804449501E-2</v>
      </c>
      <c r="N18" s="285">
        <f t="shared" ref="N18" si="40">1/N17</f>
        <v>3.4568361804642712E-2</v>
      </c>
      <c r="O18" s="285">
        <f t="shared" ref="O18" si="41">1/O17</f>
        <v>3.3546144482908824E-2</v>
      </c>
      <c r="P18" s="285">
        <f t="shared" ref="P18" si="42">1/P17</f>
        <v>3.2889867194334156E-2</v>
      </c>
      <c r="Q18" s="285">
        <f t="shared" ref="Q18" si="43">1/Q17</f>
        <v>3.2548564655494112E-2</v>
      </c>
      <c r="R18" s="285">
        <f t="shared" ref="R18" si="44">1/R17</f>
        <v>3.2205414896080052E-2</v>
      </c>
      <c r="S18" s="285">
        <f t="shared" ref="S18" si="45">1/S17</f>
        <v>3.2081766927695689E-2</v>
      </c>
      <c r="T18" s="285">
        <f t="shared" ref="T18" si="46">1/T17</f>
        <v>3.1819692819685851E-2</v>
      </c>
      <c r="U18" s="285">
        <f t="shared" ref="U18:AA18" si="47">1/U17</f>
        <v>3.1410161394518195E-2</v>
      </c>
      <c r="V18" s="285">
        <f t="shared" si="47"/>
        <v>3.1260775198451218E-2</v>
      </c>
      <c r="W18" s="285">
        <f t="shared" si="47"/>
        <v>3.0535982838777644E-2</v>
      </c>
      <c r="X18" s="285">
        <f t="shared" si="47"/>
        <v>3.056561673773173E-2</v>
      </c>
      <c r="Y18" s="285">
        <f t="shared" si="47"/>
        <v>3.0595308209486079E-2</v>
      </c>
      <c r="Z18" s="285">
        <f t="shared" si="47"/>
        <v>3.0625057421982668E-2</v>
      </c>
      <c r="AA18" s="285">
        <f t="shared" si="47"/>
        <v>3.0625057421982668E-2</v>
      </c>
      <c r="AC18" s="285">
        <f>AC15</f>
        <v>3.4739175663678921E-2</v>
      </c>
      <c r="AD18" s="285">
        <f t="shared" ref="AD18:AM18" si="48">AD15</f>
        <v>2.9826646338415277E-2</v>
      </c>
      <c r="AE18" s="285">
        <f t="shared" si="48"/>
        <v>3.0941643318102615E-2</v>
      </c>
      <c r="AF18" s="285">
        <f t="shared" si="48"/>
        <v>3.1982895036008423E-2</v>
      </c>
      <c r="AG18" s="285">
        <f t="shared" si="48"/>
        <v>2.955607746990755E-2</v>
      </c>
      <c r="AH18" s="285">
        <f t="shared" si="48"/>
        <v>2.8953524092661699E-2</v>
      </c>
      <c r="AI18" s="285">
        <f t="shared" si="48"/>
        <v>2.9067589062656874E-2</v>
      </c>
      <c r="AJ18" s="285">
        <f t="shared" si="48"/>
        <v>2.995655819756422E-2</v>
      </c>
      <c r="AK18" s="285">
        <f t="shared" si="48"/>
        <v>3.1119235029454042E-2</v>
      </c>
      <c r="AL18" s="285">
        <f t="shared" si="48"/>
        <v>3.0760993448431334E-2</v>
      </c>
      <c r="AM18" s="285">
        <f t="shared" si="48"/>
        <v>3.038194510377485E-2</v>
      </c>
      <c r="AN18" s="285">
        <f>AN15</f>
        <v>3.1699579283183753E-2</v>
      </c>
      <c r="AO18" s="285">
        <f t="shared" ref="AO18:AQ18" si="49">AO15</f>
        <v>3.0261765176630814E-2</v>
      </c>
      <c r="AP18" s="285">
        <f t="shared" si="49"/>
        <v>3.1704955208666001E-2</v>
      </c>
      <c r="AQ18" s="285">
        <f t="shared" si="49"/>
        <v>3.39913029852182E-2</v>
      </c>
      <c r="AR18" s="285">
        <f>AR15</f>
        <v>3.3809454983133307E-2</v>
      </c>
      <c r="AS18" s="285">
        <f t="shared" ref="AS18:AU18" si="50">AS15</f>
        <v>3.3666322439741825E-2</v>
      </c>
      <c r="AT18" s="285">
        <f t="shared" si="50"/>
        <v>3.2971143127996087E-2</v>
      </c>
      <c r="AU18" s="285">
        <f t="shared" si="50"/>
        <v>3.1458677202890729E-2</v>
      </c>
      <c r="AV18" s="285">
        <f>AV15</f>
        <v>3.098754613619541E-2</v>
      </c>
      <c r="AW18" s="285">
        <f t="shared" ref="AW18:BE18" si="51">AW15</f>
        <v>3.2858872031812904E-2</v>
      </c>
      <c r="AX18" s="285">
        <f t="shared" si="51"/>
        <v>3.3158611765643685E-2</v>
      </c>
      <c r="AY18" s="285">
        <f t="shared" si="51"/>
        <v>3.2352978763019444E-2</v>
      </c>
      <c r="AZ18" s="285">
        <f t="shared" si="51"/>
        <v>3.3937688909903105E-2</v>
      </c>
      <c r="BA18" s="285">
        <f t="shared" si="51"/>
        <v>3.577774777217331E-2</v>
      </c>
      <c r="BB18" s="285">
        <f t="shared" si="51"/>
        <v>3.3546144482908824E-2</v>
      </c>
      <c r="BC18" s="285">
        <f t="shared" si="51"/>
        <v>3.2081766927695689E-2</v>
      </c>
      <c r="BD18" s="285">
        <f t="shared" si="51"/>
        <v>3.1118178307219541E-2</v>
      </c>
      <c r="BE18" s="285">
        <f t="shared" si="51"/>
        <v>3.0625057421982668E-2</v>
      </c>
      <c r="BF18" s="285">
        <f t="shared" ref="BF18:BO18" si="52">BF15</f>
        <v>3.0625057421982668E-2</v>
      </c>
      <c r="BG18" s="285">
        <f t="shared" si="52"/>
        <v>3.0625057421982668E-2</v>
      </c>
      <c r="BH18" s="285">
        <f t="shared" si="52"/>
        <v>3.0625057421982668E-2</v>
      </c>
      <c r="BI18" s="285">
        <f t="shared" si="52"/>
        <v>3.0625057421982668E-2</v>
      </c>
      <c r="BJ18" s="285">
        <f t="shared" si="52"/>
        <v>3.0625057421982668E-2</v>
      </c>
      <c r="BK18" s="285">
        <f t="shared" si="52"/>
        <v>3.0625057421982668E-2</v>
      </c>
      <c r="BL18" s="285">
        <f t="shared" si="52"/>
        <v>3.0625057421982668E-2</v>
      </c>
      <c r="BM18" s="285">
        <f t="shared" si="52"/>
        <v>3.0625057421982668E-2</v>
      </c>
      <c r="BN18" s="285">
        <f t="shared" si="52"/>
        <v>3.0625057421982668E-2</v>
      </c>
      <c r="BO18" s="285">
        <f t="shared" si="52"/>
        <v>3.0625057421982668E-2</v>
      </c>
      <c r="BQ18" s="285"/>
    </row>
    <row r="19" spans="1:69" ht="11.25" customHeight="1">
      <c r="D19" s="266"/>
      <c r="E19" s="266"/>
      <c r="F19" s="266"/>
      <c r="G19" s="266"/>
      <c r="H19" s="266"/>
      <c r="I19" s="266"/>
      <c r="J19" s="266"/>
      <c r="K19" s="266"/>
      <c r="L19" s="266"/>
      <c r="M19" s="266"/>
      <c r="N19" s="266"/>
      <c r="O19" s="266"/>
      <c r="P19" s="266"/>
      <c r="Q19" s="266"/>
      <c r="R19" s="266"/>
      <c r="S19" s="266"/>
      <c r="AR19" s="266"/>
      <c r="AS19" s="266"/>
      <c r="AT19" s="266"/>
      <c r="AU19" s="266"/>
      <c r="AV19" s="266"/>
      <c r="AW19" s="266"/>
      <c r="AX19" s="266"/>
      <c r="AY19" s="266"/>
      <c r="AZ19" s="266"/>
      <c r="BA19" s="266"/>
      <c r="BB19" s="266"/>
    </row>
    <row r="20" spans="1:69" ht="11.25" customHeight="1">
      <c r="B20" s="11" t="s">
        <v>315</v>
      </c>
      <c r="C20" s="281"/>
      <c r="D20" s="266"/>
      <c r="E20" s="266"/>
      <c r="F20" s="266"/>
      <c r="G20" s="266"/>
      <c r="H20" s="266"/>
      <c r="I20" s="266"/>
      <c r="J20" s="266"/>
      <c r="K20" s="266"/>
      <c r="L20" s="266"/>
      <c r="M20" s="266"/>
      <c r="N20" s="266"/>
      <c r="O20" s="266"/>
      <c r="P20" s="266"/>
      <c r="Q20" s="266"/>
      <c r="R20" s="266"/>
      <c r="S20" s="266"/>
      <c r="AR20" s="266"/>
      <c r="AS20" s="266"/>
      <c r="AT20" s="266"/>
      <c r="AU20" s="266"/>
      <c r="AV20" s="266"/>
      <c r="AW20" s="266"/>
      <c r="AX20" s="266"/>
      <c r="AY20" s="266"/>
      <c r="AZ20" s="266"/>
      <c r="BA20" s="266"/>
      <c r="BB20" s="266"/>
    </row>
    <row r="21" spans="1:69" ht="11.25" customHeight="1">
      <c r="D21" s="266"/>
      <c r="E21" s="266"/>
      <c r="F21" s="266"/>
      <c r="G21" s="266"/>
      <c r="H21" s="266"/>
      <c r="I21" s="266"/>
      <c r="J21" s="266"/>
      <c r="K21" s="266"/>
      <c r="L21" s="266"/>
      <c r="M21" s="266"/>
      <c r="N21" s="266"/>
      <c r="O21" s="266"/>
      <c r="P21" s="266"/>
      <c r="Q21" s="266"/>
      <c r="R21" s="266"/>
      <c r="S21" s="266"/>
      <c r="AR21" s="266"/>
      <c r="AS21" s="266"/>
      <c r="AT21" s="266"/>
      <c r="AU21" s="266"/>
      <c r="AV21" s="266"/>
      <c r="AW21" s="266"/>
      <c r="AX21" s="266"/>
      <c r="AY21" s="266"/>
      <c r="AZ21" s="266"/>
      <c r="BA21" s="266"/>
      <c r="BB21" s="266"/>
    </row>
    <row r="22" spans="1:69" ht="11.25" customHeight="1">
      <c r="A22" s="52" t="s">
        <v>314</v>
      </c>
      <c r="B22" s="18" t="s">
        <v>313</v>
      </c>
      <c r="D22" s="283">
        <f>_xll.ciqfunctions.udf.CIQ("$"&amp;$A22,"IQ_LASTSALEPRICE",$BO$2)</f>
        <v>32.78</v>
      </c>
      <c r="E22" s="283">
        <f>_xll.ciqfunctions.udf.CIQ("$"&amp;$A22,"IQ_LASTSALEPRICE",$BO$2)</f>
        <v>32.78</v>
      </c>
      <c r="F22" s="283">
        <f>_xll.ciqfunctions.udf.CIQ("$"&amp;$A22,"IQ_LASTSALEPRICE",$BO$2)</f>
        <v>32.78</v>
      </c>
      <c r="G22" s="283">
        <f>_xll.ciqfunctions.udf.CIQ("$"&amp;$A22,"IQ_LASTSALEPRICE",$BO$2)</f>
        <v>32.78</v>
      </c>
      <c r="H22" s="283">
        <f>_xll.ciqfunctions.udf.CIQ("$"&amp;$A22,"IQ_LASTSALEPRICE",$BO$2)</f>
        <v>32.78</v>
      </c>
      <c r="I22" s="283">
        <f>_xll.ciqfunctions.udf.CIQ("$"&amp;$A22,"IQ_LASTSALEPRICE",$BO$2)</f>
        <v>32.78</v>
      </c>
      <c r="J22" s="283">
        <f>_xll.ciqfunctions.udf.CIQ("$"&amp;$A22,"IQ_LASTSALEPRICE",$BO$2)</f>
        <v>32.78</v>
      </c>
      <c r="K22" s="283">
        <f>_xll.ciqfunctions.udf.CIQ("$"&amp;$A22,"IQ_LASTSALEPRICE",$BO$2)</f>
        <v>32.78</v>
      </c>
      <c r="L22" s="283">
        <f>_xll.ciqfunctions.udf.CIQ("$"&amp;$A22,"IQ_LASTSALEPRICE",$BO$2)</f>
        <v>32.78</v>
      </c>
      <c r="M22" s="283">
        <f>_xll.ciqfunctions.udf.CIQ("$"&amp;$A22,"IQ_LASTSALEPRICE",$BO$2)</f>
        <v>32.78</v>
      </c>
      <c r="N22" s="283">
        <f>_xll.ciqfunctions.udf.CIQ("$"&amp;$A22,"IQ_LASTSALEPRICE",$BO$2)</f>
        <v>32.78</v>
      </c>
      <c r="O22" s="283">
        <f>_xll.ciqfunctions.udf.CIQ("$"&amp;$A22,"IQ_LASTSALEPRICE",$BO$2)</f>
        <v>32.78</v>
      </c>
      <c r="P22" s="283">
        <f>_xll.ciqfunctions.udf.CIQ("$"&amp;$A22,"IQ_LASTSALEPRICE",$BO$2)</f>
        <v>32.78</v>
      </c>
      <c r="Q22" s="283">
        <f>_xll.ciqfunctions.udf.CIQ("$"&amp;$A22,"IQ_LASTSALEPRICE",$BO$2)</f>
        <v>32.78</v>
      </c>
      <c r="R22" s="283">
        <f>_xll.ciqfunctions.udf.CIQ("$"&amp;$A22,"IQ_LASTSALEPRICE",$BO$2)</f>
        <v>32.78</v>
      </c>
      <c r="S22" s="283">
        <f>_xll.ciqfunctions.udf.CIQ("$"&amp;$A22,"IQ_LASTSALEPRICE",$BO$2)</f>
        <v>32.78</v>
      </c>
      <c r="T22" s="283">
        <f>_xll.ciqfunctions.udf.CIQ("$"&amp;$A22,"IQ_LASTSALEPRICE",$BO$2)</f>
        <v>32.78</v>
      </c>
      <c r="U22" s="283">
        <f>_xll.ciqfunctions.udf.CIQ("$"&amp;$A22,"IQ_LASTSALEPRICE",$BO$2)</f>
        <v>32.78</v>
      </c>
      <c r="V22" s="283">
        <f>_xll.ciqfunctions.udf.CIQ("$"&amp;$A22,"IQ_LASTSALEPRICE",$BO$2)</f>
        <v>32.78</v>
      </c>
      <c r="W22" s="283">
        <f>_xll.ciqfunctions.udf.CIQ("$"&amp;$A22,"IQ_LASTSALEPRICE",$BQ$2)</f>
        <v>32.652999999999999</v>
      </c>
      <c r="X22" s="284">
        <f t="shared" ref="X22:AA22" si="53">W22</f>
        <v>32.652999999999999</v>
      </c>
      <c r="Y22" s="284">
        <f t="shared" si="53"/>
        <v>32.652999999999999</v>
      </c>
      <c r="Z22" s="284">
        <f t="shared" si="53"/>
        <v>32.652999999999999</v>
      </c>
      <c r="AA22" s="284">
        <f t="shared" si="53"/>
        <v>32.652999999999999</v>
      </c>
      <c r="AC22" s="283">
        <f>_xll.ciqfunctions.udf.CIQ("$"&amp;$A22,"IQ_LASTSALEPRICE",$BO$2)</f>
        <v>32.78</v>
      </c>
      <c r="AD22" s="283">
        <f>_xll.ciqfunctions.udf.CIQ("$"&amp;$A22,"IQ_LASTSALEPRICE",$BO$2)</f>
        <v>32.78</v>
      </c>
      <c r="AE22" s="283">
        <f>_xll.ciqfunctions.udf.CIQ("$"&amp;$A22,"IQ_LASTSALEPRICE",$BO$2)</f>
        <v>32.78</v>
      </c>
      <c r="AF22" s="283">
        <f>_xll.ciqfunctions.udf.CIQ("$"&amp;$A22,"IQ_LASTSALEPRICE",$BO$2)</f>
        <v>32.78</v>
      </c>
      <c r="AG22" s="283">
        <f>_xll.ciqfunctions.udf.CIQ("$"&amp;$A22,"IQ_LASTSALEPRICE",$BO$2)</f>
        <v>32.78</v>
      </c>
      <c r="AH22" s="283">
        <f>_xll.ciqfunctions.udf.CIQ("$"&amp;$A22,"IQ_LASTSALEPRICE",$BO$2)</f>
        <v>32.78</v>
      </c>
      <c r="AI22" s="283">
        <f>_xll.ciqfunctions.udf.CIQ("$"&amp;$A22,"IQ_LASTSALEPRICE",$BO$2)</f>
        <v>32.78</v>
      </c>
      <c r="AJ22" s="283">
        <f>_xll.ciqfunctions.udf.CIQ("$"&amp;$A22,"IQ_LASTSALEPRICE",$BO$2)</f>
        <v>32.78</v>
      </c>
      <c r="AK22" s="283">
        <f>_xll.ciqfunctions.udf.CIQ("$"&amp;$A22,"IQ_LASTSALEPRICE",$BO$2)</f>
        <v>32.78</v>
      </c>
      <c r="AL22" s="283">
        <f>_xll.ciqfunctions.udf.CIQ("$"&amp;$A22,"IQ_LASTSALEPRICE",$BO$2)</f>
        <v>32.78</v>
      </c>
      <c r="AM22" s="283">
        <f>_xll.ciqfunctions.udf.CIQ("$"&amp;$A22,"IQ_LASTSALEPRICE",$BO$2)</f>
        <v>32.78</v>
      </c>
      <c r="AN22" s="283">
        <f>_xll.ciqfunctions.udf.CIQ("$"&amp;$A22,"IQ_LASTSALEPRICE",$BO$2)</f>
        <v>32.78</v>
      </c>
      <c r="AO22" s="283">
        <f>_xll.ciqfunctions.udf.CIQ("$"&amp;$A22,"IQ_LASTSALEPRICE",$BO$2)</f>
        <v>32.78</v>
      </c>
      <c r="AP22" s="283">
        <f>_xll.ciqfunctions.udf.CIQ("$"&amp;$A22,"IQ_LASTSALEPRICE",$BO$2)</f>
        <v>32.78</v>
      </c>
      <c r="AQ22" s="283">
        <f>_xll.ciqfunctions.udf.CIQ("$"&amp;$A22,"IQ_LASTSALEPRICE",$BO$2)</f>
        <v>32.78</v>
      </c>
      <c r="AR22" s="283">
        <f>_xll.ciqfunctions.udf.CIQ("$"&amp;$A22,"IQ_LASTSALEPRICE",$BO$2)</f>
        <v>32.78</v>
      </c>
      <c r="AS22" s="283">
        <f>_xll.ciqfunctions.udf.CIQ("$"&amp;$A22,"IQ_LASTSALEPRICE",$BO$2)</f>
        <v>32.78</v>
      </c>
      <c r="AT22" s="283">
        <f>_xll.ciqfunctions.udf.CIQ("$"&amp;$A22,"IQ_LASTSALEPRICE",$BO$2)</f>
        <v>32.78</v>
      </c>
      <c r="AU22" s="283">
        <f>_xll.ciqfunctions.udf.CIQ("$"&amp;$A22,"IQ_LASTSALEPRICE",$BO$2)</f>
        <v>32.78</v>
      </c>
      <c r="AV22" s="283">
        <f>_xll.ciqfunctions.udf.CIQ("$"&amp;$A22,"IQ_LASTSALEPRICE",$BO$2)</f>
        <v>32.78</v>
      </c>
      <c r="AW22" s="283">
        <f>_xll.ciqfunctions.udf.CIQ("$"&amp;$A22,"IQ_LASTSALEPRICE",$BO$2)</f>
        <v>32.78</v>
      </c>
      <c r="AX22" s="283">
        <f>_xll.ciqfunctions.udf.CIQ("$"&amp;$A22,"IQ_LASTSALEPRICE",$BO$2)</f>
        <v>32.78</v>
      </c>
      <c r="AY22" s="283">
        <f>_xll.ciqfunctions.udf.CIQ("$"&amp;$A22,"IQ_LASTSALEPRICE",$BO$2)</f>
        <v>32.78</v>
      </c>
      <c r="AZ22" s="283">
        <f>_xll.ciqfunctions.udf.CIQ("$"&amp;$A22,"IQ_LASTSALEPRICE",$BO$2)</f>
        <v>32.78</v>
      </c>
      <c r="BA22" s="283">
        <f>_xll.ciqfunctions.udf.CIQ("$"&amp;$A22,"IQ_LASTSALEPRICE",$BO$2)</f>
        <v>32.78</v>
      </c>
      <c r="BB22" s="283">
        <f>_xll.ciqfunctions.udf.CIQ("$"&amp;$A22,"IQ_LASTSALEPRICE",$BO$2)</f>
        <v>32.78</v>
      </c>
      <c r="BC22" s="283">
        <f>_xll.ciqfunctions.udf.CIQ("$"&amp;$A22,"IQ_LASTSALEPRICE",$BO$2)</f>
        <v>32.78</v>
      </c>
      <c r="BD22" s="292">
        <f>W22</f>
        <v>32.652999999999999</v>
      </c>
      <c r="BE22" s="292">
        <f>AA22</f>
        <v>32.652999999999999</v>
      </c>
      <c r="BF22" s="284">
        <f t="shared" ref="BF22:BO22" si="54">BE22</f>
        <v>32.652999999999999</v>
      </c>
      <c r="BG22" s="284">
        <f t="shared" si="54"/>
        <v>32.652999999999999</v>
      </c>
      <c r="BH22" s="284">
        <f t="shared" si="54"/>
        <v>32.652999999999999</v>
      </c>
      <c r="BI22" s="284">
        <f t="shared" si="54"/>
        <v>32.652999999999999</v>
      </c>
      <c r="BJ22" s="284">
        <f t="shared" si="54"/>
        <v>32.652999999999999</v>
      </c>
      <c r="BK22" s="284">
        <f t="shared" si="54"/>
        <v>32.652999999999999</v>
      </c>
      <c r="BL22" s="284">
        <f t="shared" si="54"/>
        <v>32.652999999999999</v>
      </c>
      <c r="BM22" s="284">
        <f t="shared" si="54"/>
        <v>32.652999999999999</v>
      </c>
      <c r="BN22" s="284">
        <f t="shared" si="54"/>
        <v>32.652999999999999</v>
      </c>
      <c r="BO22" s="284">
        <f t="shared" si="54"/>
        <v>32.652999999999999</v>
      </c>
      <c r="BQ22" s="283">
        <f>_xll.ciqfunctions.udf.CIQ("$"&amp;$A22,"IQ_LASTSALEPRICE",$BQ$7)</f>
        <v>32.78</v>
      </c>
    </row>
    <row r="23" spans="1:69" ht="11.25" customHeight="1">
      <c r="A23" s="52" t="s">
        <v>313</v>
      </c>
      <c r="B23" s="18" t="s">
        <v>314</v>
      </c>
      <c r="D23" s="285">
        <f>1/D22</f>
        <v>3.0506406345332519E-2</v>
      </c>
      <c r="E23" s="285">
        <f t="shared" ref="E23:AA23" si="55">1/E22</f>
        <v>3.0506406345332519E-2</v>
      </c>
      <c r="F23" s="285">
        <f t="shared" si="55"/>
        <v>3.0506406345332519E-2</v>
      </c>
      <c r="G23" s="285">
        <f t="shared" si="55"/>
        <v>3.0506406345332519E-2</v>
      </c>
      <c r="H23" s="285">
        <f t="shared" si="55"/>
        <v>3.0506406345332519E-2</v>
      </c>
      <c r="I23" s="285">
        <f t="shared" si="55"/>
        <v>3.0506406345332519E-2</v>
      </c>
      <c r="J23" s="285">
        <f t="shared" si="55"/>
        <v>3.0506406345332519E-2</v>
      </c>
      <c r="K23" s="285">
        <f t="shared" si="55"/>
        <v>3.0506406345332519E-2</v>
      </c>
      <c r="L23" s="285">
        <f t="shared" si="55"/>
        <v>3.0506406345332519E-2</v>
      </c>
      <c r="M23" s="285">
        <f t="shared" si="55"/>
        <v>3.0506406345332519E-2</v>
      </c>
      <c r="N23" s="285">
        <f t="shared" si="55"/>
        <v>3.0506406345332519E-2</v>
      </c>
      <c r="O23" s="285">
        <f t="shared" si="55"/>
        <v>3.0506406345332519E-2</v>
      </c>
      <c r="P23" s="285">
        <f t="shared" si="55"/>
        <v>3.0506406345332519E-2</v>
      </c>
      <c r="Q23" s="285">
        <f t="shared" si="55"/>
        <v>3.0506406345332519E-2</v>
      </c>
      <c r="R23" s="285">
        <f t="shared" si="55"/>
        <v>3.0506406345332519E-2</v>
      </c>
      <c r="S23" s="285">
        <f t="shared" si="55"/>
        <v>3.0506406345332519E-2</v>
      </c>
      <c r="T23" s="285">
        <f t="shared" si="55"/>
        <v>3.0506406345332519E-2</v>
      </c>
      <c r="U23" s="285">
        <f t="shared" si="55"/>
        <v>3.0506406345332519E-2</v>
      </c>
      <c r="V23" s="285">
        <f t="shared" si="55"/>
        <v>3.0506406345332519E-2</v>
      </c>
      <c r="W23" s="285">
        <f t="shared" si="55"/>
        <v>3.0625057421982668E-2</v>
      </c>
      <c r="X23" s="285">
        <f t="shared" si="55"/>
        <v>3.0625057421982668E-2</v>
      </c>
      <c r="Y23" s="285">
        <f t="shared" si="55"/>
        <v>3.0625057421982668E-2</v>
      </c>
      <c r="Z23" s="285">
        <f t="shared" si="55"/>
        <v>3.0625057421982668E-2</v>
      </c>
      <c r="AA23" s="285">
        <f t="shared" si="55"/>
        <v>3.0625057421982668E-2</v>
      </c>
      <c r="AC23" s="285">
        <f>1/AC22</f>
        <v>3.0506406345332519E-2</v>
      </c>
      <c r="AD23" s="285">
        <f t="shared" ref="AD23:AM23" si="56">1/AD22</f>
        <v>3.0506406345332519E-2</v>
      </c>
      <c r="AE23" s="285">
        <f t="shared" si="56"/>
        <v>3.0506406345332519E-2</v>
      </c>
      <c r="AF23" s="285">
        <f t="shared" si="56"/>
        <v>3.0506406345332519E-2</v>
      </c>
      <c r="AG23" s="285">
        <f t="shared" si="56"/>
        <v>3.0506406345332519E-2</v>
      </c>
      <c r="AH23" s="285">
        <f t="shared" si="56"/>
        <v>3.0506406345332519E-2</v>
      </c>
      <c r="AI23" s="285">
        <f t="shared" si="56"/>
        <v>3.0506406345332519E-2</v>
      </c>
      <c r="AJ23" s="285">
        <f t="shared" si="56"/>
        <v>3.0506406345332519E-2</v>
      </c>
      <c r="AK23" s="285">
        <f t="shared" si="56"/>
        <v>3.0506406345332519E-2</v>
      </c>
      <c r="AL23" s="285">
        <f t="shared" si="56"/>
        <v>3.0506406345332519E-2</v>
      </c>
      <c r="AM23" s="285">
        <f t="shared" si="56"/>
        <v>3.0506406345332519E-2</v>
      </c>
      <c r="AN23" s="285">
        <f>1/AN22</f>
        <v>3.0506406345332519E-2</v>
      </c>
      <c r="AO23" s="285">
        <f t="shared" ref="AO23:AQ23" si="57">1/AO22</f>
        <v>3.0506406345332519E-2</v>
      </c>
      <c r="AP23" s="285">
        <f t="shared" si="57"/>
        <v>3.0506406345332519E-2</v>
      </c>
      <c r="AQ23" s="285">
        <f t="shared" si="57"/>
        <v>3.0506406345332519E-2</v>
      </c>
      <c r="AR23" s="285">
        <f>1/AR22</f>
        <v>3.0506406345332519E-2</v>
      </c>
      <c r="AS23" s="285">
        <f t="shared" ref="AS23:AU23" si="58">1/AS22</f>
        <v>3.0506406345332519E-2</v>
      </c>
      <c r="AT23" s="285">
        <f t="shared" si="58"/>
        <v>3.0506406345332519E-2</v>
      </c>
      <c r="AU23" s="285">
        <f t="shared" si="58"/>
        <v>3.0506406345332519E-2</v>
      </c>
      <c r="AV23" s="285">
        <f>1/AV22</f>
        <v>3.0506406345332519E-2</v>
      </c>
      <c r="AW23" s="285">
        <f t="shared" ref="AW23:BC23" si="59">1/AW22</f>
        <v>3.0506406345332519E-2</v>
      </c>
      <c r="AX23" s="285">
        <f t="shared" si="59"/>
        <v>3.0506406345332519E-2</v>
      </c>
      <c r="AY23" s="285">
        <f t="shared" si="59"/>
        <v>3.0506406345332519E-2</v>
      </c>
      <c r="AZ23" s="285">
        <f t="shared" si="59"/>
        <v>3.0506406345332519E-2</v>
      </c>
      <c r="BA23" s="285">
        <f t="shared" si="59"/>
        <v>3.0506406345332519E-2</v>
      </c>
      <c r="BB23" s="285">
        <f t="shared" si="59"/>
        <v>3.0506406345332519E-2</v>
      </c>
      <c r="BC23" s="285">
        <f t="shared" si="59"/>
        <v>3.0506406345332519E-2</v>
      </c>
      <c r="BD23" s="285">
        <f>W23</f>
        <v>3.0625057421982668E-2</v>
      </c>
      <c r="BE23" s="285">
        <f>AA23</f>
        <v>3.0625057421982668E-2</v>
      </c>
      <c r="BF23" s="282">
        <f t="shared" ref="BF23:BO23" si="60">BE23</f>
        <v>3.0625057421982668E-2</v>
      </c>
      <c r="BG23" s="282">
        <f t="shared" si="60"/>
        <v>3.0625057421982668E-2</v>
      </c>
      <c r="BH23" s="282">
        <f t="shared" si="60"/>
        <v>3.0625057421982668E-2</v>
      </c>
      <c r="BI23" s="282">
        <f t="shared" si="60"/>
        <v>3.0625057421982668E-2</v>
      </c>
      <c r="BJ23" s="282">
        <f t="shared" si="60"/>
        <v>3.0625057421982668E-2</v>
      </c>
      <c r="BK23" s="282">
        <f t="shared" si="60"/>
        <v>3.0625057421982668E-2</v>
      </c>
      <c r="BL23" s="282">
        <f t="shared" si="60"/>
        <v>3.0625057421982668E-2</v>
      </c>
      <c r="BM23" s="282">
        <f t="shared" si="60"/>
        <v>3.0625057421982668E-2</v>
      </c>
      <c r="BN23" s="282">
        <f t="shared" si="60"/>
        <v>3.0625057421982668E-2</v>
      </c>
      <c r="BO23" s="282">
        <f t="shared" si="60"/>
        <v>3.0625057421982668E-2</v>
      </c>
      <c r="BQ23" s="285">
        <f>1/BQ22</f>
        <v>3.0506406345332519E-2</v>
      </c>
    </row>
  </sheetData>
  <phoneticPr fontId="89" type="noConversion"/>
  <pageMargins left="0.3" right="0.3" top="0.3" bottom="0.5" header="0.3" footer="0.3"/>
  <pageSetup scale="24" orientation="landscape" r:id="rId1"/>
  <headerFooter>
    <oddFooter>Page &amp;P of &amp;N</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0E1CD-1E6F-49F3-9386-F9E0A5FA0849}">
  <sheetPr>
    <tabColor theme="1"/>
  </sheetPr>
  <dimension ref="A1:AE8"/>
  <sheetViews>
    <sheetView view="pageBreakPreview" zoomScaleNormal="100" zoomScaleSheetLayoutView="100" workbookViewId="0">
      <pane xSplit="3" ySplit="6" topLeftCell="D7" activePane="bottomRight" state="frozen"/>
      <selection pane="topRight"/>
      <selection pane="bottomLeft"/>
      <selection pane="bottomRight"/>
    </sheetView>
  </sheetViews>
  <sheetFormatPr defaultRowHeight="11.25" customHeight="1"/>
  <cols>
    <col min="1" max="1" width="2.7109375" customWidth="1"/>
    <col min="2" max="2" width="22.140625" customWidth="1"/>
    <col min="3" max="3" width="2.42578125" customWidth="1"/>
    <col min="4" max="23" width="9" customWidth="1"/>
    <col min="24" max="24" width="9" customWidth="1" collapsed="1"/>
    <col min="25" max="31" width="9" customWidth="1"/>
  </cols>
  <sheetData>
    <row r="1" spans="1:31" ht="11.2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row>
    <row r="2" spans="1:31" ht="11.25" customHeight="1">
      <c r="A2" s="2"/>
      <c r="B2" s="55" t="s">
        <v>114</v>
      </c>
      <c r="C2" s="2"/>
      <c r="D2" s="3"/>
      <c r="E2" s="3"/>
      <c r="F2" s="3"/>
      <c r="G2" s="3"/>
      <c r="H2" s="3"/>
      <c r="I2" s="3"/>
      <c r="J2" s="3"/>
      <c r="K2" s="3"/>
      <c r="L2" s="3"/>
      <c r="M2" s="3"/>
      <c r="N2" s="3"/>
      <c r="O2" s="3"/>
      <c r="P2" s="3"/>
      <c r="Q2" s="3"/>
      <c r="R2" s="3"/>
      <c r="S2" s="3"/>
      <c r="T2" s="3"/>
      <c r="U2" s="3"/>
      <c r="V2" s="3"/>
      <c r="W2" s="3"/>
      <c r="X2" s="3"/>
      <c r="Y2" s="3"/>
      <c r="Z2" s="3"/>
      <c r="AA2" s="3"/>
      <c r="AB2" s="3"/>
      <c r="AC2" s="3"/>
      <c r="AD2" s="3"/>
      <c r="AE2" s="62">
        <f ca="1">TODAY()</f>
        <v>45796</v>
      </c>
    </row>
    <row r="3" spans="1:31" ht="11.25" customHeight="1">
      <c r="A3" s="2"/>
      <c r="B3" s="5" t="s">
        <v>767</v>
      </c>
      <c r="C3" s="2"/>
      <c r="D3" s="2"/>
      <c r="E3" s="2"/>
      <c r="F3" s="2"/>
      <c r="G3" s="2"/>
      <c r="H3" s="2"/>
      <c r="I3" s="2"/>
      <c r="J3" s="2"/>
      <c r="K3" s="2"/>
      <c r="L3" s="2"/>
      <c r="M3" s="2"/>
      <c r="N3" s="2"/>
      <c r="O3" s="2"/>
      <c r="P3" s="2"/>
      <c r="Q3" s="2"/>
      <c r="R3" s="2"/>
      <c r="S3" s="2"/>
      <c r="T3" s="2"/>
      <c r="U3" s="2"/>
      <c r="V3" s="2"/>
      <c r="W3" s="2"/>
      <c r="X3" s="2"/>
      <c r="Y3" s="2"/>
      <c r="Z3" s="2"/>
      <c r="AA3" s="2"/>
      <c r="AB3" s="2"/>
      <c r="AC3" s="2"/>
      <c r="AD3" s="2"/>
      <c r="AE3" s="2"/>
    </row>
    <row r="4" spans="1:31" ht="11.25" customHeight="1">
      <c r="A4" s="2"/>
      <c r="B4" s="7" t="s">
        <v>303</v>
      </c>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row>
    <row r="5" spans="1:31" ht="11.25" customHeight="1">
      <c r="A5" s="2"/>
      <c r="B5" s="6"/>
      <c r="C5" s="2"/>
      <c r="D5" s="2"/>
      <c r="E5" s="2"/>
      <c r="F5" s="2"/>
      <c r="G5" s="2"/>
      <c r="H5" s="2"/>
      <c r="I5" s="2"/>
      <c r="J5" s="2"/>
      <c r="K5" s="2"/>
      <c r="L5" s="2"/>
      <c r="M5" s="2"/>
      <c r="N5" s="2"/>
      <c r="O5" s="2"/>
      <c r="P5" s="2"/>
      <c r="Q5" s="2"/>
      <c r="R5" s="2"/>
      <c r="S5" s="2"/>
      <c r="T5" s="2"/>
      <c r="U5" s="2"/>
      <c r="V5" s="2"/>
      <c r="W5" s="2"/>
      <c r="X5" s="2"/>
      <c r="Y5" s="2"/>
      <c r="Z5" s="2"/>
      <c r="AA5" s="2"/>
      <c r="AB5" s="2"/>
      <c r="AC5" s="2"/>
      <c r="AD5" s="2"/>
      <c r="AE5" s="2"/>
    </row>
    <row r="6" spans="1:31" ht="13.5" customHeight="1">
      <c r="A6" s="2"/>
      <c r="B6" s="198" t="s">
        <v>108</v>
      </c>
      <c r="C6" s="2"/>
      <c r="D6" s="8" t="s">
        <v>158</v>
      </c>
      <c r="E6" s="8" t="s">
        <v>159</v>
      </c>
      <c r="F6" s="8" t="s">
        <v>160</v>
      </c>
      <c r="G6" s="8" t="s">
        <v>161</v>
      </c>
      <c r="H6" s="8" t="s">
        <v>162</v>
      </c>
      <c r="I6" s="8" t="s">
        <v>163</v>
      </c>
      <c r="J6" s="8" t="s">
        <v>164</v>
      </c>
      <c r="K6" s="8" t="s">
        <v>165</v>
      </c>
      <c r="L6" s="8" t="s">
        <v>166</v>
      </c>
      <c r="M6" s="8" t="s">
        <v>167</v>
      </c>
      <c r="N6" s="8" t="s">
        <v>168</v>
      </c>
      <c r="O6" s="8" t="s">
        <v>169</v>
      </c>
      <c r="P6" s="8" t="s">
        <v>170</v>
      </c>
      <c r="Q6" s="8" t="s">
        <v>171</v>
      </c>
      <c r="R6" s="8" t="s">
        <v>172</v>
      </c>
      <c r="S6" s="8" t="s">
        <v>153</v>
      </c>
      <c r="T6" s="8" t="s">
        <v>152</v>
      </c>
      <c r="U6" s="8" t="s">
        <v>151</v>
      </c>
      <c r="V6" s="8" t="s">
        <v>150</v>
      </c>
      <c r="W6" s="8" t="s">
        <v>10</v>
      </c>
      <c r="X6" s="8" t="s">
        <v>11</v>
      </c>
      <c r="Y6" s="8" t="s">
        <v>1</v>
      </c>
      <c r="Z6" s="8" t="s">
        <v>2</v>
      </c>
      <c r="AA6" s="8" t="s">
        <v>3</v>
      </c>
      <c r="AB6" s="8" t="s">
        <v>4</v>
      </c>
      <c r="AC6" s="8" t="s">
        <v>5</v>
      </c>
      <c r="AD6" s="8" t="s">
        <v>68</v>
      </c>
      <c r="AE6" s="8" t="s">
        <v>6</v>
      </c>
    </row>
    <row r="7" spans="1:31" s="54" customFormat="1" ht="11.25" customHeight="1">
      <c r="A7" s="18"/>
      <c r="B7" s="13" t="s">
        <v>546</v>
      </c>
      <c r="C7" s="18"/>
      <c r="D7" s="535"/>
      <c r="E7" s="536">
        <f>'Historical Financials'!AD536</f>
        <v>0.13262194389884308</v>
      </c>
      <c r="F7" s="536">
        <f>'Historical Financials'!AE536</f>
        <v>0.19474357063866157</v>
      </c>
      <c r="G7" s="536">
        <f>'Historical Financials'!AF536</f>
        <v>0.27656641632281048</v>
      </c>
      <c r="H7" s="536">
        <f>'Historical Financials'!AG536</f>
        <v>4.1987178434007746E-2</v>
      </c>
      <c r="I7" s="536">
        <f>'Historical Financials'!AH536</f>
        <v>0.10437003470851287</v>
      </c>
      <c r="J7" s="536">
        <f>'Historical Financials'!AI536</f>
        <v>0.18318547256824244</v>
      </c>
      <c r="K7" s="536">
        <f>'Historical Financials'!AJ536</f>
        <v>0.30782879150010961</v>
      </c>
      <c r="L7" s="536">
        <f>'Historical Financials'!AK536</f>
        <v>0.29306228958940744</v>
      </c>
      <c r="M7" s="536">
        <f>'Historical Financials'!AL536</f>
        <v>0.41259590305706445</v>
      </c>
      <c r="N7" s="536">
        <f>'Historical Financials'!AM536</f>
        <v>0.35646950903362185</v>
      </c>
      <c r="O7" s="536">
        <f>'Historical Financials'!AN536</f>
        <v>0.35746986570278</v>
      </c>
      <c r="P7" s="536">
        <f>'Historical Financials'!AO536</f>
        <v>0.3178265505198784</v>
      </c>
      <c r="Q7" s="536">
        <f>'Historical Financials'!AP536</f>
        <v>0.41838777127521859</v>
      </c>
      <c r="R7" s="536">
        <f>'Historical Financials'!AQ536</f>
        <v>0.28675260378948475</v>
      </c>
      <c r="S7" s="536">
        <f>'Historical Financials'!AR536</f>
        <v>0.29844769377883235</v>
      </c>
      <c r="T7" s="536">
        <f>'Historical Financials'!AS536</f>
        <v>0.27554145147083103</v>
      </c>
      <c r="U7" s="536">
        <f>'Historical Financials'!AT536</f>
        <v>0.34117850553505541</v>
      </c>
      <c r="V7" s="536">
        <f>'Historical Financials'!AU536</f>
        <v>0.35495222726844228</v>
      </c>
      <c r="W7" s="536">
        <f>'Historical Financials'!AV536</f>
        <v>0.38521722601565195</v>
      </c>
      <c r="X7" s="536">
        <f>'Historical Financials'!AW536</f>
        <v>0.35546956751828007</v>
      </c>
      <c r="Y7" s="536">
        <f>'Historical Financials'!AX536</f>
        <v>0.33185342685096841</v>
      </c>
      <c r="Z7" s="536">
        <f>'Historical Financials'!AY536</f>
        <v>0.27885116161969481</v>
      </c>
      <c r="AA7" s="536">
        <f>'Historical Financials'!AZ536</f>
        <v>0.35599706111886642</v>
      </c>
      <c r="AB7" s="536">
        <f>'Historical Financials'!BA536</f>
        <v>0.33512995919802591</v>
      </c>
      <c r="AC7" s="536">
        <f>'Historical Financials'!BB536</f>
        <v>0.45381435602440279</v>
      </c>
      <c r="AD7" s="536">
        <f>'Historical Financials'!BC536</f>
        <v>0.31148465860326002</v>
      </c>
      <c r="AE7" s="536">
        <f ca="1">'Historical Financials'!BD536</f>
        <v>0.38906200338139924</v>
      </c>
    </row>
    <row r="8" spans="1:31" ht="11.25" customHeight="1">
      <c r="B8" s="13" t="s">
        <v>69</v>
      </c>
      <c r="E8" s="536">
        <f>'Historical Financials'!AD485</f>
        <v>0.81539804053786047</v>
      </c>
      <c r="F8" s="536">
        <f>'Historical Financials'!AE485</f>
        <v>0.52670836355673567</v>
      </c>
      <c r="G8" s="536">
        <f>'Historical Financials'!AF485</f>
        <v>0.6243276092371749</v>
      </c>
      <c r="H8" s="536">
        <f>'Historical Financials'!AG485</f>
        <v>0.55765976883663648</v>
      </c>
      <c r="I8" s="536">
        <f>'Historical Financials'!AH485</f>
        <v>0.34032445887579255</v>
      </c>
      <c r="J8" s="536">
        <f>'Historical Financials'!AI485</f>
        <v>0.186559407281881</v>
      </c>
      <c r="K8" s="536">
        <f>'Historical Financials'!AJ485</f>
        <v>0.31528344212773068</v>
      </c>
      <c r="L8" s="536">
        <f>'Historical Financials'!AK485</f>
        <v>0.29966049556393376</v>
      </c>
      <c r="M8" s="536">
        <f>'Historical Financials'!AL485</f>
        <v>0.24806321221649175</v>
      </c>
      <c r="N8" s="536">
        <f>'Historical Financials'!AM485</f>
        <v>0.26036326442054369</v>
      </c>
      <c r="O8" s="536">
        <f>'Historical Financials'!AN485</f>
        <v>0.17776250307661828</v>
      </c>
      <c r="P8" s="536">
        <f>'Historical Financials'!AO485</f>
        <v>0.2968296691034753</v>
      </c>
      <c r="Q8" s="536">
        <f>'Historical Financials'!AP485</f>
        <v>0.44559491631270587</v>
      </c>
      <c r="R8" s="536">
        <f>'Historical Financials'!AQ485</f>
        <v>0.50098927369749524</v>
      </c>
      <c r="S8" s="536">
        <f>'Historical Financials'!AR485</f>
        <v>0.48572161540814413</v>
      </c>
      <c r="T8" s="536">
        <f>'Historical Financials'!AS485</f>
        <v>0.48171430294259532</v>
      </c>
      <c r="U8" s="536">
        <f>'Historical Financials'!AT485</f>
        <v>0.37826131414802716</v>
      </c>
      <c r="V8" s="536">
        <f>'Historical Financials'!AU485</f>
        <v>0.30529687716731657</v>
      </c>
      <c r="W8" s="536">
        <f>'Historical Financials'!AV485</f>
        <v>0.34606166226061202</v>
      </c>
      <c r="X8" s="536">
        <f>'Historical Financials'!AW485</f>
        <v>0.33821578049756157</v>
      </c>
      <c r="Y8" s="536">
        <f>'Historical Financials'!AX485</f>
        <v>0.30595258391098046</v>
      </c>
      <c r="Z8" s="536">
        <f>'Historical Financials'!AY485</f>
        <v>0.43030678675173906</v>
      </c>
      <c r="AA8" s="536">
        <f>'Historical Financials'!AZ485</f>
        <v>0.37874719271775681</v>
      </c>
      <c r="AB8" s="536">
        <f>'Historical Financials'!BA485</f>
        <v>0.5286556952276118</v>
      </c>
      <c r="AC8" s="536">
        <f>'Historical Financials'!BB485</f>
        <v>0.47823497701761553</v>
      </c>
      <c r="AD8" s="536">
        <f>'Historical Financials'!BC485</f>
        <v>0.43937696369954521</v>
      </c>
      <c r="AE8" s="536">
        <f ca="1">'Historical Financials'!BD485</f>
        <v>0.34298147479052493</v>
      </c>
    </row>
  </sheetData>
  <pageMargins left="0.3" right="0.3" top="0.3" bottom="0.5" header="0.3" footer="0.3"/>
  <pageSetup scale="47" fitToHeight="9" orientation="landscape" r:id="rId1"/>
  <headerFooter>
    <oddFooter>Page &amp;P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7B54F80F9326D4AB5846AC1C3383526" ma:contentTypeVersion="18" ma:contentTypeDescription="Create a new document." ma:contentTypeScope="" ma:versionID="a429a91d62400243b3cba045310d747f">
  <xsd:schema xmlns:xsd="http://www.w3.org/2001/XMLSchema" xmlns:xs="http://www.w3.org/2001/XMLSchema" xmlns:p="http://schemas.microsoft.com/office/2006/metadata/properties" xmlns:ns2="700f816a-2d70-48f7-98b4-aa062cbdb163" xmlns:ns3="684023ab-f3fa-4f75-8c85-aad38775666c" targetNamespace="http://schemas.microsoft.com/office/2006/metadata/properties" ma:root="true" ma:fieldsID="9fd41046c3a9fbdd1121c909508001eb" ns2:_="" ns3:_="">
    <xsd:import namespace="700f816a-2d70-48f7-98b4-aa062cbdb163"/>
    <xsd:import namespace="684023ab-f3fa-4f75-8c85-aad38775666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0f816a-2d70-48f7-98b4-aa062cbdb1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ceb9303-a7f0-4f8a-8c8a-ed661295ba0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84023ab-f3fa-4f75-8c85-aad38775666c"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493c1c2-3348-4bb2-9cf0-bfee56a9355e}" ma:internalName="TaxCatchAll" ma:showField="CatchAllData" ma:web="684023ab-f3fa-4f75-8c85-aad38775666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684023ab-f3fa-4f75-8c85-aad38775666c" xsi:nil="true"/>
    <lcf76f155ced4ddcb4097134ff3c332f xmlns="700f816a-2d70-48f7-98b4-aa062cbdb16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C71BFBB4-BC78-44A4-972C-9CF7B60997C1}">
  <ds:schemaRefs>
    <ds:schemaRef ds:uri="http://schemas.microsoft.com/sharepoint/v3/contenttype/forms"/>
  </ds:schemaRefs>
</ds:datastoreItem>
</file>

<file path=customXml/itemProps2.xml><?xml version="1.0" encoding="utf-8"?>
<ds:datastoreItem xmlns:ds="http://schemas.openxmlformats.org/officeDocument/2006/customXml" ds:itemID="{4BFA0DB4-EFD6-4565-8A45-024110C0B7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0f816a-2d70-48f7-98b4-aa062cbdb163"/>
    <ds:schemaRef ds:uri="684023ab-f3fa-4f75-8c85-aad38775666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1EBF012-3B47-40B9-A18B-695A615383AC}">
  <ds:schemaRefs>
    <ds:schemaRef ds:uri="http://schemas.microsoft.com/office/2006/metadata/properties"/>
    <ds:schemaRef ds:uri="http://schemas.microsoft.com/office/infopath/2007/PartnerControls"/>
    <ds:schemaRef ds:uri="684023ab-f3fa-4f75-8c85-aad38775666c"/>
    <ds:schemaRef ds:uri="700f816a-2d70-48f7-98b4-aa062cbdb16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26</vt:i4>
      </vt:variant>
      <vt:variant>
        <vt:lpstr>Charts</vt:lpstr>
      </vt:variant>
      <vt:variant>
        <vt:i4>5</vt:i4>
      </vt:variant>
      <vt:variant>
        <vt:lpstr>Named Ranges</vt:lpstr>
      </vt:variant>
      <vt:variant>
        <vt:i4>34</vt:i4>
      </vt:variant>
    </vt:vector>
  </HeadingPairs>
  <TitlesOfParts>
    <vt:vector size="65" baseType="lpstr">
      <vt:lpstr>Simple Model (A)</vt:lpstr>
      <vt:lpstr>D&amp;A Build (A)</vt:lpstr>
      <vt:lpstr>Simple Model (B)</vt:lpstr>
      <vt:lpstr>D&amp;A Build (B)</vt:lpstr>
      <vt:lpstr>Simple Model (C)</vt:lpstr>
      <vt:lpstr>D&amp;A Build (C)</vt:lpstr>
      <vt:lpstr>Historical Financials</vt:lpstr>
      <vt:lpstr>LT Historical Financials</vt:lpstr>
      <vt:lpstr>Guidance</vt:lpstr>
      <vt:lpstr>Guidance Commentary</vt:lpstr>
      <vt:lpstr>Other Commentary</vt:lpstr>
      <vt:lpstr>CRC vs Consensus</vt:lpstr>
      <vt:lpstr>ROIC Benchmarking</vt:lpstr>
      <vt:lpstr>LT Growth</vt:lpstr>
      <vt:lpstr>IRR Under Invasion</vt:lpstr>
      <vt:lpstr>Other Analysis&gt;&gt;</vt:lpstr>
      <vt:lpstr>FX Impact</vt:lpstr>
      <vt:lpstr>Capex Predicting Rev Growth</vt:lpstr>
      <vt:lpstr>WIP&gt;&gt;</vt:lpstr>
      <vt:lpstr>China Exposure</vt:lpstr>
      <vt:lpstr>Customer Concentration</vt:lpstr>
      <vt:lpstr>Upsized Apple Order</vt:lpstr>
      <vt:lpstr>WC Reconciliation</vt:lpstr>
      <vt:lpstr>Other&gt;&gt;</vt:lpstr>
      <vt:lpstr>FX</vt:lpstr>
      <vt:lpstr>Chart Backup</vt:lpstr>
      <vt:lpstr>Margins</vt:lpstr>
      <vt:lpstr>Growth</vt:lpstr>
      <vt:lpstr>ROIC</vt:lpstr>
      <vt:lpstr>Capex</vt:lpstr>
      <vt:lpstr>Price vs. Volume</vt:lpstr>
      <vt:lpstr>Circ</vt:lpstr>
      <vt:lpstr>'Capex Predicting Rev Growth'!Print_Area</vt:lpstr>
      <vt:lpstr>'Chart Backup'!Print_Area</vt:lpstr>
      <vt:lpstr>'CRC vs Consensus'!Print_Area</vt:lpstr>
      <vt:lpstr>'Customer Concentration'!Print_Area</vt:lpstr>
      <vt:lpstr>'D&amp;A Build (A)'!Print_Area</vt:lpstr>
      <vt:lpstr>'D&amp;A Build (B)'!Print_Area</vt:lpstr>
      <vt:lpstr>'D&amp;A Build (C)'!Print_Area</vt:lpstr>
      <vt:lpstr>FX!Print_Area</vt:lpstr>
      <vt:lpstr>'FX Impact'!Print_Area</vt:lpstr>
      <vt:lpstr>Guidance!Print_Area</vt:lpstr>
      <vt:lpstr>'Guidance Commentary'!Print_Area</vt:lpstr>
      <vt:lpstr>'Historical Financials'!Print_Area</vt:lpstr>
      <vt:lpstr>'IRR Under Invasion'!Print_Area</vt:lpstr>
      <vt:lpstr>'LT Growth'!Print_Area</vt:lpstr>
      <vt:lpstr>'LT Historical Financials'!Print_Area</vt:lpstr>
      <vt:lpstr>'Other Commentary'!Print_Area</vt:lpstr>
      <vt:lpstr>'ROIC Benchmarking'!Print_Area</vt:lpstr>
      <vt:lpstr>'Simple Model (A)'!Print_Area</vt:lpstr>
      <vt:lpstr>'Simple Model (B)'!Print_Area</vt:lpstr>
      <vt:lpstr>'Simple Model (C)'!Print_Area</vt:lpstr>
      <vt:lpstr>'Upsized Apple Order'!Print_Area</vt:lpstr>
      <vt:lpstr>'Chart Backup'!Print_Titles</vt:lpstr>
      <vt:lpstr>'CRC vs Consensus'!Print_Titles</vt:lpstr>
      <vt:lpstr>'Customer Concentration'!Print_Titles</vt:lpstr>
      <vt:lpstr>'D&amp;A Build (A)'!Print_Titles</vt:lpstr>
      <vt:lpstr>'D&amp;A Build (B)'!Print_Titles</vt:lpstr>
      <vt:lpstr>'D&amp;A Build (C)'!Print_Titles</vt:lpstr>
      <vt:lpstr>Guidance!Print_Titles</vt:lpstr>
      <vt:lpstr>'Guidance Commentary'!Print_Titles</vt:lpstr>
      <vt:lpstr>'Historical Financials'!Print_Titles</vt:lpstr>
      <vt:lpstr>'LT Growth'!Print_Titles</vt:lpstr>
      <vt:lpstr>'LT Historical Financials'!Print_Titles</vt:lpstr>
      <vt:lpstr>'Other Commentary'!Print_Titles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2024-07-22T20:40:34Z</dcterms:created>
  <dcterms:modified xsi:type="dcterms:W3CDTF">2025-05-19T20:59:06Z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{AFBF0081-F6AC-4AD9-ABA7-CE1082BA238D}</vt:lpwstr>
  </property>
  <property fmtid="{D5CDD505-2E9C-101B-9397-08002B2CF9AE}" pid="3" name="ContentTypeId">
    <vt:lpwstr>0x01010097B54F80F9326D4AB5846AC1C3383526</vt:lpwstr>
  </property>
  <property fmtid="{D5CDD505-2E9C-101B-9397-08002B2CF9AE}" pid="4" name="MediaServiceImageTags">
    <vt:lpwstr/>
  </property>
</Properties>
</file>