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Ratschat\Google Drive\3. Semester\Analytics in Customer Value Management\CLV\"/>
    </mc:Choice>
  </mc:AlternateContent>
  <xr:revisionPtr revIDLastSave="0" documentId="13_ncr:1_{5C36AD94-7D9A-4488-AB48-B7EDEAA2BA50}" xr6:coauthVersionLast="41" xr6:coauthVersionMax="41" xr10:uidLastSave="{00000000-0000-0000-0000-000000000000}"/>
  <bookViews>
    <workbookView xWindow="10635" yWindow="-18120" windowWidth="29040" windowHeight="18240" xr2:uid="{3FB7AB93-30C0-449A-97A6-BCCFBA1046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P42" i="1"/>
  <c r="P26" i="1"/>
  <c r="P27" i="1" s="1"/>
  <c r="P29" i="1" s="1"/>
  <c r="P28" i="1"/>
  <c r="P30" i="1" s="1"/>
  <c r="P32" i="1" s="1"/>
  <c r="P34" i="1" s="1"/>
  <c r="P36" i="1" s="1"/>
  <c r="P37" i="1" s="1"/>
  <c r="P31" i="1"/>
  <c r="P35" i="1"/>
  <c r="P23" i="1"/>
  <c r="P22" i="1"/>
  <c r="P21" i="1"/>
  <c r="P17" i="1"/>
  <c r="P16" i="1"/>
  <c r="P15" i="1"/>
  <c r="P14" i="1"/>
  <c r="P13" i="1"/>
  <c r="P12" i="1"/>
  <c r="P10" i="1"/>
  <c r="P9" i="1"/>
  <c r="P8" i="1"/>
  <c r="P7" i="1"/>
  <c r="P6" i="1"/>
  <c r="P5" i="1"/>
  <c r="P4" i="1"/>
  <c r="P3" i="1"/>
  <c r="P2" i="1"/>
  <c r="I35" i="1"/>
  <c r="I23" i="1"/>
  <c r="I22" i="1"/>
  <c r="I21" i="1"/>
  <c r="I33" i="1" s="1"/>
  <c r="I16" i="1"/>
  <c r="I15" i="1"/>
  <c r="I14" i="1"/>
  <c r="I12" i="1"/>
  <c r="I6" i="1"/>
  <c r="I8" i="1" s="1"/>
  <c r="I26" i="1" s="1"/>
  <c r="I4" i="1"/>
  <c r="I10" i="1"/>
  <c r="I5" i="1"/>
  <c r="O48" i="1"/>
  <c r="O9" i="1"/>
  <c r="O5" i="1"/>
  <c r="O10" i="1"/>
  <c r="O8" i="1"/>
  <c r="O7" i="1"/>
  <c r="I3" i="1" l="1"/>
  <c r="I13" i="1" s="1"/>
  <c r="I17" i="1" s="1"/>
  <c r="I27" i="1" s="1"/>
  <c r="I29" i="1" s="1"/>
  <c r="I7" i="1"/>
  <c r="I28" i="1"/>
  <c r="O42" i="1"/>
  <c r="M35" i="1"/>
  <c r="N35" i="1"/>
  <c r="N16" i="1"/>
  <c r="M16" i="1"/>
  <c r="L10" i="1"/>
  <c r="M3" i="1" s="1"/>
  <c r="N12" i="1"/>
  <c r="M12" i="1"/>
  <c r="N10" i="1"/>
  <c r="O3" i="1" s="1"/>
  <c r="O13" i="1" s="1"/>
  <c r="M10" i="1"/>
  <c r="N3" i="1" s="1"/>
  <c r="N9" i="1"/>
  <c r="N31" i="1" s="1"/>
  <c r="M9" i="1"/>
  <c r="M31" i="1" s="1"/>
  <c r="M4" i="1"/>
  <c r="M5" i="1" s="1"/>
  <c r="N4" i="1"/>
  <c r="N5" i="1" s="1"/>
  <c r="O35" i="1"/>
  <c r="O16" i="1"/>
  <c r="H33" i="1"/>
  <c r="H35" i="1"/>
  <c r="H9" i="1"/>
  <c r="H31" i="1" s="1"/>
  <c r="G9" i="1"/>
  <c r="F9" i="1"/>
  <c r="E9" i="1"/>
  <c r="E31" i="1" s="1"/>
  <c r="D9" i="1"/>
  <c r="D31" i="1" s="1"/>
  <c r="C9" i="1"/>
  <c r="C31" i="1" s="1"/>
  <c r="B9" i="1"/>
  <c r="B31" i="1" s="1"/>
  <c r="C35" i="1"/>
  <c r="D35" i="1"/>
  <c r="E35" i="1"/>
  <c r="F35" i="1"/>
  <c r="G35" i="1"/>
  <c r="B35" i="1"/>
  <c r="B33" i="1"/>
  <c r="C33" i="1"/>
  <c r="D33" i="1"/>
  <c r="E33" i="1"/>
  <c r="F33" i="1"/>
  <c r="G33" i="1"/>
  <c r="G31" i="1"/>
  <c r="F31" i="1" l="1"/>
  <c r="I9" i="1"/>
  <c r="I31" i="1" s="1"/>
  <c r="I30" i="1"/>
  <c r="I32" i="1" s="1"/>
  <c r="I34" i="1" s="1"/>
  <c r="I36" i="1" s="1"/>
  <c r="N13" i="1"/>
  <c r="N17" i="1" s="1"/>
  <c r="M6" i="1"/>
  <c r="M7" i="1" s="1"/>
  <c r="O17" i="1"/>
  <c r="M8" i="1"/>
  <c r="M26" i="1" s="1"/>
  <c r="M28" i="1" s="1"/>
  <c r="N6" i="1"/>
  <c r="M13" i="1"/>
  <c r="M17" i="1" s="1"/>
  <c r="O26" i="1"/>
  <c r="O31" i="1"/>
  <c r="B3" i="1"/>
  <c r="B13" i="1" s="1"/>
  <c r="C16" i="1"/>
  <c r="D16" i="1"/>
  <c r="E16" i="1"/>
  <c r="F16" i="1"/>
  <c r="G16" i="1"/>
  <c r="H16" i="1"/>
  <c r="B16" i="1"/>
  <c r="B10" i="1"/>
  <c r="C10" i="1"/>
  <c r="C3" i="1" s="1"/>
  <c r="C13" i="1" s="1"/>
  <c r="C17" i="1" s="1"/>
  <c r="B5" i="1"/>
  <c r="C5" i="1"/>
  <c r="D5" i="1"/>
  <c r="E5" i="1"/>
  <c r="F5" i="1"/>
  <c r="G5" i="1"/>
  <c r="B7" i="1"/>
  <c r="C7" i="1"/>
  <c r="D7" i="1"/>
  <c r="E7" i="1"/>
  <c r="F7" i="1"/>
  <c r="G7" i="1"/>
  <c r="B8" i="1"/>
  <c r="C8" i="1"/>
  <c r="D8" i="1"/>
  <c r="E8" i="1"/>
  <c r="F8" i="1"/>
  <c r="G8" i="1"/>
  <c r="E10" i="1"/>
  <c r="E3" i="1" s="1"/>
  <c r="F10" i="1"/>
  <c r="F3" i="1" s="1"/>
  <c r="G10" i="1"/>
  <c r="G3" i="1" s="1"/>
  <c r="H10" i="1"/>
  <c r="H3" i="1" s="1"/>
  <c r="H13" i="1" s="1"/>
  <c r="H17" i="1" s="1"/>
  <c r="D10" i="1"/>
  <c r="D3" i="1" s="1"/>
  <c r="H8" i="1"/>
  <c r="H7" i="1"/>
  <c r="H5" i="1"/>
  <c r="M27" i="1" l="1"/>
  <c r="M29" i="1" s="1"/>
  <c r="M30" i="1" s="1"/>
  <c r="M32" i="1" s="1"/>
  <c r="M34" i="1" s="1"/>
  <c r="M36" i="1" s="1"/>
  <c r="M37" i="1" s="1"/>
  <c r="N7" i="1"/>
  <c r="N8" i="1"/>
  <c r="N26" i="1" s="1"/>
  <c r="O28" i="1"/>
  <c r="O27" i="1"/>
  <c r="O29" i="1" s="1"/>
  <c r="G26" i="1"/>
  <c r="G28" i="1" s="1"/>
  <c r="H26" i="1"/>
  <c r="H28" i="1" s="1"/>
  <c r="E26" i="1"/>
  <c r="E28" i="1" s="1"/>
  <c r="D26" i="1"/>
  <c r="D28" i="1" s="1"/>
  <c r="C26" i="1"/>
  <c r="C28" i="1" s="1"/>
  <c r="F26" i="1"/>
  <c r="F28" i="1" s="1"/>
  <c r="B26" i="1"/>
  <c r="F13" i="1"/>
  <c r="F17" i="1" s="1"/>
  <c r="D13" i="1"/>
  <c r="D17" i="1" s="1"/>
  <c r="E13" i="1"/>
  <c r="E17" i="1" s="1"/>
  <c r="E27" i="1" s="1"/>
  <c r="E29" i="1" s="1"/>
  <c r="E30" i="1" s="1"/>
  <c r="E32" i="1" s="1"/>
  <c r="E34" i="1" s="1"/>
  <c r="E36" i="1" s="1"/>
  <c r="G13" i="1"/>
  <c r="G17" i="1" s="1"/>
  <c r="B17" i="1"/>
  <c r="H27" i="1" l="1"/>
  <c r="H29" i="1" s="1"/>
  <c r="H30" i="1" s="1"/>
  <c r="H32" i="1" s="1"/>
  <c r="H34" i="1" s="1"/>
  <c r="H36" i="1" s="1"/>
  <c r="O30" i="1"/>
  <c r="O32" i="1" s="1"/>
  <c r="O34" i="1" s="1"/>
  <c r="O36" i="1" s="1"/>
  <c r="O37" i="1" s="1"/>
  <c r="G27" i="1"/>
  <c r="G29" i="1" s="1"/>
  <c r="G30" i="1" s="1"/>
  <c r="G32" i="1" s="1"/>
  <c r="G34" i="1" s="1"/>
  <c r="G36" i="1" s="1"/>
  <c r="N27" i="1"/>
  <c r="N29" i="1" s="1"/>
  <c r="N28" i="1"/>
  <c r="D27" i="1"/>
  <c r="D29" i="1" s="1"/>
  <c r="D30" i="1" s="1"/>
  <c r="D32" i="1" s="1"/>
  <c r="D34" i="1" s="1"/>
  <c r="D36" i="1" s="1"/>
  <c r="F27" i="1"/>
  <c r="F29" i="1" s="1"/>
  <c r="F30" i="1" s="1"/>
  <c r="F32" i="1" s="1"/>
  <c r="F34" i="1" s="1"/>
  <c r="F36" i="1" s="1"/>
  <c r="B28" i="1"/>
  <c r="B27" i="1"/>
  <c r="B29" i="1" s="1"/>
  <c r="C27" i="1"/>
  <c r="C29" i="1" s="1"/>
  <c r="C30" i="1" s="1"/>
  <c r="C32" i="1" s="1"/>
  <c r="C34" i="1" s="1"/>
  <c r="C36" i="1" s="1"/>
  <c r="B30" i="1" l="1"/>
  <c r="B32" i="1" s="1"/>
  <c r="B34" i="1" s="1"/>
  <c r="B36" i="1" s="1"/>
  <c r="N30" i="1"/>
  <c r="N32" i="1" s="1"/>
  <c r="N34" i="1" s="1"/>
  <c r="N36" i="1" s="1"/>
  <c r="N3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tc={FAF1DFCD-2FBE-4BAF-AF0F-47FF9718035C}</author>
    <author>tc={CB51ACE8-0CBC-45A9-9D66-A936272F568A}</author>
    <author>tc={A9F391AE-5753-4B58-B46A-5DB207918BE4}</author>
  </authors>
  <commentList>
    <comment ref="B3" authorId="0" shapeId="0" xr:uid="{FAF1DFCD-2FBE-4BAF-AF0F-47FF9718035C}">
      <text>
        <t>[Threaded comment]
Your version of Excel allows you to read this threaded comment; however, any edits to it will get removed if the file is opened in a newer version of Excel. Learn more: https://go.microsoft.com/fwlink/?linkid=870924
Comment:
    Churn was 5.1% end of 2017 and there were 71 million premium users</t>
      </text>
    </comment>
    <comment ref="E14" authorId="1" shapeId="0" xr:uid="{CB51ACE8-0CBC-45A9-9D66-A936272F568A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estimate</t>
      </text>
    </comment>
    <comment ref="P41" authorId="2" shapeId="0" xr:uid="{A9F391AE-5753-4B58-B46A-5DB207918BE4}">
      <text>
        <t>[Threaded comment]
Your version of Excel allows you to read this threaded comment; however, any edits to it will get removed if the file is opened in a newer version of Excel. Learn more: https://go.microsoft.com/fwlink/?linkid=870924
Comment:
    30.11.2019</t>
      </text>
    </comment>
  </commentList>
</comments>
</file>

<file path=xl/sharedStrings.xml><?xml version="1.0" encoding="utf-8"?>
<sst xmlns="http://schemas.openxmlformats.org/spreadsheetml/2006/main" count="58" uniqueCount="54">
  <si>
    <t>Variable</t>
  </si>
  <si>
    <t>Revenues per customer and period</t>
  </si>
  <si>
    <t>Profit margin</t>
  </si>
  <si>
    <t>Profit contribution per customer and period</t>
  </si>
  <si>
    <t>Retention rate</t>
  </si>
  <si>
    <t>Retention cost</t>
  </si>
  <si>
    <t>Discount rate</t>
  </si>
  <si>
    <t>Tax rate</t>
  </si>
  <si>
    <t>Q3 2019</t>
  </si>
  <si>
    <t>Q1 2019</t>
  </si>
  <si>
    <t>Q2 2019</t>
  </si>
  <si>
    <t>Q3 2018</t>
  </si>
  <si>
    <t>Q4 2018</t>
  </si>
  <si>
    <t>Comment</t>
  </si>
  <si>
    <t>Q2 2018</t>
  </si>
  <si>
    <t>Q1 2018</t>
  </si>
  <si>
    <t>Cost to aquire users and cost to support free product</t>
  </si>
  <si>
    <t>Aquisition Costs per Gross Add</t>
  </si>
  <si>
    <t>Cost to support a free user</t>
  </si>
  <si>
    <t>Number of current customers (in M)</t>
  </si>
  <si>
    <t>Revenues per period (in M)</t>
  </si>
  <si>
    <t>Gross profit per period (in M)</t>
  </si>
  <si>
    <t>Sales and marketing expenses (in M)</t>
  </si>
  <si>
    <t>Cost of revenue to support free users (in M)</t>
  </si>
  <si>
    <t>Total free users (in M)</t>
  </si>
  <si>
    <t>Subscriber aquisition cost</t>
  </si>
  <si>
    <t>Debt (non-current and current liabilities) (in M)</t>
  </si>
  <si>
    <t>Equity</t>
  </si>
  <si>
    <t>Number of new customers per period (Gross Adds) (in M)</t>
  </si>
  <si>
    <t>Swedish statutory tax</t>
  </si>
  <si>
    <t>Estimation based on churn rates reported end of 2017</t>
  </si>
  <si>
    <t>Nonoperating assets (Short term investments) (in M)</t>
  </si>
  <si>
    <t>Assumption that Spotify does not spend money to retain customers</t>
  </si>
  <si>
    <t/>
  </si>
  <si>
    <t>Current customer lifetime value of current customer</t>
  </si>
  <si>
    <t>Customer lifetime value of future customers</t>
  </si>
  <si>
    <t>Customer equity of current customers</t>
  </si>
  <si>
    <t>Customer equity of all future customers</t>
  </si>
  <si>
    <t>Net present value of fixed costs</t>
  </si>
  <si>
    <t>Customer equity before fixed costs</t>
  </si>
  <si>
    <t>Customer equity after fixed costs</t>
  </si>
  <si>
    <t>Firm value</t>
  </si>
  <si>
    <t>Debt</t>
  </si>
  <si>
    <t>Fixed costs (R&amp;D, General and administrative) (in M)</t>
  </si>
  <si>
    <t>Number of shares</t>
  </si>
  <si>
    <t>Shareholder value (pretax)</t>
  </si>
  <si>
    <t>Shareholder value (after tax)</t>
  </si>
  <si>
    <t>Stock price end of year</t>
  </si>
  <si>
    <t>Market cap end of year</t>
  </si>
  <si>
    <t>na</t>
  </si>
  <si>
    <t>Churn rates for premium subscribers</t>
  </si>
  <si>
    <t>End of year</t>
  </si>
  <si>
    <t>EQ4 2019</t>
  </si>
  <si>
    <t>E2019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</si>
</sst>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_-[$$-409]* #,##0_ ;_-[$$-409]* \-#,##0\ ;_-[$$-409]* &quot;-&quot;??_ ;_-@_ 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2" fontId="0" fillId="0" borderId="0" xfId="0" applyNumberFormat="1"/>
    <xf numFmtId="1" fontId="0" fillId="0" borderId="0" xfId="0" applyNumberFormat="1"/>
    <xf numFmtId="0" fontId="0" fillId="0" borderId="0" xfId="0" applyFill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an Ratschat" id="{8C366323-F286-4EC1-B8F4-BCD141CB47C1}" userId="38d6fc11880edc5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19-11-26T12:34:18.18" personId="{8C366323-F286-4EC1-B8F4-BCD141CB47C1}" id="{FAF1DFCD-2FBE-4BAF-AF0F-47FF9718035C}">
    <text>Churn was 5.1% end of 2017 and there were 71 million premium users</text>
  </threadedComment>
  <threadedComment ref="E14" dT="2019-11-26T17:00:31.49" personId="{8C366323-F286-4EC1-B8F4-BCD141CB47C1}" id="{CB51ACE8-0CBC-45A9-9D66-A936272F568A}">
    <text>Only estimate</text>
  </threadedComment>
  <threadedComment ref="P41" dT="2019-11-30T09:44:49.84" personId="{8C366323-F286-4EC1-B8F4-BCD141CB47C1}" id="{A9F391AE-5753-4B58-B46A-5DB207918BE4}">
    <text>30.11.2019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39786-1B9F-4705-A336-C3B4A4A7F378}">
  <dimension ref="A1:R48"/>
  <sheetViews>
    <sheetView tabSelected="1" zoomScaleNormal="100" workbookViewId="0">
      <selection activeCell="P29" sqref="P29"/>
    </sheetView>
  </sheetViews>
  <sheetFormatPr defaultRowHeight="14.4" x14ac:dyDescent="0.55000000000000004"/>
  <cols>
    <col min="1" max="1" width="56.41796875" customWidth="1"/>
    <col min="2" max="8" width="8.1015625" customWidth="1"/>
    <col min="9" max="11" width="8.26171875" customWidth="1"/>
    <col min="12" max="16" width="9.578125" customWidth="1"/>
    <col min="17" max="17" width="69.83984375" bestFit="1" customWidth="1"/>
    <col min="18" max="18" width="41" bestFit="1" customWidth="1"/>
    <col min="19" max="19" width="9.68359375" bestFit="1" customWidth="1"/>
  </cols>
  <sheetData>
    <row r="1" spans="1:17" x14ac:dyDescent="0.55000000000000004">
      <c r="A1" s="5" t="s">
        <v>0</v>
      </c>
      <c r="B1" s="5" t="s">
        <v>15</v>
      </c>
      <c r="C1" s="5" t="s">
        <v>14</v>
      </c>
      <c r="D1" s="5" t="s">
        <v>11</v>
      </c>
      <c r="E1" s="5" t="s">
        <v>12</v>
      </c>
      <c r="F1" s="5" t="s">
        <v>9</v>
      </c>
      <c r="G1" s="5" t="s">
        <v>10</v>
      </c>
      <c r="H1" s="5" t="s">
        <v>8</v>
      </c>
      <c r="I1" s="5" t="s">
        <v>52</v>
      </c>
      <c r="J1" s="5"/>
      <c r="K1" s="5"/>
      <c r="L1" s="5">
        <v>2015</v>
      </c>
      <c r="M1" s="5">
        <v>2016</v>
      </c>
      <c r="N1" s="5">
        <v>2017</v>
      </c>
      <c r="O1" s="5">
        <v>2018</v>
      </c>
      <c r="P1" s="8" t="s">
        <v>53</v>
      </c>
      <c r="Q1" t="s">
        <v>13</v>
      </c>
    </row>
    <row r="2" spans="1:17" x14ac:dyDescent="0.55000000000000004">
      <c r="A2" t="s">
        <v>19</v>
      </c>
      <c r="B2">
        <v>75</v>
      </c>
      <c r="C2">
        <v>83</v>
      </c>
      <c r="D2">
        <v>87</v>
      </c>
      <c r="E2">
        <v>96</v>
      </c>
      <c r="F2">
        <v>100</v>
      </c>
      <c r="G2">
        <v>108</v>
      </c>
      <c r="H2">
        <v>113</v>
      </c>
      <c r="I2" s="3">
        <f>(1+(H2-G2)/G2)*H2</f>
        <v>118.23148148148148</v>
      </c>
      <c r="L2">
        <v>28</v>
      </c>
      <c r="M2">
        <v>48</v>
      </c>
      <c r="N2">
        <v>71</v>
      </c>
      <c r="O2">
        <v>96</v>
      </c>
      <c r="P2" s="3">
        <f>I2</f>
        <v>118.23148148148148</v>
      </c>
      <c r="Q2" t="s">
        <v>51</v>
      </c>
    </row>
    <row r="3" spans="1:17" x14ac:dyDescent="0.55000000000000004">
      <c r="A3" t="s">
        <v>28</v>
      </c>
      <c r="B3" s="3">
        <f>B2-71*0.949</f>
        <v>7.6210000000000093</v>
      </c>
      <c r="C3" s="3">
        <f>C2-B2*C10</f>
        <v>11.299999999999997</v>
      </c>
      <c r="D3" s="3">
        <f t="shared" ref="D3:G3" si="0">D2-C2*D10</f>
        <v>7.652000000000001</v>
      </c>
      <c r="E3" s="3">
        <f t="shared" si="0"/>
        <v>12.828000000000003</v>
      </c>
      <c r="F3" s="3">
        <f t="shared" si="0"/>
        <v>8.2240000000000038</v>
      </c>
      <c r="G3" s="3">
        <f t="shared" si="0"/>
        <v>12.400000000000006</v>
      </c>
      <c r="H3" s="3">
        <f>H2-G2*H10</f>
        <v>9.7520000000000095</v>
      </c>
      <c r="I3" s="3">
        <f>I2-H2*I10</f>
        <v>10.203481481481489</v>
      </c>
      <c r="J3" s="3"/>
      <c r="K3" s="3"/>
      <c r="L3" s="3"/>
      <c r="M3" s="3">
        <f t="shared" ref="M3:N3" si="1">M2-L2*L10</f>
        <v>22.155999999999999</v>
      </c>
      <c r="N3" s="3">
        <f t="shared" si="1"/>
        <v>26.168000000000006</v>
      </c>
      <c r="O3" s="3">
        <f>O2-N2*N10</f>
        <v>28.905000000000001</v>
      </c>
      <c r="P3" s="3">
        <f>P2-O2*O10</f>
        <v>26.455481481481485</v>
      </c>
    </row>
    <row r="4" spans="1:17" x14ac:dyDescent="0.55000000000000004">
      <c r="A4" t="s">
        <v>20</v>
      </c>
      <c r="B4" s="7">
        <v>1037</v>
      </c>
      <c r="C4" s="7">
        <v>1150</v>
      </c>
      <c r="D4" s="7">
        <v>1210</v>
      </c>
      <c r="E4" s="7">
        <v>1320</v>
      </c>
      <c r="F4" s="7">
        <v>1385</v>
      </c>
      <c r="G4" s="7">
        <v>1502</v>
      </c>
      <c r="H4" s="7">
        <v>1561</v>
      </c>
      <c r="I4" s="3">
        <f>(1+(H4-G4)/G4)*H4</f>
        <v>1622.3175765645806</v>
      </c>
      <c r="J4" s="7"/>
      <c r="K4" s="7"/>
      <c r="L4" s="7"/>
      <c r="M4" s="7">
        <f>566+643+673+775</f>
        <v>2657</v>
      </c>
      <c r="N4" s="7">
        <f>828+904+923+1019</f>
        <v>3674</v>
      </c>
      <c r="O4" s="7">
        <v>4717</v>
      </c>
      <c r="P4" s="7">
        <f>SUM(F4:I4)</f>
        <v>6070.317576564581</v>
      </c>
    </row>
    <row r="5" spans="1:17" x14ac:dyDescent="0.55000000000000004">
      <c r="A5" t="s">
        <v>1</v>
      </c>
      <c r="B5" s="6">
        <f t="shared" ref="B5:G5" si="2">B4/B2</f>
        <v>13.826666666666666</v>
      </c>
      <c r="C5" s="6">
        <f t="shared" si="2"/>
        <v>13.855421686746988</v>
      </c>
      <c r="D5" s="6">
        <f t="shared" si="2"/>
        <v>13.908045977011493</v>
      </c>
      <c r="E5" s="6">
        <f t="shared" si="2"/>
        <v>13.75</v>
      </c>
      <c r="F5" s="6">
        <f t="shared" si="2"/>
        <v>13.85</v>
      </c>
      <c r="G5" s="6">
        <f t="shared" si="2"/>
        <v>13.907407407407407</v>
      </c>
      <c r="H5" s="6">
        <f>H4/H2</f>
        <v>13.814159292035399</v>
      </c>
      <c r="I5" s="6">
        <f>I4/I2</f>
        <v>13.721536398228107</v>
      </c>
      <c r="J5" s="6"/>
      <c r="K5" s="6"/>
      <c r="L5" s="6"/>
      <c r="M5" s="6">
        <f>M4/M2</f>
        <v>55.354166666666664</v>
      </c>
      <c r="N5" s="6">
        <f>N4/N2</f>
        <v>51.74647887323944</v>
      </c>
      <c r="O5" s="6">
        <f>O4/O2</f>
        <v>49.135416666666664</v>
      </c>
      <c r="P5" s="6">
        <f>P4/P2</f>
        <v>51.342650032811868</v>
      </c>
      <c r="Q5" s="1"/>
    </row>
    <row r="6" spans="1:17" x14ac:dyDescent="0.55000000000000004">
      <c r="A6" t="s">
        <v>21</v>
      </c>
      <c r="B6" s="7">
        <v>270</v>
      </c>
      <c r="C6" s="7">
        <v>309</v>
      </c>
      <c r="D6" s="7">
        <v>316</v>
      </c>
      <c r="E6" s="7">
        <v>399</v>
      </c>
      <c r="F6" s="7">
        <v>359</v>
      </c>
      <c r="G6" s="7">
        <v>408</v>
      </c>
      <c r="H6" s="7">
        <v>414</v>
      </c>
      <c r="I6" s="3">
        <f>(1+(H6-G6)/G6)*H6</f>
        <v>420.08823529411762</v>
      </c>
      <c r="J6" s="7"/>
      <c r="K6" s="7"/>
      <c r="L6" s="7"/>
      <c r="M6" s="7">
        <f>M4-508-531-560-622</f>
        <v>436</v>
      </c>
      <c r="N6" s="7">
        <f>N4-710-686-711-761</f>
        <v>806</v>
      </c>
      <c r="O6" s="7">
        <v>1256</v>
      </c>
      <c r="P6" s="7">
        <f>SUM(F6:I6)</f>
        <v>1601.0882352941176</v>
      </c>
      <c r="Q6" s="1"/>
    </row>
    <row r="7" spans="1:17" x14ac:dyDescent="0.55000000000000004">
      <c r="A7" t="s">
        <v>2</v>
      </c>
      <c r="B7" s="2">
        <f t="shared" ref="B7:G7" si="3">B6/B4</f>
        <v>0.26036644165863065</v>
      </c>
      <c r="C7" s="2">
        <f t="shared" si="3"/>
        <v>0.26869565217391306</v>
      </c>
      <c r="D7" s="2">
        <f t="shared" si="3"/>
        <v>0.26115702479338843</v>
      </c>
      <c r="E7" s="2">
        <f t="shared" si="3"/>
        <v>0.30227272727272725</v>
      </c>
      <c r="F7" s="2">
        <f t="shared" si="3"/>
        <v>0.25920577617328522</v>
      </c>
      <c r="G7" s="2">
        <f t="shared" si="3"/>
        <v>0.27163781624500666</v>
      </c>
      <c r="H7" s="2">
        <f>H6/H4</f>
        <v>0.26521460602178093</v>
      </c>
      <c r="I7" s="2">
        <f>I6/I4</f>
        <v>0.25894328050349819</v>
      </c>
      <c r="J7" s="2"/>
      <c r="K7" s="2"/>
      <c r="L7" s="2"/>
      <c r="M7" s="2">
        <f>M6/M4</f>
        <v>0.16409484380880693</v>
      </c>
      <c r="N7" s="2">
        <f>N6/N4</f>
        <v>0.21937942297223734</v>
      </c>
      <c r="O7" s="2">
        <f>O6/O4</f>
        <v>0.26627093491626036</v>
      </c>
      <c r="P7" s="2">
        <f>P6/P4</f>
        <v>0.26375691470828005</v>
      </c>
    </row>
    <row r="8" spans="1:17" x14ac:dyDescent="0.55000000000000004">
      <c r="A8" t="s">
        <v>3</v>
      </c>
      <c r="B8" s="6">
        <f t="shared" ref="B8:G8" si="4">B6/B2</f>
        <v>3.6</v>
      </c>
      <c r="C8" s="6">
        <f t="shared" si="4"/>
        <v>3.7228915662650603</v>
      </c>
      <c r="D8" s="6">
        <f t="shared" si="4"/>
        <v>3.632183908045977</v>
      </c>
      <c r="E8" s="6">
        <f t="shared" si="4"/>
        <v>4.15625</v>
      </c>
      <c r="F8" s="6">
        <f t="shared" si="4"/>
        <v>3.59</v>
      </c>
      <c r="G8" s="6">
        <f t="shared" si="4"/>
        <v>3.7777777777777777</v>
      </c>
      <c r="H8" s="6">
        <f>H6/H2</f>
        <v>3.663716814159292</v>
      </c>
      <c r="I8" s="6">
        <f>I6/I2</f>
        <v>3.5530996485053414</v>
      </c>
      <c r="J8" s="6"/>
      <c r="K8" s="6"/>
      <c r="L8" s="6"/>
      <c r="M8" s="6">
        <f>M6/M2</f>
        <v>9.0833333333333339</v>
      </c>
      <c r="N8" s="6">
        <f>N6/N2</f>
        <v>11.352112676056338</v>
      </c>
      <c r="O8" s="6">
        <f>O6/O2</f>
        <v>13.083333333333334</v>
      </c>
      <c r="P8" s="6">
        <f>P6/P2</f>
        <v>13.541978965601434</v>
      </c>
    </row>
    <row r="9" spans="1:17" x14ac:dyDescent="0.55000000000000004">
      <c r="A9" t="s">
        <v>43</v>
      </c>
      <c r="B9" s="7">
        <f>115+71</f>
        <v>186</v>
      </c>
      <c r="C9" s="7">
        <f>143+103</f>
        <v>246</v>
      </c>
      <c r="D9" s="7">
        <f>135+67</f>
        <v>202</v>
      </c>
      <c r="E9" s="7">
        <f>100+42</f>
        <v>142</v>
      </c>
      <c r="F9" s="7">
        <f>155+93</f>
        <v>248</v>
      </c>
      <c r="G9" s="7">
        <f>151+86</f>
        <v>237</v>
      </c>
      <c r="H9" s="7">
        <f>136+73</f>
        <v>209</v>
      </c>
      <c r="I9" s="7">
        <f>AVERAGE(F9:H9)</f>
        <v>231.33333333333334</v>
      </c>
      <c r="J9" s="7"/>
      <c r="K9" s="7"/>
      <c r="L9" s="7"/>
      <c r="M9" s="7">
        <f>42+52+51+62+31+48+44+52</f>
        <v>382</v>
      </c>
      <c r="N9" s="7">
        <f>80+95+98+123+54+70+67+73</f>
        <v>660</v>
      </c>
      <c r="O9" s="7">
        <f>493+283</f>
        <v>776</v>
      </c>
      <c r="P9" s="7">
        <f>SUM(F9:I9)</f>
        <v>925.33333333333337</v>
      </c>
    </row>
    <row r="10" spans="1:17" x14ac:dyDescent="0.55000000000000004">
      <c r="A10" t="s">
        <v>4</v>
      </c>
      <c r="B10">
        <f t="shared" ref="B10:C10" si="5">1-0.044</f>
        <v>0.95599999999999996</v>
      </c>
      <c r="C10">
        <f t="shared" si="5"/>
        <v>0.95599999999999996</v>
      </c>
      <c r="D10">
        <f>1-0.044</f>
        <v>0.95599999999999996</v>
      </c>
      <c r="E10">
        <f t="shared" ref="E10:I10" si="6">1-0.044</f>
        <v>0.95599999999999996</v>
      </c>
      <c r="F10">
        <f t="shared" si="6"/>
        <v>0.95599999999999996</v>
      </c>
      <c r="G10">
        <f t="shared" si="6"/>
        <v>0.95599999999999996</v>
      </c>
      <c r="H10">
        <f t="shared" si="6"/>
        <v>0.95599999999999996</v>
      </c>
      <c r="I10">
        <f t="shared" si="6"/>
        <v>0.95599999999999996</v>
      </c>
      <c r="L10">
        <f>1-L48</f>
        <v>0.92300000000000004</v>
      </c>
      <c r="M10">
        <f>1-M48</f>
        <v>0.93399999999999994</v>
      </c>
      <c r="N10">
        <f>1-N48</f>
        <v>0.94499999999999995</v>
      </c>
      <c r="O10">
        <f>1-0.044</f>
        <v>0.95599999999999996</v>
      </c>
      <c r="P10">
        <f>O10</f>
        <v>0.95599999999999996</v>
      </c>
      <c r="Q10" t="s">
        <v>30</v>
      </c>
    </row>
    <row r="12" spans="1:17" x14ac:dyDescent="0.55000000000000004">
      <c r="A12" t="s">
        <v>22</v>
      </c>
      <c r="B12" s="7">
        <v>138</v>
      </c>
      <c r="C12" s="7">
        <v>173</v>
      </c>
      <c r="D12" s="7">
        <v>146</v>
      </c>
      <c r="E12" s="7">
        <v>163</v>
      </c>
      <c r="F12" s="7">
        <v>172</v>
      </c>
      <c r="G12" s="7">
        <v>200</v>
      </c>
      <c r="H12" s="7">
        <v>178</v>
      </c>
      <c r="I12" s="7">
        <f>AVERAGE(F12:H12)</f>
        <v>183.33333333333334</v>
      </c>
      <c r="J12" s="7"/>
      <c r="K12" s="7"/>
      <c r="L12" s="7"/>
      <c r="M12" s="7">
        <f>63+95+84+126</f>
        <v>368</v>
      </c>
      <c r="N12" s="7">
        <f>110+146+138+173</f>
        <v>567</v>
      </c>
      <c r="O12" s="7">
        <v>620</v>
      </c>
      <c r="P12" s="7">
        <f>SUM(F12:I12)</f>
        <v>733.33333333333337</v>
      </c>
      <c r="Q12" s="7"/>
    </row>
    <row r="13" spans="1:17" x14ac:dyDescent="0.55000000000000004">
      <c r="A13" t="s">
        <v>17</v>
      </c>
      <c r="B13" s="6">
        <f t="shared" ref="B13:I13" si="7">B12/B3</f>
        <v>18.107859860910619</v>
      </c>
      <c r="C13" s="6">
        <f t="shared" si="7"/>
        <v>15.309734513274341</v>
      </c>
      <c r="D13" s="6">
        <f t="shared" si="7"/>
        <v>19.07997909043387</v>
      </c>
      <c r="E13" s="6">
        <f t="shared" si="7"/>
        <v>12.706579357655126</v>
      </c>
      <c r="F13" s="6">
        <f t="shared" si="7"/>
        <v>20.914396887159523</v>
      </c>
      <c r="G13" s="6">
        <f t="shared" si="7"/>
        <v>16.129032258064509</v>
      </c>
      <c r="H13" s="6">
        <f t="shared" si="7"/>
        <v>18.252666119770286</v>
      </c>
      <c r="I13" s="6">
        <f t="shared" si="7"/>
        <v>17.967723434993125</v>
      </c>
      <c r="J13" s="6"/>
      <c r="K13" s="6"/>
      <c r="L13" s="6"/>
      <c r="M13" s="6">
        <f>M12/M3</f>
        <v>16.609496298970935</v>
      </c>
      <c r="N13" s="6">
        <f>N12/N3</f>
        <v>21.667685723020476</v>
      </c>
      <c r="O13" s="6">
        <f>O12/O3</f>
        <v>21.449576197889638</v>
      </c>
      <c r="P13" s="6">
        <f>P12/P3</f>
        <v>27.719523224200543</v>
      </c>
    </row>
    <row r="14" spans="1:17" x14ac:dyDescent="0.55000000000000004">
      <c r="A14" t="s">
        <v>23</v>
      </c>
      <c r="B14" s="7">
        <v>89</v>
      </c>
      <c r="C14" s="7">
        <v>103</v>
      </c>
      <c r="D14" s="7">
        <v>116</v>
      </c>
      <c r="E14" s="7">
        <v>116</v>
      </c>
      <c r="F14" s="7">
        <v>112</v>
      </c>
      <c r="G14" s="7">
        <v>139</v>
      </c>
      <c r="H14" s="7">
        <v>143</v>
      </c>
      <c r="I14" s="7">
        <f>AVERAGE(F14:H14)</f>
        <v>131.33333333333334</v>
      </c>
      <c r="J14" s="7"/>
      <c r="K14" s="7"/>
      <c r="L14" s="7"/>
      <c r="M14" s="7">
        <v>330</v>
      </c>
      <c r="N14" s="7">
        <v>373</v>
      </c>
      <c r="O14" s="7">
        <v>424</v>
      </c>
      <c r="P14" s="7">
        <f>SUM(C14:F14)</f>
        <v>447</v>
      </c>
    </row>
    <row r="15" spans="1:17" x14ac:dyDescent="0.55000000000000004">
      <c r="A15" t="s">
        <v>24</v>
      </c>
      <c r="B15">
        <v>102</v>
      </c>
      <c r="C15">
        <v>101</v>
      </c>
      <c r="D15">
        <v>109</v>
      </c>
      <c r="E15">
        <v>116</v>
      </c>
      <c r="F15">
        <v>123</v>
      </c>
      <c r="G15">
        <v>129</v>
      </c>
      <c r="H15">
        <v>141</v>
      </c>
      <c r="I15" s="3">
        <f>(1+(H15-G15)/G15)*H15</f>
        <v>154.11627906976744</v>
      </c>
      <c r="M15">
        <v>77</v>
      </c>
      <c r="N15">
        <v>92</v>
      </c>
      <c r="O15">
        <v>116</v>
      </c>
      <c r="P15" s="3">
        <f>I15</f>
        <v>154.11627906976744</v>
      </c>
    </row>
    <row r="16" spans="1:17" x14ac:dyDescent="0.55000000000000004">
      <c r="A16" t="s">
        <v>18</v>
      </c>
      <c r="B16" s="6">
        <f>B14/B15</f>
        <v>0.87254901960784315</v>
      </c>
      <c r="C16" s="6">
        <f t="shared" ref="C16:N16" si="8">C14/C15</f>
        <v>1.0198019801980198</v>
      </c>
      <c r="D16" s="6">
        <f t="shared" si="8"/>
        <v>1.0642201834862386</v>
      </c>
      <c r="E16" s="6">
        <f t="shared" si="8"/>
        <v>1</v>
      </c>
      <c r="F16" s="6">
        <f t="shared" si="8"/>
        <v>0.91056910569105687</v>
      </c>
      <c r="G16" s="6">
        <f t="shared" si="8"/>
        <v>1.0775193798449612</v>
      </c>
      <c r="H16" s="6">
        <f t="shared" si="8"/>
        <v>1.0141843971631206</v>
      </c>
      <c r="I16" s="6">
        <f t="shared" si="8"/>
        <v>0.85217041396308035</v>
      </c>
      <c r="J16" s="6"/>
      <c r="K16" s="6"/>
      <c r="L16" s="6"/>
      <c r="M16" s="6">
        <f t="shared" si="8"/>
        <v>4.2857142857142856</v>
      </c>
      <c r="N16" s="6">
        <f t="shared" si="8"/>
        <v>4.0543478260869561</v>
      </c>
      <c r="O16" s="6">
        <f>O14/O15</f>
        <v>3.6551724137931036</v>
      </c>
      <c r="P16" s="6">
        <f>SUM(F16:I16)</f>
        <v>3.8544432966622186</v>
      </c>
    </row>
    <row r="17" spans="1:18" x14ac:dyDescent="0.55000000000000004">
      <c r="A17" t="s">
        <v>25</v>
      </c>
      <c r="B17" s="6">
        <f>B13+B16</f>
        <v>18.980408880518461</v>
      </c>
      <c r="C17" s="6">
        <f t="shared" ref="C17:P17" si="9">C13+C16</f>
        <v>16.329536493472361</v>
      </c>
      <c r="D17" s="6">
        <f t="shared" si="9"/>
        <v>20.144199273920108</v>
      </c>
      <c r="E17" s="6">
        <f t="shared" si="9"/>
        <v>13.706579357655126</v>
      </c>
      <c r="F17" s="6">
        <f t="shared" si="9"/>
        <v>21.824965992850579</v>
      </c>
      <c r="G17" s="6">
        <f t="shared" si="9"/>
        <v>17.20655163790947</v>
      </c>
      <c r="H17" s="6">
        <f t="shared" si="9"/>
        <v>19.266850516933406</v>
      </c>
      <c r="I17" s="6">
        <f t="shared" si="9"/>
        <v>18.819893848956205</v>
      </c>
      <c r="J17" s="6"/>
      <c r="K17" s="6"/>
      <c r="L17" s="6"/>
      <c r="M17" s="6">
        <f t="shared" si="9"/>
        <v>20.89521058468522</v>
      </c>
      <c r="N17" s="6">
        <f t="shared" si="9"/>
        <v>25.722033549107433</v>
      </c>
      <c r="O17" s="6">
        <f t="shared" si="9"/>
        <v>25.104748611682741</v>
      </c>
      <c r="P17" s="6">
        <f t="shared" si="9"/>
        <v>31.573966520862761</v>
      </c>
      <c r="Q17" t="s">
        <v>16</v>
      </c>
    </row>
    <row r="18" spans="1:18" x14ac:dyDescent="0.55000000000000004">
      <c r="A18" t="s">
        <v>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M18">
        <v>0</v>
      </c>
      <c r="N18">
        <v>0</v>
      </c>
      <c r="O18">
        <v>0</v>
      </c>
      <c r="P18">
        <v>0</v>
      </c>
      <c r="Q18" t="s">
        <v>32</v>
      </c>
    </row>
    <row r="20" spans="1:18" x14ac:dyDescent="0.55000000000000004">
      <c r="A20" t="s">
        <v>6</v>
      </c>
      <c r="B20">
        <v>7.2499999999999995E-2</v>
      </c>
      <c r="C20">
        <v>7.2499999999999995E-2</v>
      </c>
      <c r="D20">
        <v>7.2499999999999995E-2</v>
      </c>
      <c r="E20">
        <v>7.2499999999999995E-2</v>
      </c>
      <c r="F20">
        <v>7.2499999999999995E-2</v>
      </c>
      <c r="G20">
        <v>7.2499999999999995E-2</v>
      </c>
      <c r="H20">
        <v>7.2499999999999995E-2</v>
      </c>
      <c r="I20">
        <v>7.2499999999999995E-2</v>
      </c>
      <c r="M20">
        <v>0.19</v>
      </c>
      <c r="N20">
        <v>0.19</v>
      </c>
      <c r="O20">
        <v>0.19</v>
      </c>
      <c r="P20">
        <v>0.19</v>
      </c>
      <c r="Q20" s="4"/>
      <c r="R20" s="1" t="s">
        <v>33</v>
      </c>
    </row>
    <row r="21" spans="1:18" x14ac:dyDescent="0.55000000000000004">
      <c r="A21" t="s">
        <v>31</v>
      </c>
      <c r="B21" s="7">
        <v>843</v>
      </c>
      <c r="C21" s="7">
        <v>885</v>
      </c>
      <c r="D21" s="7">
        <v>669</v>
      </c>
      <c r="E21" s="7">
        <v>915</v>
      </c>
      <c r="F21" s="7">
        <v>660</v>
      </c>
      <c r="G21" s="7">
        <v>586</v>
      </c>
      <c r="H21" s="7">
        <v>640</v>
      </c>
      <c r="I21" s="7">
        <f>AVERAGE(F21:H21)</f>
        <v>628.66666666666663</v>
      </c>
      <c r="J21" s="7"/>
      <c r="K21" s="7"/>
      <c r="L21" s="7"/>
      <c r="M21" s="7">
        <v>830</v>
      </c>
      <c r="N21" s="7">
        <v>1032</v>
      </c>
      <c r="O21" s="7">
        <v>915</v>
      </c>
      <c r="P21" s="7">
        <f>I21</f>
        <v>628.66666666666663</v>
      </c>
    </row>
    <row r="22" spans="1:18" x14ac:dyDescent="0.55000000000000004">
      <c r="A22" t="s">
        <v>26</v>
      </c>
      <c r="B22" s="7">
        <v>3041</v>
      </c>
      <c r="C22" s="7">
        <v>2361</v>
      </c>
      <c r="D22" s="7">
        <v>2539</v>
      </c>
      <c r="E22" s="7">
        <v>2242</v>
      </c>
      <c r="F22" s="7">
        <v>3131</v>
      </c>
      <c r="G22" s="7">
        <v>3168</v>
      </c>
      <c r="H22" s="7">
        <v>3094</v>
      </c>
      <c r="I22" s="7">
        <f>AVERAGE(F22:H22)</f>
        <v>3131</v>
      </c>
      <c r="J22" s="7"/>
      <c r="K22" s="7"/>
      <c r="L22" s="7"/>
      <c r="M22" s="7">
        <v>2340</v>
      </c>
      <c r="N22" s="7">
        <v>2869</v>
      </c>
      <c r="O22" s="7">
        <v>2242</v>
      </c>
      <c r="P22" s="7">
        <f>I22</f>
        <v>3131</v>
      </c>
    </row>
    <row r="23" spans="1:18" x14ac:dyDescent="0.55000000000000004">
      <c r="A23" t="s">
        <v>27</v>
      </c>
      <c r="B23" s="7">
        <v>161</v>
      </c>
      <c r="C23" s="7">
        <v>999</v>
      </c>
      <c r="D23" s="7">
        <v>1594</v>
      </c>
      <c r="E23" s="7">
        <v>2094</v>
      </c>
      <c r="F23" s="7">
        <v>2462</v>
      </c>
      <c r="G23" s="7">
        <v>1945</v>
      </c>
      <c r="H23" s="7">
        <v>1942</v>
      </c>
      <c r="I23" s="7">
        <f>AVERAGE(F23:H23)</f>
        <v>2116.3333333333335</v>
      </c>
      <c r="J23" s="7"/>
      <c r="K23" s="7"/>
      <c r="L23" s="7"/>
      <c r="M23" s="7">
        <v>-240</v>
      </c>
      <c r="N23" s="7">
        <v>238</v>
      </c>
      <c r="O23" s="7">
        <v>2094</v>
      </c>
      <c r="P23" s="7">
        <f>I23</f>
        <v>2116.3333333333335</v>
      </c>
    </row>
    <row r="24" spans="1:18" x14ac:dyDescent="0.55000000000000004">
      <c r="A24" t="s">
        <v>7</v>
      </c>
      <c r="B24">
        <v>0.22</v>
      </c>
      <c r="C24">
        <v>0.22</v>
      </c>
      <c r="D24">
        <v>0.22</v>
      </c>
      <c r="E24">
        <v>0.22</v>
      </c>
      <c r="F24">
        <v>0.22</v>
      </c>
      <c r="G24">
        <v>0.22</v>
      </c>
      <c r="H24">
        <v>0.22</v>
      </c>
      <c r="I24">
        <v>0.22</v>
      </c>
      <c r="M24">
        <v>0.22</v>
      </c>
      <c r="N24">
        <v>0.22</v>
      </c>
      <c r="O24">
        <v>0.22</v>
      </c>
      <c r="P24">
        <v>0.22</v>
      </c>
      <c r="Q24" t="s">
        <v>29</v>
      </c>
    </row>
    <row r="26" spans="1:18" x14ac:dyDescent="0.55000000000000004">
      <c r="A26" t="s">
        <v>34</v>
      </c>
      <c r="B26" s="7">
        <f t="shared" ref="B26:G26" si="10">(B8-B18)*(1+B20)/(1+B20-B10)</f>
        <v>33.141630901287542</v>
      </c>
      <c r="C26" s="7">
        <f t="shared" si="10"/>
        <v>34.272971715186912</v>
      </c>
      <c r="D26" s="7">
        <f t="shared" si="10"/>
        <v>33.437916235015521</v>
      </c>
      <c r="E26" s="7">
        <f t="shared" si="10"/>
        <v>38.262473175965653</v>
      </c>
      <c r="F26" s="7">
        <f t="shared" si="10"/>
        <v>33.049570815450629</v>
      </c>
      <c r="G26" s="7">
        <f t="shared" si="10"/>
        <v>34.778254649499274</v>
      </c>
      <c r="H26" s="7">
        <f>(H8-H18)*(1+H20)/(1+H20-H10)</f>
        <v>33.728208439363428</v>
      </c>
      <c r="I26" s="7">
        <f>(I8-I18)*(1+I20)/(1+I20-I10)</f>
        <v>32.70986586284959</v>
      </c>
      <c r="J26" s="7"/>
      <c r="K26" s="7"/>
      <c r="L26" s="7"/>
      <c r="M26" s="7">
        <f t="shared" ref="M26:N26" si="11">(M8-M18)*(1+M20)/(1+M20-M10)</f>
        <v>42.223307291666664</v>
      </c>
      <c r="N26" s="7">
        <f t="shared" si="11"/>
        <v>55.138832997987926</v>
      </c>
      <c r="O26" s="7">
        <f>(O8-O18)*(1+O20)/(1+O20-O10)</f>
        <v>66.534900284900289</v>
      </c>
      <c r="P26" s="7">
        <f>(P8-P18)*(1+P20)/(1+P20-P10)</f>
        <v>68.867328927631235</v>
      </c>
    </row>
    <row r="27" spans="1:18" x14ac:dyDescent="0.55000000000000004">
      <c r="A27" t="s">
        <v>35</v>
      </c>
      <c r="B27" s="7">
        <f t="shared" ref="B27:G27" si="12">B26-B17</f>
        <v>14.161222020769081</v>
      </c>
      <c r="C27" s="7">
        <f t="shared" si="12"/>
        <v>17.943435221714552</v>
      </c>
      <c r="D27" s="7">
        <f t="shared" si="12"/>
        <v>13.293716961095413</v>
      </c>
      <c r="E27" s="7">
        <f t="shared" si="12"/>
        <v>24.555893818310526</v>
      </c>
      <c r="F27" s="7">
        <f t="shared" si="12"/>
        <v>11.22460482260005</v>
      </c>
      <c r="G27" s="7">
        <f t="shared" si="12"/>
        <v>17.571703011589804</v>
      </c>
      <c r="H27" s="7">
        <f>H26-H17</f>
        <v>14.461357922430022</v>
      </c>
      <c r="I27" s="7">
        <f>I26-I17</f>
        <v>13.889972013893384</v>
      </c>
      <c r="J27" s="7"/>
      <c r="K27" s="7"/>
      <c r="L27" s="7"/>
      <c r="M27" s="7">
        <f t="shared" ref="M27:N27" si="13">M26-M17</f>
        <v>21.328096706981444</v>
      </c>
      <c r="N27" s="7">
        <f t="shared" si="13"/>
        <v>29.416799448880493</v>
      </c>
      <c r="O27" s="7">
        <f>O26-O17</f>
        <v>41.430151673217551</v>
      </c>
      <c r="P27" s="7">
        <f>P26-P17</f>
        <v>37.293362406768473</v>
      </c>
    </row>
    <row r="28" spans="1:18" x14ac:dyDescent="0.55000000000000004">
      <c r="A28" t="s">
        <v>36</v>
      </c>
      <c r="B28" s="7">
        <f t="shared" ref="B28:G28" si="14">B26*B2</f>
        <v>2485.6223175965656</v>
      </c>
      <c r="C28" s="7">
        <f t="shared" si="14"/>
        <v>2844.6566523605138</v>
      </c>
      <c r="D28" s="7">
        <f t="shared" si="14"/>
        <v>2909.0987124463504</v>
      </c>
      <c r="E28" s="7">
        <f t="shared" si="14"/>
        <v>3673.1974248927027</v>
      </c>
      <c r="F28" s="7">
        <f t="shared" si="14"/>
        <v>3304.9570815450629</v>
      </c>
      <c r="G28" s="7">
        <f t="shared" si="14"/>
        <v>3756.0515021459214</v>
      </c>
      <c r="H28" s="7">
        <f>H26*H2</f>
        <v>3811.2875536480674</v>
      </c>
      <c r="I28" s="7">
        <f>I26*I2</f>
        <v>3867.3359000252444</v>
      </c>
      <c r="J28" s="7"/>
      <c r="K28" s="7"/>
      <c r="L28" s="7"/>
      <c r="M28" s="7">
        <f t="shared" ref="M28:N28" si="15">M26*M2</f>
        <v>2026.71875</v>
      </c>
      <c r="N28" s="7">
        <f t="shared" si="15"/>
        <v>3914.8571428571427</v>
      </c>
      <c r="O28" s="7">
        <f>O26*O2</f>
        <v>6387.3504273504277</v>
      </c>
      <c r="P28" s="7">
        <f>P26*P2</f>
        <v>8142.2863247863261</v>
      </c>
    </row>
    <row r="29" spans="1:18" x14ac:dyDescent="0.55000000000000004">
      <c r="A29" t="s">
        <v>37</v>
      </c>
      <c r="B29" s="7">
        <f t="shared" ref="B29:G29" si="16">B3*B27*(1+B20)/B20</f>
        <v>1596.5112664034718</v>
      </c>
      <c r="C29" s="7">
        <f t="shared" si="16"/>
        <v>2999.4617560105385</v>
      </c>
      <c r="D29" s="7">
        <f t="shared" si="16"/>
        <v>1504.8065868249523</v>
      </c>
      <c r="E29" s="7">
        <f t="shared" si="16"/>
        <v>4659.8720528155982</v>
      </c>
      <c r="F29" s="7">
        <f t="shared" si="16"/>
        <v>1365.5683922826195</v>
      </c>
      <c r="G29" s="7">
        <f t="shared" si="16"/>
        <v>3223.2562531190752</v>
      </c>
      <c r="H29" s="7">
        <f>H3*H27*(1+H20)/H20</f>
        <v>2086.2294032807481</v>
      </c>
      <c r="I29" s="7">
        <f>I3*I27*(1+I20)/I20</f>
        <v>2096.5684476987099</v>
      </c>
      <c r="J29" s="7"/>
      <c r="K29" s="7"/>
      <c r="L29" s="7"/>
      <c r="M29" s="7">
        <f t="shared" ref="M29" si="17">M3*M27*(1+M20)/M20</f>
        <v>2959.6258929550436</v>
      </c>
      <c r="N29" s="7">
        <f>N3*N27*(1+N20)/N20</f>
        <v>4821.2462183904363</v>
      </c>
      <c r="O29" s="7">
        <f>O3*O27*(1+O20)/O20</f>
        <v>7500.3729241898964</v>
      </c>
      <c r="P29" s="7">
        <f>P3*P27*(1+P20)/P20</f>
        <v>6179.3183771367621</v>
      </c>
    </row>
    <row r="30" spans="1:18" x14ac:dyDescent="0.55000000000000004">
      <c r="A30" t="s">
        <v>39</v>
      </c>
      <c r="B30" s="7">
        <f>B28+B29</f>
        <v>4082.1335840000374</v>
      </c>
      <c r="C30" s="7">
        <f t="shared" ref="C30:O30" si="18">C28+C29</f>
        <v>5844.1184083710523</v>
      </c>
      <c r="D30" s="7">
        <f t="shared" si="18"/>
        <v>4413.9052992713023</v>
      </c>
      <c r="E30" s="7">
        <f t="shared" si="18"/>
        <v>8333.0694777083008</v>
      </c>
      <c r="F30" s="7">
        <f t="shared" si="18"/>
        <v>4670.5254738276826</v>
      </c>
      <c r="G30" s="7">
        <f t="shared" si="18"/>
        <v>6979.3077552649966</v>
      </c>
      <c r="H30" s="7">
        <f t="shared" si="18"/>
        <v>5897.5169569288155</v>
      </c>
      <c r="I30" s="7">
        <f t="shared" ref="I30" si="19">I28+I29</f>
        <v>5963.9043477239538</v>
      </c>
      <c r="J30" s="7"/>
      <c r="K30" s="7"/>
      <c r="L30" s="7"/>
      <c r="M30" s="7">
        <f t="shared" ref="M30" si="20">M28+M29</f>
        <v>4986.344642955044</v>
      </c>
      <c r="N30" s="7">
        <f t="shared" ref="N30" si="21">N28+N29</f>
        <v>8736.1033612475785</v>
      </c>
      <c r="O30" s="7">
        <f t="shared" si="18"/>
        <v>13887.723351540324</v>
      </c>
      <c r="P30" s="7">
        <f t="shared" ref="P30" si="22">P28+P29</f>
        <v>14321.604701923088</v>
      </c>
    </row>
    <row r="31" spans="1:18" x14ac:dyDescent="0.55000000000000004">
      <c r="A31" t="s">
        <v>38</v>
      </c>
      <c r="B31" s="7">
        <f>B9*(1+B20)/B20</f>
        <v>2751.5172413793107</v>
      </c>
      <c r="C31" s="7">
        <f t="shared" ref="C31:H31" si="23">C9*(1+C20)/C20</f>
        <v>3639.1034482758619</v>
      </c>
      <c r="D31" s="7">
        <f t="shared" si="23"/>
        <v>2988.2068965517246</v>
      </c>
      <c r="E31" s="7">
        <f t="shared" si="23"/>
        <v>2100.6206896551726</v>
      </c>
      <c r="F31" s="7">
        <f t="shared" si="23"/>
        <v>3668.6896551724144</v>
      </c>
      <c r="G31" s="7">
        <f t="shared" si="23"/>
        <v>3505.9655172413795</v>
      </c>
      <c r="H31" s="7">
        <f t="shared" si="23"/>
        <v>3091.7586206896553</v>
      </c>
      <c r="I31" s="7">
        <f t="shared" ref="I31" si="24">I9*(1+I20)/I20</f>
        <v>3422.1379310344832</v>
      </c>
      <c r="J31" s="7"/>
      <c r="K31" s="7"/>
      <c r="L31" s="7"/>
      <c r="M31" s="7">
        <f t="shared" ref="M31:O31" si="25">M9*(1+M20)/M20</f>
        <v>2392.5263157894738</v>
      </c>
      <c r="N31" s="7">
        <f t="shared" si="25"/>
        <v>4133.6842105263158</v>
      </c>
      <c r="O31" s="7">
        <f t="shared" si="25"/>
        <v>4860.2105263157891</v>
      </c>
      <c r="P31" s="7">
        <f t="shared" ref="P31" si="26">P9*(1+P20)/P20</f>
        <v>5795.5087719298253</v>
      </c>
    </row>
    <row r="32" spans="1:18" x14ac:dyDescent="0.55000000000000004">
      <c r="A32" t="s">
        <v>40</v>
      </c>
      <c r="B32" s="7">
        <f>B30-B31</f>
        <v>1330.6163426207268</v>
      </c>
      <c r="C32" s="7">
        <f t="shared" ref="C32:O32" si="27">C30-C31</f>
        <v>2205.0149600951904</v>
      </c>
      <c r="D32" s="7">
        <f t="shared" si="27"/>
        <v>1425.6984027195776</v>
      </c>
      <c r="E32" s="7">
        <f t="shared" si="27"/>
        <v>6232.4487880531287</v>
      </c>
      <c r="F32" s="7">
        <f t="shared" si="27"/>
        <v>1001.8358186552682</v>
      </c>
      <c r="G32" s="7">
        <f t="shared" si="27"/>
        <v>3473.342238023617</v>
      </c>
      <c r="H32" s="7">
        <f t="shared" si="27"/>
        <v>2805.7583362391601</v>
      </c>
      <c r="I32" s="7">
        <f t="shared" ref="I32" si="28">I30-I31</f>
        <v>2541.7664166894706</v>
      </c>
      <c r="J32" s="7"/>
      <c r="K32" s="7"/>
      <c r="L32" s="7"/>
      <c r="M32" s="7">
        <f t="shared" ref="M32" si="29">M30-M31</f>
        <v>2593.8183271655703</v>
      </c>
      <c r="N32" s="7">
        <f t="shared" ref="N32" si="30">N30-N31</f>
        <v>4602.4191507212627</v>
      </c>
      <c r="O32" s="7">
        <f t="shared" si="27"/>
        <v>9027.512825224534</v>
      </c>
      <c r="P32" s="7">
        <f t="shared" ref="P32" si="31">P30-P31</f>
        <v>8526.095929993262</v>
      </c>
    </row>
    <row r="33" spans="1:16" x14ac:dyDescent="0.55000000000000004">
      <c r="A33" t="s">
        <v>31</v>
      </c>
      <c r="B33" s="7">
        <f>B21</f>
        <v>843</v>
      </c>
      <c r="C33" s="7">
        <f t="shared" ref="C33:H33" si="32">C21</f>
        <v>885</v>
      </c>
      <c r="D33" s="7">
        <f t="shared" si="32"/>
        <v>669</v>
      </c>
      <c r="E33" s="7">
        <f t="shared" si="32"/>
        <v>915</v>
      </c>
      <c r="F33" s="7">
        <f t="shared" si="32"/>
        <v>660</v>
      </c>
      <c r="G33" s="7">
        <f t="shared" si="32"/>
        <v>586</v>
      </c>
      <c r="H33" s="7">
        <f t="shared" si="32"/>
        <v>640</v>
      </c>
      <c r="I33" s="7">
        <f t="shared" ref="I33" si="33">I21</f>
        <v>628.66666666666663</v>
      </c>
      <c r="J33" s="7"/>
      <c r="K33" s="7"/>
      <c r="L33" s="7"/>
      <c r="M33" s="7">
        <v>830</v>
      </c>
      <c r="N33" s="7">
        <v>1032</v>
      </c>
      <c r="O33" s="7">
        <v>915</v>
      </c>
      <c r="P33" s="7">
        <v>916</v>
      </c>
    </row>
    <row r="34" spans="1:16" x14ac:dyDescent="0.55000000000000004">
      <c r="A34" t="s">
        <v>41</v>
      </c>
      <c r="B34" s="7">
        <f>B32-B33</f>
        <v>487.61634262072675</v>
      </c>
      <c r="C34" s="7">
        <f t="shared" ref="C34:O34" si="34">C32-C33</f>
        <v>1320.0149600951904</v>
      </c>
      <c r="D34" s="7">
        <f t="shared" si="34"/>
        <v>756.69840271957764</v>
      </c>
      <c r="E34" s="7">
        <f t="shared" si="34"/>
        <v>5317.4487880531287</v>
      </c>
      <c r="F34" s="7">
        <f t="shared" si="34"/>
        <v>341.83581865526821</v>
      </c>
      <c r="G34" s="7">
        <f t="shared" si="34"/>
        <v>2887.342238023617</v>
      </c>
      <c r="H34" s="7">
        <f t="shared" si="34"/>
        <v>2165.7583362391601</v>
      </c>
      <c r="I34" s="7">
        <f t="shared" ref="I34" si="35">I32-I33</f>
        <v>1913.0997500228041</v>
      </c>
      <c r="J34" s="7"/>
      <c r="K34" s="7"/>
      <c r="L34" s="7"/>
      <c r="M34" s="7">
        <f t="shared" ref="M34" si="36">M32-M33</f>
        <v>1763.8183271655703</v>
      </c>
      <c r="N34" s="7">
        <f t="shared" ref="N34" si="37">N32-N33</f>
        <v>3570.4191507212627</v>
      </c>
      <c r="O34" s="7">
        <f t="shared" si="34"/>
        <v>8112.512825224534</v>
      </c>
      <c r="P34" s="7">
        <f t="shared" ref="P34" si="38">P32-P33</f>
        <v>7610.095929993262</v>
      </c>
    </row>
    <row r="35" spans="1:16" x14ac:dyDescent="0.55000000000000004">
      <c r="A35" t="s">
        <v>42</v>
      </c>
      <c r="B35" s="7">
        <f>B22</f>
        <v>3041</v>
      </c>
      <c r="C35" s="7">
        <f t="shared" ref="C35:H35" si="39">C22</f>
        <v>2361</v>
      </c>
      <c r="D35" s="7">
        <f t="shared" si="39"/>
        <v>2539</v>
      </c>
      <c r="E35" s="7">
        <f t="shared" si="39"/>
        <v>2242</v>
      </c>
      <c r="F35" s="7">
        <f t="shared" si="39"/>
        <v>3131</v>
      </c>
      <c r="G35" s="7">
        <f t="shared" si="39"/>
        <v>3168</v>
      </c>
      <c r="H35" s="7">
        <f t="shared" si="39"/>
        <v>3094</v>
      </c>
      <c r="I35" s="7">
        <f t="shared" ref="I35" si="40">I22</f>
        <v>3131</v>
      </c>
      <c r="J35" s="7"/>
      <c r="K35" s="7"/>
      <c r="L35" s="7"/>
      <c r="M35" s="7">
        <f t="shared" ref="M35:O35" si="41">M22</f>
        <v>2340</v>
      </c>
      <c r="N35" s="7">
        <f t="shared" si="41"/>
        <v>2869</v>
      </c>
      <c r="O35" s="7">
        <f t="shared" si="41"/>
        <v>2242</v>
      </c>
      <c r="P35" s="7">
        <f t="shared" ref="P35" si="42">P22</f>
        <v>3131</v>
      </c>
    </row>
    <row r="36" spans="1:16" x14ac:dyDescent="0.55000000000000004">
      <c r="A36" t="s">
        <v>45</v>
      </c>
      <c r="B36" s="7">
        <f>B34-B35</f>
        <v>-2553.3836573792732</v>
      </c>
      <c r="C36" s="7">
        <f t="shared" ref="C36:O36" si="43">C34-C35</f>
        <v>-1040.9850399048096</v>
      </c>
      <c r="D36" s="7">
        <f t="shared" si="43"/>
        <v>-1782.3015972804224</v>
      </c>
      <c r="E36" s="7">
        <f t="shared" si="43"/>
        <v>3075.4487880531287</v>
      </c>
      <c r="F36" s="7">
        <f t="shared" si="43"/>
        <v>-2789.1641813447318</v>
      </c>
      <c r="G36" s="7">
        <f t="shared" si="43"/>
        <v>-280.65776197638297</v>
      </c>
      <c r="H36" s="7">
        <f t="shared" si="43"/>
        <v>-928.24166376083986</v>
      </c>
      <c r="I36" s="7">
        <f t="shared" ref="I36" si="44">I34-I35</f>
        <v>-1217.9002499771959</v>
      </c>
      <c r="J36" s="7"/>
      <c r="K36" s="7"/>
      <c r="L36" s="7"/>
      <c r="M36" s="7">
        <f t="shared" ref="M36" si="45">M34-M35</f>
        <v>-576.18167283442972</v>
      </c>
      <c r="N36" s="7">
        <f t="shared" ref="N36" si="46">N34-N35</f>
        <v>701.41915072126267</v>
      </c>
      <c r="O36" s="7">
        <f t="shared" si="43"/>
        <v>5870.512825224534</v>
      </c>
      <c r="P36" s="7">
        <f t="shared" ref="P36" si="47">P34-P35</f>
        <v>4479.095929993262</v>
      </c>
    </row>
    <row r="37" spans="1:16" x14ac:dyDescent="0.55000000000000004">
      <c r="A37" t="s">
        <v>46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>
        <f>IF(M36&gt;0,M36*(1-M24),M36)</f>
        <v>-576.18167283442972</v>
      </c>
      <c r="N37" s="7">
        <f t="shared" ref="N37:P37" si="48">IF(N36&gt;0,N36*(1-N24),N36)</f>
        <v>547.1069375625849</v>
      </c>
      <c r="O37" s="7">
        <f t="shared" si="48"/>
        <v>4579.0000036751371</v>
      </c>
      <c r="P37" s="7">
        <f t="shared" si="48"/>
        <v>3493.6948253947444</v>
      </c>
    </row>
    <row r="38" spans="1:16" x14ac:dyDescent="0.55000000000000004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40" spans="1:16" x14ac:dyDescent="0.55000000000000004">
      <c r="A40" t="s">
        <v>44</v>
      </c>
      <c r="O40">
        <v>181140000</v>
      </c>
      <c r="P40">
        <v>181140000</v>
      </c>
    </row>
    <row r="41" spans="1:16" x14ac:dyDescent="0.55000000000000004">
      <c r="A41" t="s">
        <v>47</v>
      </c>
      <c r="M41" t="s">
        <v>49</v>
      </c>
      <c r="N41" t="s">
        <v>49</v>
      </c>
      <c r="O41">
        <v>99.79</v>
      </c>
      <c r="P41">
        <v>142.55000000000001</v>
      </c>
    </row>
    <row r="42" spans="1:16" x14ac:dyDescent="0.55000000000000004">
      <c r="A42" t="s">
        <v>48</v>
      </c>
      <c r="M42" t="s">
        <v>49</v>
      </c>
      <c r="N42" t="s">
        <v>49</v>
      </c>
      <c r="O42" s="7">
        <f>O41*O40/1000000</f>
        <v>18075.960599999999</v>
      </c>
      <c r="P42" s="7">
        <f>P41*P40/1000000</f>
        <v>25821.507000000005</v>
      </c>
    </row>
    <row r="47" spans="1:16" x14ac:dyDescent="0.55000000000000004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55000000000000004">
      <c r="A48" t="s">
        <v>50</v>
      </c>
      <c r="L48">
        <v>7.6999999999999999E-2</v>
      </c>
      <c r="M48">
        <v>6.6000000000000003E-2</v>
      </c>
      <c r="N48">
        <v>5.5E-2</v>
      </c>
      <c r="O48">
        <f>N48-0.011</f>
        <v>4.3999999999999997E-2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Ratschat</dc:creator>
  <cp:lastModifiedBy>Jonathan Ratschat</cp:lastModifiedBy>
  <dcterms:created xsi:type="dcterms:W3CDTF">2019-11-26T09:58:11Z</dcterms:created>
  <dcterms:modified xsi:type="dcterms:W3CDTF">2019-11-30T09:53:08Z</dcterms:modified>
</cp:coreProperties>
</file>