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2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3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93\Downloads\"/>
    </mc:Choice>
  </mc:AlternateContent>
  <xr:revisionPtr revIDLastSave="0" documentId="13_ncr:1_{A74663A2-1CC2-4693-88C1-678598373E6C}" xr6:coauthVersionLast="47" xr6:coauthVersionMax="47" xr10:uidLastSave="{00000000-0000-0000-0000-000000000000}"/>
  <bookViews>
    <workbookView xWindow="-110" yWindow="-110" windowWidth="19420" windowHeight="11020" firstSheet="1" activeTab="3" xr2:uid="{522BEABA-7AB8-42FE-8556-B0A9A32ACD2F}"/>
  </bookViews>
  <sheets>
    <sheet name="Hoja1" sheetId="1" state="hidden" r:id="rId1"/>
    <sheet name="Hoja6" sheetId="3" r:id="rId2"/>
    <sheet name="Hoja4" sheetId="4" r:id="rId3"/>
    <sheet name="d10" sheetId="5" r:id="rId4"/>
    <sheet name="d30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1" i="3" l="1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M41" i="3"/>
  <c r="L41" i="3"/>
  <c r="K41" i="3"/>
  <c r="J41" i="3"/>
  <c r="I41" i="3"/>
  <c r="F41" i="3"/>
  <c r="E41" i="3"/>
  <c r="D41" i="3"/>
  <c r="C41" i="3"/>
  <c r="B41" i="3"/>
  <c r="M40" i="3"/>
  <c r="L40" i="3"/>
  <c r="K40" i="3"/>
  <c r="J40" i="3"/>
  <c r="I40" i="3"/>
  <c r="F40" i="3"/>
  <c r="E40" i="3"/>
  <c r="D40" i="3"/>
  <c r="C40" i="3"/>
  <c r="B40" i="3"/>
  <c r="M39" i="3"/>
  <c r="L39" i="3"/>
  <c r="K39" i="3"/>
  <c r="J39" i="3"/>
  <c r="I39" i="3"/>
  <c r="F39" i="3"/>
  <c r="E39" i="3"/>
  <c r="D39" i="3"/>
  <c r="C39" i="3"/>
  <c r="B39" i="3"/>
  <c r="M38" i="3"/>
  <c r="L38" i="3"/>
  <c r="K38" i="3"/>
  <c r="J38" i="3"/>
  <c r="I38" i="3"/>
  <c r="F38" i="3"/>
  <c r="E38" i="3"/>
  <c r="D38" i="3"/>
  <c r="C38" i="3"/>
  <c r="B38" i="3"/>
  <c r="M37" i="3"/>
  <c r="L37" i="3"/>
  <c r="K37" i="3"/>
  <c r="J37" i="3"/>
  <c r="I37" i="3"/>
  <c r="F37" i="3"/>
  <c r="E37" i="3"/>
  <c r="D37" i="3"/>
  <c r="C37" i="3"/>
  <c r="B37" i="3"/>
  <c r="M36" i="3"/>
  <c r="L36" i="3"/>
  <c r="K36" i="3"/>
  <c r="J36" i="3"/>
  <c r="I36" i="3"/>
  <c r="F36" i="3"/>
  <c r="E36" i="3"/>
  <c r="D36" i="3"/>
  <c r="C36" i="3"/>
  <c r="B36" i="3"/>
  <c r="M8" i="3"/>
  <c r="L8" i="3"/>
  <c r="K8" i="3"/>
  <c r="J8" i="3"/>
  <c r="I8" i="3"/>
  <c r="F8" i="3"/>
  <c r="E8" i="3"/>
  <c r="D8" i="3"/>
  <c r="C8" i="3"/>
  <c r="B8" i="3"/>
  <c r="M7" i="3"/>
  <c r="L7" i="3"/>
  <c r="K7" i="3"/>
  <c r="J7" i="3"/>
  <c r="I7" i="3"/>
  <c r="F7" i="3"/>
  <c r="E7" i="3"/>
  <c r="D7" i="3"/>
  <c r="C7" i="3"/>
  <c r="B7" i="3"/>
  <c r="M6" i="3"/>
  <c r="L6" i="3"/>
  <c r="K6" i="3"/>
  <c r="J6" i="3"/>
  <c r="I6" i="3"/>
  <c r="F6" i="3"/>
  <c r="E6" i="3"/>
  <c r="D6" i="3"/>
  <c r="C6" i="3"/>
  <c r="B6" i="3"/>
  <c r="M5" i="3"/>
  <c r="L5" i="3"/>
  <c r="K5" i="3"/>
  <c r="J5" i="3"/>
  <c r="I5" i="3"/>
  <c r="F5" i="3"/>
  <c r="E5" i="3"/>
  <c r="D5" i="3"/>
  <c r="C5" i="3"/>
  <c r="B5" i="3"/>
  <c r="M4" i="3"/>
  <c r="L4" i="3"/>
  <c r="K4" i="3"/>
  <c r="J4" i="3"/>
  <c r="I4" i="3"/>
  <c r="F4" i="3"/>
  <c r="E4" i="3"/>
  <c r="D4" i="3"/>
  <c r="C4" i="3"/>
  <c r="B4" i="3"/>
  <c r="M3" i="3"/>
  <c r="L3" i="3"/>
  <c r="K3" i="3"/>
  <c r="J3" i="3"/>
  <c r="I3" i="3"/>
  <c r="F3" i="3"/>
  <c r="E3" i="3"/>
  <c r="D3" i="3"/>
  <c r="C3" i="3"/>
  <c r="B3" i="3"/>
  <c r="M41" i="1"/>
  <c r="L41" i="1"/>
  <c r="K41" i="1"/>
  <c r="J41" i="1"/>
  <c r="I41" i="1"/>
  <c r="F41" i="1"/>
  <c r="E41" i="1"/>
  <c r="D41" i="1"/>
  <c r="C41" i="1"/>
  <c r="B41" i="1"/>
  <c r="M40" i="1"/>
  <c r="L40" i="1"/>
  <c r="K40" i="1"/>
  <c r="J40" i="1"/>
  <c r="I40" i="1"/>
  <c r="F40" i="1"/>
  <c r="E40" i="1"/>
  <c r="D40" i="1"/>
  <c r="C40" i="1"/>
  <c r="B40" i="1"/>
  <c r="M39" i="1"/>
  <c r="L39" i="1"/>
  <c r="K39" i="1"/>
  <c r="J39" i="1"/>
  <c r="I39" i="1"/>
  <c r="F39" i="1"/>
  <c r="E39" i="1"/>
  <c r="D39" i="1"/>
  <c r="C39" i="1"/>
  <c r="B39" i="1"/>
  <c r="M38" i="1"/>
  <c r="L38" i="1"/>
  <c r="K38" i="1"/>
  <c r="J38" i="1"/>
  <c r="I38" i="1"/>
  <c r="F38" i="1"/>
  <c r="E38" i="1"/>
  <c r="D38" i="1"/>
  <c r="C38" i="1"/>
  <c r="B38" i="1"/>
  <c r="M37" i="1"/>
  <c r="L37" i="1"/>
  <c r="K37" i="1"/>
  <c r="J37" i="1"/>
  <c r="I37" i="1"/>
  <c r="F37" i="1"/>
  <c r="E37" i="1"/>
  <c r="D37" i="1"/>
  <c r="C37" i="1"/>
  <c r="B37" i="1"/>
  <c r="M36" i="1"/>
  <c r="L36" i="1"/>
  <c r="K36" i="1"/>
  <c r="J36" i="1"/>
  <c r="I36" i="1"/>
  <c r="F36" i="1"/>
  <c r="F42" i="1" s="1"/>
  <c r="E36" i="1"/>
  <c r="D36" i="1"/>
  <c r="C36" i="1"/>
  <c r="B36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J9" i="1" s="1"/>
  <c r="I5" i="1"/>
  <c r="M4" i="1"/>
  <c r="L4" i="1"/>
  <c r="K4" i="1"/>
  <c r="J4" i="1"/>
  <c r="I4" i="1"/>
  <c r="M3" i="1"/>
  <c r="M9" i="1" s="1"/>
  <c r="L3" i="1"/>
  <c r="K3" i="1"/>
  <c r="J3" i="1"/>
  <c r="I3" i="1"/>
  <c r="F8" i="1"/>
  <c r="F7" i="1"/>
  <c r="F6" i="1"/>
  <c r="F5" i="1"/>
  <c r="F4" i="1"/>
  <c r="F3" i="1"/>
  <c r="E8" i="1"/>
  <c r="E7" i="1"/>
  <c r="E6" i="1"/>
  <c r="E5" i="1"/>
  <c r="E4" i="1"/>
  <c r="E3" i="1"/>
  <c r="D8" i="1"/>
  <c r="D7" i="1"/>
  <c r="D6" i="1"/>
  <c r="D5" i="1"/>
  <c r="D4" i="1"/>
  <c r="D3" i="1"/>
  <c r="C8" i="1"/>
  <c r="C7" i="1"/>
  <c r="C6" i="1"/>
  <c r="C5" i="1"/>
  <c r="C4" i="1"/>
  <c r="C3" i="1"/>
  <c r="B3" i="1"/>
  <c r="B8" i="1"/>
  <c r="B7" i="1"/>
  <c r="B6" i="1"/>
  <c r="B5" i="1"/>
  <c r="B4" i="1"/>
  <c r="L42" i="3" l="1"/>
  <c r="J42" i="3"/>
  <c r="C9" i="3"/>
  <c r="I9" i="3"/>
  <c r="M9" i="3"/>
  <c r="C42" i="3"/>
  <c r="I42" i="3"/>
  <c r="M42" i="3"/>
  <c r="K42" i="3"/>
  <c r="S42" i="3"/>
  <c r="Q42" i="3"/>
  <c r="E42" i="3"/>
  <c r="R9" i="3"/>
  <c r="Q9" i="3"/>
  <c r="P9" i="3"/>
  <c r="T9" i="3"/>
  <c r="P42" i="3"/>
  <c r="T42" i="3"/>
  <c r="R42" i="3"/>
  <c r="B9" i="3"/>
  <c r="F9" i="3"/>
  <c r="L9" i="3"/>
  <c r="B42" i="3"/>
  <c r="F42" i="3"/>
  <c r="S9" i="3"/>
  <c r="D9" i="3"/>
  <c r="J9" i="3"/>
  <c r="E9" i="3"/>
  <c r="K9" i="3"/>
  <c r="D42" i="3"/>
  <c r="E42" i="1"/>
  <c r="B42" i="1"/>
  <c r="C42" i="1"/>
  <c r="K42" i="1"/>
  <c r="L42" i="1"/>
  <c r="I42" i="1"/>
  <c r="M42" i="1"/>
  <c r="D42" i="1"/>
  <c r="J42" i="1"/>
  <c r="K9" i="1"/>
  <c r="L9" i="1"/>
  <c r="I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<sst xmlns="http://schemas.openxmlformats.org/spreadsheetml/2006/main" count="876" uniqueCount="49">
  <si>
    <t>Función</t>
  </si>
  <si>
    <t>Mejor</t>
  </si>
  <si>
    <t>Peor</t>
  </si>
  <si>
    <t>Promedio</t>
  </si>
  <si>
    <t>Mediana</t>
  </si>
  <si>
    <t>Desviación Estándar</t>
  </si>
  <si>
    <t>F1</t>
  </si>
  <si>
    <t>F2</t>
  </si>
  <si>
    <t>F3</t>
  </si>
  <si>
    <t>F4</t>
  </si>
  <si>
    <t>F5</t>
  </si>
  <si>
    <t>F6</t>
  </si>
  <si>
    <t>Tabla de Fitness para D = 10</t>
  </si>
  <si>
    <t>Tabla de Tiempos (segundos) para D = 10</t>
  </si>
  <si>
    <t>Tabla de Fitness para D = 30</t>
  </si>
  <si>
    <t>Tabla de Tiempos (segundos) para D = 30</t>
  </si>
  <si>
    <t>Promedios 
Globales</t>
  </si>
  <si>
    <t>Ejecución</t>
  </si>
  <si>
    <t>Valor de la 
mejor solución</t>
  </si>
  <si>
    <t>Temperatura</t>
  </si>
  <si>
    <t>Evaluación</t>
  </si>
  <si>
    <t>Conservada</t>
  </si>
  <si>
    <t>Tabla de Costo para D = 10</t>
  </si>
  <si>
    <t>Tabla de Costo para D = 30</t>
  </si>
  <si>
    <t>Tabla de Temperatura Mínima para D = 10</t>
  </si>
  <si>
    <t>Tabla de Temperatura Mínima para D = 30</t>
  </si>
  <si>
    <t>Costo</t>
  </si>
  <si>
    <t>false</t>
  </si>
  <si>
    <t>mejor sol</t>
  </si>
  <si>
    <t>temp MS</t>
  </si>
  <si>
    <t>iter ms</t>
  </si>
  <si>
    <t>se conserva?</t>
  </si>
  <si>
    <t xml:space="preserve">temp min </t>
  </si>
  <si>
    <t>tiempo</t>
  </si>
  <si>
    <t>true</t>
  </si>
  <si>
    <t>d 10 f1</t>
  </si>
  <si>
    <t>d 10 f2</t>
  </si>
  <si>
    <t>d 10 f3</t>
  </si>
  <si>
    <t>d 10 f4</t>
  </si>
  <si>
    <t>d 10 f5</t>
  </si>
  <si>
    <t>d 10 f6</t>
  </si>
  <si>
    <t>d 30 f2</t>
  </si>
  <si>
    <t>d 30 f1</t>
  </si>
  <si>
    <t>d 30 f3</t>
  </si>
  <si>
    <t>d 30 f4</t>
  </si>
  <si>
    <t>d 30 f5</t>
  </si>
  <si>
    <t>d 30 f6</t>
  </si>
  <si>
    <t>D30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</si>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</sst>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70" fontId="0" fillId="0" borderId="0" xfId="0" applyNumberFormat="1" applyAlignment="1">
      <alignment horizontal="center" vertical="center"/>
    </xf>
    <xf numFmtId="170" fontId="0" fillId="4" borderId="0" xfId="0" applyNumberFormat="1" applyFill="1" applyAlignment="1">
      <alignment horizontal="center" vertical="center"/>
    </xf>
    <xf numFmtId="170" fontId="0" fillId="0" borderId="16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18" xfId="0" applyNumberFormat="1" applyBorder="1" applyAlignment="1">
      <alignment horizontal="center"/>
    </xf>
    <xf numFmtId="170" fontId="0" fillId="0" borderId="19" xfId="0" applyNumberFormat="1" applyBorder="1" applyAlignment="1">
      <alignment horizontal="center"/>
    </xf>
    <xf numFmtId="170" fontId="0" fillId="3" borderId="8" xfId="0" applyNumberFormat="1" applyFont="1" applyFill="1" applyBorder="1" applyAlignment="1">
      <alignment horizontal="center" vertical="center"/>
    </xf>
    <xf numFmtId="170" fontId="0" fillId="3" borderId="2" xfId="0" applyNumberFormat="1" applyFont="1" applyFill="1" applyBorder="1" applyAlignment="1">
      <alignment horizontal="center" vertical="center"/>
    </xf>
    <xf numFmtId="170" fontId="0" fillId="0" borderId="8" xfId="0" applyNumberFormat="1" applyFont="1" applyBorder="1" applyAlignment="1">
      <alignment horizontal="center" vertical="center"/>
    </xf>
    <xf numFmtId="170" fontId="0" fillId="0" borderId="2" xfId="0" applyNumberFormat="1" applyFont="1" applyBorder="1" applyAlignment="1">
      <alignment horizontal="center" vertical="center"/>
    </xf>
    <xf numFmtId="170" fontId="0" fillId="0" borderId="10" xfId="0" applyNumberFormat="1" applyFont="1" applyBorder="1" applyAlignment="1">
      <alignment horizontal="center" vertical="center"/>
    </xf>
    <xf numFmtId="170" fontId="0" fillId="0" borderId="1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23">
    <dxf>
      <numFmt numFmtId="170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70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000000"/>
          <bgColor rgb="FFD9D9D9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000000"/>
          <bgColor rgb="FFD9D9D9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66</xdr:row>
      <xdr:rowOff>0</xdr:rowOff>
    </xdr:from>
    <xdr:to>
      <xdr:col>12</xdr:col>
      <xdr:colOff>730250</xdr:colOff>
      <xdr:row>76</xdr:row>
      <xdr:rowOff>30296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2969ABC-23ED-4ED5-B0AE-0BBF6387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2420600"/>
          <a:ext cx="4540250" cy="22527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65</xdr:row>
      <xdr:rowOff>6350</xdr:rowOff>
    </xdr:from>
    <xdr:to>
      <xdr:col>5</xdr:col>
      <xdr:colOff>387350</xdr:colOff>
      <xdr:row>77</xdr:row>
      <xdr:rowOff>49346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1F9E793-1439-4412-9D29-1AE32BE59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12439650"/>
          <a:ext cx="4540250" cy="22527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24</xdr:row>
      <xdr:rowOff>38100</xdr:rowOff>
    </xdr:from>
    <xdr:to>
      <xdr:col>5</xdr:col>
      <xdr:colOff>679450</xdr:colOff>
      <xdr:row>36</xdr:row>
      <xdr:rowOff>81096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854B68-419D-4B10-8DA6-BD45A7228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4667250"/>
          <a:ext cx="4540250" cy="22527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01421-1688-4CF3-9EAF-57D41CAF8606}" name="Tabla1" displayName="Tabla1" ref="A2:F9" totalsRowCount="1" headerRowDxfId="171" dataDxfId="170" totalsRowDxfId="163">
  <autoFilter ref="A2:F8" xr:uid="{A7B01421-1688-4CF3-9EAF-57D41CAF86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367842A-7ABC-4EB8-9E16-D14A36300072}" name="Función" totalsRowLabel="Promedios _x000a_Globales" dataDxfId="177" totalsRowDxfId="169"/>
    <tableColumn id="2" xr3:uid="{06C5B8E5-415D-4060-AD17-9B21701D8BE8}" name="Mejor" totalsRowFunction="average" dataDxfId="176" totalsRowDxfId="168"/>
    <tableColumn id="3" xr3:uid="{A9B5A6A8-DE09-407F-92B9-1578BF1B1817}" name="Peor" totalsRowFunction="average" dataDxfId="175" totalsRowDxfId="167"/>
    <tableColumn id="4" xr3:uid="{93D7B156-1225-45B5-9F85-98809790364C}" name="Promedio" totalsRowFunction="average" dataDxfId="174" totalsRowDxfId="166"/>
    <tableColumn id="5" xr3:uid="{EA03744F-03CB-4765-BF58-932E0CB8F2E7}" name="Mediana" totalsRowFunction="average" dataDxfId="173" totalsRowDxfId="165"/>
    <tableColumn id="6" xr3:uid="{E4CF79FD-8F8F-458E-AD17-1CE4AA2677D0}" name="Desviación Estándar" totalsRowFunction="average" dataDxfId="172" totalsRowDxfId="164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0D93CAE-C7A9-44EA-8757-8D65F3CBC670}" name="Tabla911" displayName="Tabla911" ref="A91:E111" totalsRowShown="0" headerRowDxfId="160">
  <tableColumns count="5">
    <tableColumn id="1" xr3:uid="{6CBEE72A-DA57-4F11-9E5C-2E461F2DB4EA}" name="Ejecución" dataDxfId="159"/>
    <tableColumn id="2" xr3:uid="{F7BD665B-AF5B-4814-B123-1348D2585970}" name="Valor de la _x000a_mejor solución"/>
    <tableColumn id="3" xr3:uid="{035F40FF-59AA-48A2-B919-26A78C1DA79B}" name="Temperatura"/>
    <tableColumn id="4" xr3:uid="{522157B3-F6F0-4E7F-A229-8EF9A082D160}" name="Evaluación"/>
    <tableColumn id="5" xr3:uid="{8A9A49E2-63C5-4876-B322-59BE0E55190C}" name="Conservada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7293AC-3877-498C-88F0-F8D29333FB33}" name="Tabla912" displayName="Tabla912" ref="A114:E134" totalsRowShown="0" headerRowDxfId="158">
  <tableColumns count="5">
    <tableColumn id="1" xr3:uid="{291DA8E2-8DD7-4855-AC2B-4447E240F1DC}" name="Ejecución" dataDxfId="157"/>
    <tableColumn id="2" xr3:uid="{2BCFF244-F6C0-4041-9FDE-A420DD116A3D}" name="Valor de la _x000a_mejor solución"/>
    <tableColumn id="3" xr3:uid="{7F5DB70D-8F8F-4E5B-A06E-245C8885B0C2}" name="Temperatura"/>
    <tableColumn id="4" xr3:uid="{2E263364-791E-49C8-B700-251BA9EF8377}" name="Evaluación"/>
    <tableColumn id="5" xr3:uid="{B292D234-F73D-4CF4-BBB3-A266B9DFD969}" name="Conservada"/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3641B2-002D-456F-9440-4CCC2265A93F}" name="Tabla913" displayName="Tabla913" ref="A137:E157" totalsRowShown="0" headerRowDxfId="156">
  <tableColumns count="5">
    <tableColumn id="1" xr3:uid="{3F383277-88E5-46BB-9CD8-3BC15F5F5E4A}" name="Ejecución" dataDxfId="155"/>
    <tableColumn id="2" xr3:uid="{F3F833D3-6CCE-474A-BF84-F4B8044A51C6}" name="Valor de la _x000a_mejor solución"/>
    <tableColumn id="3" xr3:uid="{5B4569BA-8557-4724-BC73-0D995E1D18C0}" name="Temperatura"/>
    <tableColumn id="4" xr3:uid="{DB88A81E-8070-49EF-BF82-6767518877ED}" name="Evaluación"/>
    <tableColumn id="5" xr3:uid="{798BF5DD-0923-4DBA-AF0E-20CBA13EA02E}" name="Conservada"/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F4750D2-687D-4C12-B8D0-37C2CF1C985F}" name="Tabla914" displayName="Tabla914" ref="A160:E180" totalsRowShown="0" headerRowDxfId="154">
  <tableColumns count="5">
    <tableColumn id="1" xr3:uid="{F3D57A4B-48FE-49BF-9E52-6638594C6B26}" name="Ejecución" dataDxfId="153"/>
    <tableColumn id="2" xr3:uid="{5B783A34-F5A7-433A-9EEB-F83F6E51BF35}" name="Valor de la _x000a_mejor solución"/>
    <tableColumn id="3" xr3:uid="{122AAA8E-5554-45D8-A602-9ADB8A82ABCA}" name="Temperatura"/>
    <tableColumn id="4" xr3:uid="{E916AB2A-76B1-4398-9700-2AE129939B35}" name="Evaluación"/>
    <tableColumn id="5" xr3:uid="{A11B7913-CDFF-499D-9D73-4F1A97E6CE8C}" name="Conservada"/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1FBF837-F895-4455-84B4-CE407AADD44B}" name="Tabla915" displayName="Tabla915" ref="A183:E203" totalsRowShown="0" headerRowDxfId="152">
  <tableColumns count="5">
    <tableColumn id="1" xr3:uid="{F334AB8A-D5D5-493E-9885-41D5029802C6}" name="Ejecución" dataDxfId="151"/>
    <tableColumn id="2" xr3:uid="{319CB23E-0958-4832-94CA-2FDD0A5A9EB8}" name="Valor de la _x000a_mejor solución"/>
    <tableColumn id="3" xr3:uid="{4BDCDAD1-3649-4C64-B513-EDE2E57A196A}" name="Temperatura"/>
    <tableColumn id="4" xr3:uid="{F1EEF9EF-8189-4416-A246-C0A908B9AE82}" name="Evaluación"/>
    <tableColumn id="5" xr3:uid="{26DEA68A-6F3D-4C56-93B1-331CF981D753}" name="Conservada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6F0CFC-EE6D-43FA-9A07-A34FAF0D991C}" name="Tabla116" displayName="Tabla116" ref="A2:F9" totalsRowCount="1" headerRowDxfId="150" dataDxfId="149" totalsRowDxfId="148">
  <autoFilter ref="A2:F8" xr:uid="{A7B01421-1688-4CF3-9EAF-57D41CAF86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296B17A-2FF7-4207-AF73-67BFE4A8FD3B}" name="Función" totalsRowLabel="Promedios _x000a_Globales" dataDxfId="76" totalsRowDxfId="147"/>
    <tableColumn id="2" xr3:uid="{DB5A2E78-7C2A-4A66-8850-4AE6303FD36C}" name="Mejor" totalsRowFunction="average" dataDxfId="75" totalsRowDxfId="146"/>
    <tableColumn id="3" xr3:uid="{C2FA2BAE-0355-42CE-AEA7-5524567E4BA3}" name="Peor" totalsRowFunction="average" dataDxfId="74" totalsRowDxfId="145"/>
    <tableColumn id="4" xr3:uid="{3F9365BF-2BED-49D3-B2EC-58E9E4A63B3C}" name="Promedio" totalsRowFunction="average" dataDxfId="73" totalsRowDxfId="144"/>
    <tableColumn id="5" xr3:uid="{10E7F0A5-C1A2-4B3B-B744-3A22F0CCB5E7}" name="Mediana" totalsRowFunction="average" dataDxfId="72" totalsRowDxfId="143"/>
    <tableColumn id="6" xr3:uid="{D6A45338-B53F-4E97-8FA9-8A1669D4418A}" name="Desviación Estándar" totalsRowFunction="average" dataDxfId="71" totalsRowDxfId="142"/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7275439-53B3-418E-9A0A-57A947FDF662}" name="Tabla1418" displayName="Tabla1418" ref="H2:M9" totalsRowCount="1" headerRowDxfId="140" dataDxfId="141" totalsRowDxfId="139">
  <autoFilter ref="H2:M8" xr:uid="{543DADAB-D764-4987-B63A-AEA05D97F7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B7E2AF1-D6E1-426E-B090-5857EC20F969}" name="Función" totalsRowLabel="Promedios _x000a_Globales" dataDxfId="88" totalsRowDxfId="135"/>
    <tableColumn id="2" xr3:uid="{9594DB44-6092-46F8-A204-64295AD14608}" name="Mejor" totalsRowFunction="average" dataDxfId="87" totalsRowDxfId="134"/>
    <tableColumn id="3" xr3:uid="{09422EBF-CBD5-47E2-B74E-11C686204141}" name="Peor" totalsRowFunction="average" dataDxfId="86" totalsRowDxfId="133"/>
    <tableColumn id="4" xr3:uid="{277BF608-6A95-4331-AC2D-15540FFA991D}" name="Promedio" totalsRowFunction="average" dataDxfId="85" totalsRowDxfId="132"/>
    <tableColumn id="5" xr3:uid="{F3998D86-CCFE-4CB7-B528-D5722E16FAB5}" name="Mediana" totalsRowFunction="average" dataDxfId="84" totalsRowDxfId="131"/>
    <tableColumn id="6" xr3:uid="{677B2E12-3EC3-4413-A56F-885F01BD607D}" name="Desviación Estándar" totalsRowFunction="average" dataDxfId="83" totalsRowDxfId="130"/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6BE2ABD-41E9-40DF-B57A-5B0A7760F889}" name="Tabla1620" displayName="Tabla1620" ref="A35:F42" totalsRowCount="1" headerRowDxfId="137" dataDxfId="138" totalsRowDxfId="136">
  <autoFilter ref="A35:F41" xr:uid="{5232846D-0EE4-4207-8BC2-A3C5CA1A186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F027B90-83BD-4402-AD6D-0006C81C4A3C}" name="Función" totalsRowLabel="Promedios _x000a_Globales" dataDxfId="47" totalsRowDxfId="129"/>
    <tableColumn id="2" xr3:uid="{E2A0071F-AE1A-49AF-B241-582EAD3DBE9F}" name="Mejor" totalsRowFunction="average" dataDxfId="46" totalsRowDxfId="128"/>
    <tableColumn id="3" xr3:uid="{D41E6C79-3E8A-439B-9293-564923565356}" name="Peor" totalsRowFunction="average" dataDxfId="45" totalsRowDxfId="127"/>
    <tableColumn id="4" xr3:uid="{46BC4D0D-DA78-4921-BBCE-E1A259702230}" name="Promedio" totalsRowFunction="average" dataDxfId="44" totalsRowDxfId="126"/>
    <tableColumn id="5" xr3:uid="{CC588F94-D489-4ADB-91A4-44F75C72DE29}" name="Mediana" totalsRowFunction="average" dataDxfId="43" totalsRowDxfId="125"/>
    <tableColumn id="6" xr3:uid="{6AAC73C1-205F-499C-AC57-1CDD63119939}" name="Desviación Estándar" totalsRowFunction="average" dataDxfId="42" totalsRowDxfId="124"/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717468A-F184-4150-9971-09DEA497CF9F}" name="Tabla2721" displayName="Tabla2721" ref="A44:F64" totalsRowShown="0" headerRowDxfId="6" dataDxfId="7">
  <autoFilter ref="A44:F64" xr:uid="{68FE52A2-BDA4-4075-B339-E396DFAC9D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112CF7F-157B-4D9B-AF27-E03A72B85F84}" name="F1" dataDxfId="13"/>
    <tableColumn id="2" xr3:uid="{53633B01-0623-413B-80F9-AE92035F8B1E}" name="F2" dataDxfId="12"/>
    <tableColumn id="3" xr3:uid="{3CB52C7F-4DC6-47FA-B7BE-945707102EF2}" name="F3" dataDxfId="11"/>
    <tableColumn id="4" xr3:uid="{4E0D8335-C342-49A6-B777-251F57E65C91}" name="F4" dataDxfId="10"/>
    <tableColumn id="5" xr3:uid="{E5483AA7-9F75-4361-9A4E-212EF9758B0A}" name="F5" dataDxfId="9"/>
    <tableColumn id="6" xr3:uid="{462C6F96-A38E-4611-B812-D3556EED254B}" name="F6" dataDxfId="8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CEB88E1-3D93-4358-B8F8-C56A5AE3B5EF}" name="Tabla14822" displayName="Tabla14822" ref="H35:M42" totalsRowCount="1" headerRowDxfId="123" dataDxfId="122" totalsRowDxfId="121">
  <autoFilter ref="H35:M41" xr:uid="{794A512F-727B-405F-897C-3F27CD7C02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EC7CFDE-EBEA-407E-A57E-A253DB5C3A58}" name="Función" totalsRowLabel="Promedios _x000a_Globales" dataDxfId="41" totalsRowDxfId="120"/>
    <tableColumn id="2" xr3:uid="{2F5290AC-D7DD-42FE-8D47-6FF2A3B36C31}" name="Mejor" totalsRowFunction="average" dataDxfId="40" totalsRowDxfId="119"/>
    <tableColumn id="3" xr3:uid="{FBC173DB-3BB6-477C-8EE6-4C9B17744B87}" name="Peor" totalsRowFunction="average" dataDxfId="39" totalsRowDxfId="118"/>
    <tableColumn id="4" xr3:uid="{8B7C8E50-35F2-434F-BF19-FB8D84718DE0}" name="Promedio" totalsRowFunction="average" dataDxfId="38" totalsRowDxfId="117"/>
    <tableColumn id="5" xr3:uid="{68BEABDF-A096-45BF-BF56-C1AEC616D3A6}" name="Mediana" totalsRowFunction="average" dataDxfId="37" totalsRowDxfId="116"/>
    <tableColumn id="6" xr3:uid="{96C22206-A3CC-458C-99BF-C3B684AC663A}" name="Desviación Estándar" totalsRowFunction="average" dataDxfId="36" totalsRowDxfId="11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BB5EBD-8F9D-4829-BFC3-4C43C444BB65}" name="Tabla2" displayName="Tabla2" ref="A11:F31" totalsRowShown="0">
  <autoFilter ref="A11:F31" xr:uid="{02BB5EBD-8F9D-4829-BFC3-4C43C444BB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C6A8FCF-6E6F-4650-A64B-4DE630FAFB81}" name="F1"/>
    <tableColumn id="2" xr3:uid="{C316B17C-B7C9-4635-994D-189B21CB4F0C}" name="F2"/>
    <tableColumn id="3" xr3:uid="{FD230383-87E1-476B-9AC8-FAE640BD9C49}" name="F3"/>
    <tableColumn id="4" xr3:uid="{C7CFC7E4-086C-4B70-8DA2-DC03615A2EFB}" name="F4"/>
    <tableColumn id="5" xr3:uid="{9CB7C383-ED0E-4F5F-B6D0-5EFA7A3EB2D1}" name="F5"/>
    <tableColumn id="6" xr3:uid="{3502CB20-52D8-4ABB-BB45-8806F41B35E5}" name="F6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FAE01AC-F4F7-4170-877D-CFE029D2C15D}" name="Tabla25923" displayName="Tabla25923" ref="H44:M64" totalsRowShown="0" headerRowDxfId="14" dataDxfId="15">
  <autoFilter ref="H44:M64" xr:uid="{F8A293D8-88EA-4EB0-9B78-DDD37AF90B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992831D-76AA-482F-840F-0E1204B3CFA7}" name="F1" dataDxfId="21"/>
    <tableColumn id="2" xr3:uid="{8A18D6ED-E150-45F1-8EBE-29210363FA84}" name="F2" dataDxfId="20"/>
    <tableColumn id="3" xr3:uid="{73BA2EC2-D942-4604-ACD9-BC33D8C1405B}" name="F3" dataDxfId="19"/>
    <tableColumn id="4" xr3:uid="{6C2FFED4-ECF5-4040-B1CE-D3EC3C83BDFA}" name="F4" dataDxfId="18"/>
    <tableColumn id="5" xr3:uid="{B10F100D-F00D-4C0F-90CF-C8E4D5CA7E7B}" name="F5" dataDxfId="17"/>
    <tableColumn id="6" xr3:uid="{CB4A0CC8-5907-4877-9376-A7B072C90900}" name="F6" dataDxfId="16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870B5D-FC70-4563-A0AD-7068851A0E39}" name="Tabla2519" displayName="Tabla2519" ref="H11:M31" totalsRowShown="0" dataDxfId="56">
  <autoFilter ref="H11:M31" xr:uid="{98857EF6-F0E0-4EA2-9BE7-F722AAC433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8583EB0-7049-4285-9809-728BD5562E3A}" name="F1" dataDxfId="62"/>
    <tableColumn id="2" xr3:uid="{C213229C-8EB6-4317-9E3E-77DEDDA35C0E}" name="F2" dataDxfId="61"/>
    <tableColumn id="3" xr3:uid="{F8C90063-543C-4BB4-A707-6B1E47693974}" name="F3" dataDxfId="60"/>
    <tableColumn id="4" xr3:uid="{AE6B4485-8BB9-4695-A167-6F61A8A0AD21}" name="F4" dataDxfId="59"/>
    <tableColumn id="5" xr3:uid="{30920ED3-A775-4D93-AEFC-A5D5A6CF0654}" name="F5" dataDxfId="58"/>
    <tableColumn id="6" xr3:uid="{4E3C84C9-4F49-4112-956C-22F3503B5CFF}" name="F6" dataDxfId="57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E1287B2-1F42-4907-A4E8-89439E9531C5}" name="Tabla217" displayName="Tabla217" ref="A11:F31" totalsRowShown="0" headerRowDxfId="63" dataDxfId="64">
  <autoFilter ref="A11:F31" xr:uid="{02BB5EBD-8F9D-4829-BFC3-4C43C444BB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E20A010-B430-4ED1-AFE9-08DE002D5FE3}" name="F1" dataDxfId="70"/>
    <tableColumn id="2" xr3:uid="{DB75A98E-252B-4589-BD5F-8C36946DB011}" name="F2" dataDxfId="69"/>
    <tableColumn id="3" xr3:uid="{61381895-E659-484C-B317-CF36B0DE03F7}" name="F3" dataDxfId="68"/>
    <tableColumn id="4" xr3:uid="{637D678D-0B10-4068-AEB4-4AEBDEF2E0CC}" name="F4" dataDxfId="67"/>
    <tableColumn id="5" xr3:uid="{E722437D-7C07-43A0-B5FF-223948E2AE90}" name="F5" dataDxfId="66"/>
    <tableColumn id="6" xr3:uid="{95920ED4-01E0-4D11-84B9-FD6483C76E8D}" name="F6" dataDxfId="65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7015BB6-A65D-4FF1-899F-45EA163E33B5}" name="Tabla11630" displayName="Tabla11630" ref="O2:T9" totalsRowCount="1" headerRowDxfId="114" dataDxfId="113" totalsRowDxfId="112">
  <tableColumns count="6">
    <tableColumn id="1" xr3:uid="{155BFA0D-CF40-45FE-8CF9-9DCC6C759ADF}" name="Función" totalsRowLabel="Promedios _x000a_Globales" dataDxfId="82" totalsRowDxfId="111"/>
    <tableColumn id="2" xr3:uid="{7CB79682-2083-4E85-9847-1E9C3D79536C}" name="Mejor" totalsRowFunction="average" dataDxfId="81" totalsRowDxfId="110"/>
    <tableColumn id="3" xr3:uid="{BCBE89C4-CF17-40AF-BDFB-216536B58E5A}" name="Peor" totalsRowFunction="average" dataDxfId="80" totalsRowDxfId="109"/>
    <tableColumn id="4" xr3:uid="{2243E1E2-1EF9-4B19-B24E-3F6E7A64D6B3}" name="Promedio" totalsRowFunction="average" dataDxfId="79" totalsRowDxfId="108"/>
    <tableColumn id="5" xr3:uid="{D7154120-6DE1-4858-B559-D6244FA8D6C2}" name="Mediana" totalsRowFunction="average" dataDxfId="78" totalsRowDxfId="107"/>
    <tableColumn id="6" xr3:uid="{7EB28822-E00A-4DA8-B9CA-2B82A728DD5D}" name="Desviación Estándar" totalsRowFunction="average" dataDxfId="77" totalsRowDxfId="106"/>
  </tableColumns>
  <tableStyleInfo name="TableStyleLight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B396930-D864-4FE6-A5DA-A6CD0D5D97DE}" name="Tabla162031" displayName="Tabla162031" ref="O35:T42" totalsRowCount="1" headerRowDxfId="105" dataDxfId="104" totalsRowDxfId="103">
  <tableColumns count="6">
    <tableColumn id="1" xr3:uid="{72826D31-997D-437F-8271-1351EC9004EB}" name="Función" totalsRowLabel="Promedios _x000a_Globales" dataDxfId="35" totalsRowDxfId="102"/>
    <tableColumn id="2" xr3:uid="{B2C3DFE2-338C-4D4A-8C5F-7297F30FB449}" name="Mejor" totalsRowFunction="average" dataDxfId="34" totalsRowDxfId="101"/>
    <tableColumn id="3" xr3:uid="{35CA1ED2-45D9-4BA4-A601-718316CCE189}" name="Peor" totalsRowFunction="average" dataDxfId="33" totalsRowDxfId="100"/>
    <tableColumn id="4" xr3:uid="{8360A0B6-33B5-415E-997A-E5D1312DDC8E}" name="Promedio" totalsRowFunction="average" dataDxfId="32" totalsRowDxfId="99"/>
    <tableColumn id="5" xr3:uid="{D4778CFD-BE1B-4211-9440-23C50BFF0F4F}" name="Mediana" totalsRowFunction="average" dataDxfId="31" totalsRowDxfId="98"/>
    <tableColumn id="6" xr3:uid="{F475690C-D922-4C84-BE69-7B92AAE8BB0C}" name="Desviación Estándar" totalsRowFunction="average" dataDxfId="30" totalsRowDxfId="97"/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A4B84C1-84F8-4A2B-838D-D7AF92FD3022}" name="Tabla272132" displayName="Tabla272132" ref="O44:T64" totalsRowShown="0" headerRowDxfId="22" dataDxfId="23">
  <tableColumns count="6">
    <tableColumn id="1" xr3:uid="{86493484-8820-4AC9-ADCD-02D136246A61}" name="F1" dataDxfId="29"/>
    <tableColumn id="2" xr3:uid="{A8FDFC7E-EC8A-4890-98C9-8B34667D727F}" name="F2" dataDxfId="28"/>
    <tableColumn id="3" xr3:uid="{546B8AC0-0443-4407-8217-9D2B1AD7291E}" name="F3" dataDxfId="27"/>
    <tableColumn id="4" xr3:uid="{1A249F6D-3901-4B6D-9F92-09749B102BD2}" name="F4" dataDxfId="26"/>
    <tableColumn id="5" xr3:uid="{A1D9C3B8-5976-473F-A47F-92C6E1277614}" name="F5" dataDxfId="25"/>
    <tableColumn id="6" xr3:uid="{682F6AF1-73E0-44B6-A13E-DB8BF09ED8CA}" name="F6" dataDxfId="24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757642B-2B98-4534-A727-09381E5F93BA}" name="Tabla21739" displayName="Tabla21739" ref="O11:T31" totalsRowShown="0" headerRowDxfId="55" dataDxfId="48">
  <tableColumns count="6">
    <tableColumn id="1" xr3:uid="{C162658F-2E01-4F27-93AC-80A5490AA05C}" name="F1" dataDxfId="54"/>
    <tableColumn id="2" xr3:uid="{E839FAAC-EE8A-4D30-A308-1EBC1506A632}" name="F2" dataDxfId="53"/>
    <tableColumn id="3" xr3:uid="{FE0011F2-4F5F-4D04-A7CA-8677402F8096}" name="F3" dataDxfId="52"/>
    <tableColumn id="4" xr3:uid="{7E7C5C70-559E-4231-9AE1-E8A965253CC3}" name="F4" dataDxfId="51"/>
    <tableColumn id="5" xr3:uid="{3926D333-F71B-4757-9D50-92B0089AB61F}" name="F5" dataDxfId="50"/>
    <tableColumn id="6" xr3:uid="{C27E38E0-E392-4057-869E-434B2FB40015}" name="F6" dataDxfId="49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387D50E-AD13-4F6E-B565-F38E582E924E}" name="Tabla92440" displayName="Tabla92440" ref="A3:E23" totalsRowShown="0" headerRowDxfId="96" dataDxfId="95">
  <tableColumns count="5">
    <tableColumn id="1" xr3:uid="{69FBD061-A92C-4934-9CA1-381BE4380A36}" name="Ejecución" dataDxfId="94"/>
    <tableColumn id="2" xr3:uid="{89294740-9071-4AD9-9A2A-395A09014956}" name="Valor de la _x000a_mejor solución" dataDxfId="5"/>
    <tableColumn id="3" xr3:uid="{35904720-8E87-49B0-844D-53CB2E629548}" name="Temperatura" dataDxfId="3"/>
    <tableColumn id="4" xr3:uid="{D2B5A2D3-E6AD-400A-8C45-35EB465636FF}" name="Evaluación" dataDxfId="4"/>
    <tableColumn id="5" xr3:uid="{0C01821E-56A8-4A7B-8401-E93563BC2051}" name="Conservada" dataDxfId="90"/>
  </tableColumns>
  <tableStyleInfo name="TableStyleLight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426F4B7-AD46-4049-9C65-774CFC041F69}" name="Tabla9244045" displayName="Tabla9244045" ref="A40:E60" totalsRowShown="0" headerRowDxfId="93" dataDxfId="92">
  <tableColumns count="5">
    <tableColumn id="1" xr3:uid="{209DBB6D-A723-471A-B483-3D4B66954776}" name="Ejecución" dataDxfId="91"/>
    <tableColumn id="2" xr3:uid="{32BD5284-3271-4394-BE57-E75C5101A8D9}" name="Valor de la _x000a_mejor solución" dataDxfId="2"/>
    <tableColumn id="3" xr3:uid="{BD90C763-1A33-4ABB-A4A2-05CA402C7B1C}" name="Temperatura" dataDxfId="0"/>
    <tableColumn id="4" xr3:uid="{92511DFA-4D13-4036-871C-6799A306438B}" name="Evaluación" dataDxfId="1"/>
    <tableColumn id="5" xr3:uid="{9DC365FD-895D-4205-A959-8549FEEC7BB9}" name="Conservada" dataDxfId="89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3DADAB-D764-4987-B63A-AEA05D97F700}" name="Tabla14" displayName="Tabla14" ref="H2:M9" totalsRowCount="1" headerRowDxfId="222" dataDxfId="221" totalsRowDxfId="220">
  <autoFilter ref="H2:M8" xr:uid="{543DADAB-D764-4987-B63A-AEA05D97F7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E700E10-B700-4219-8CEA-42D7609BED96}" name="Función" totalsRowLabel="Promedio" dataDxfId="219" totalsRowDxfId="218"/>
    <tableColumn id="2" xr3:uid="{33598416-90DF-4565-9A40-7CB4DD15EF38}" name="Mejor" totalsRowFunction="average" dataDxfId="217" totalsRowDxfId="216"/>
    <tableColumn id="3" xr3:uid="{DB990451-37F1-42DF-A94D-B3CAB7D88727}" name="Peor" totalsRowFunction="average" dataDxfId="215" totalsRowDxfId="214"/>
    <tableColumn id="4" xr3:uid="{1E331427-D358-44F9-83A3-604F74ED67FE}" name="Promedio" totalsRowFunction="average" dataDxfId="213" totalsRowDxfId="212"/>
    <tableColumn id="5" xr3:uid="{5F749E50-C9F4-4C4E-89E0-DF559CF27D50}" name="Mediana" totalsRowFunction="average" dataDxfId="211" totalsRowDxfId="210"/>
    <tableColumn id="6" xr3:uid="{532E47CC-B670-4129-B68B-0BFA15B69808}" name="Desviación Estándar" totalsRowFunction="average" dataDxfId="209" totalsRowDxfId="208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857EF6-F0E0-4EA2-9BE7-F722AAC433D0}" name="Tabla25" displayName="Tabla25" ref="H11:M31" totalsRowShown="0">
  <autoFilter ref="H11:M31" xr:uid="{98857EF6-F0E0-4EA2-9BE7-F722AAC433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442C5F7-44B3-4922-83B1-BEBCD92FECDB}" name="F1"/>
    <tableColumn id="2" xr3:uid="{88CAC239-38E3-4C6C-95B4-4F6132167D32}" name="F2"/>
    <tableColumn id="3" xr3:uid="{B8018050-5BEB-4D29-B238-1C40B3568915}" name="F3"/>
    <tableColumn id="4" xr3:uid="{1F2330D5-6C98-440B-8E5C-265BF98113DF}" name="F4"/>
    <tableColumn id="5" xr3:uid="{383658B7-AD12-482C-933F-FE67C2E81F27}" name="F5"/>
    <tableColumn id="6" xr3:uid="{52D98921-9DC9-414A-900C-6FE303D552FA}" name="F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32846D-0EE4-4207-8BC2-A3C5CA1A1866}" name="Tabla16" displayName="Tabla16" ref="A35:F42" totalsRowCount="1" headerRowDxfId="207" dataDxfId="206" totalsRowDxfId="205">
  <autoFilter ref="A35:F41" xr:uid="{5232846D-0EE4-4207-8BC2-A3C5CA1A186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2BE3250-39D9-4C3F-AECF-6DA4236A97F0}" name="Función" totalsRowLabel="Promedio" dataDxfId="204" totalsRowDxfId="203"/>
    <tableColumn id="2" xr3:uid="{095810F3-3935-4B61-8266-53D9C7CCFA3F}" name="Mejor" totalsRowFunction="average" dataDxfId="202" totalsRowDxfId="201"/>
    <tableColumn id="3" xr3:uid="{EAA400D2-B843-46D3-B23A-1E3B5A72F957}" name="Peor" totalsRowFunction="average" dataDxfId="200" totalsRowDxfId="199"/>
    <tableColumn id="4" xr3:uid="{80A93DA7-BFE7-4D7D-9C8F-C071B93DC15E}" name="Promedio" totalsRowFunction="average" dataDxfId="198" totalsRowDxfId="197"/>
    <tableColumn id="5" xr3:uid="{B70D001C-4138-4C12-A21C-78FCDD3F0B48}" name="Mediana" totalsRowFunction="average" dataDxfId="196" totalsRowDxfId="195"/>
    <tableColumn id="6" xr3:uid="{B10A4C8C-AF99-4257-86CF-FF1F628CC93E}" name="Desviación Estándar" totalsRowFunction="average" dataDxfId="194" totalsRowDxfId="193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FE52A2-BDA4-4075-B339-E396DFAC9D5E}" name="Tabla27" displayName="Tabla27" ref="A44:F64" totalsRowShown="0">
  <autoFilter ref="A44:F64" xr:uid="{68FE52A2-BDA4-4075-B339-E396DFAC9D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22EC277-1D1F-427E-9C7F-D0FC54E8DF26}" name="F1"/>
    <tableColumn id="2" xr3:uid="{76466D4D-D2E0-4F62-8C82-9FEB5BAE8747}" name="F2"/>
    <tableColumn id="3" xr3:uid="{F444B081-22B1-48D3-8F5C-9381F59FE3B1}" name="F3"/>
    <tableColumn id="4" xr3:uid="{029E4151-D3E3-468D-8D65-DA3C272FE553}" name="F4"/>
    <tableColumn id="5" xr3:uid="{BCCB0622-F828-437B-8AD5-0986FB95167D}" name="F5"/>
    <tableColumn id="6" xr3:uid="{7A879542-C8A1-4022-BAD2-3F316BB82F86}" name="F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4A512F-727B-405F-897C-3F27CD7C0246}" name="Tabla148" displayName="Tabla148" ref="H35:M42" totalsRowCount="1" headerRowDxfId="192" dataDxfId="191" totalsRowDxfId="190">
  <autoFilter ref="H35:M41" xr:uid="{794A512F-727B-405F-897C-3F27CD7C02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7395FAC-8FBB-4E1E-A8B0-3A8EA4D9222C}" name="Función" totalsRowLabel="Promedio" dataDxfId="189" totalsRowDxfId="188"/>
    <tableColumn id="2" xr3:uid="{5F1B2C79-B92E-491E-824C-06B804E36071}" name="Mejor" totalsRowFunction="average" dataDxfId="187" totalsRowDxfId="186"/>
    <tableColumn id="3" xr3:uid="{04070D0B-F215-43BF-98C5-AEDBA27E22BE}" name="Peor" totalsRowFunction="average" dataDxfId="185" totalsRowDxfId="184"/>
    <tableColumn id="4" xr3:uid="{3F6591DF-2911-4AEF-99CE-83A564BD9A36}" name="Promedio" totalsRowFunction="average" dataDxfId="183" totalsRowDxfId="182"/>
    <tableColumn id="5" xr3:uid="{709D9D5C-27D3-4F87-82EA-B3B7B35B448B}" name="Mediana" totalsRowFunction="average" dataDxfId="181" totalsRowDxfId="180"/>
    <tableColumn id="6" xr3:uid="{F0DBA9B6-68A4-46FC-9757-2F28C6E0B8C4}" name="Desviación Estándar" totalsRowFunction="average" dataDxfId="179" totalsRowDxfId="17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A293D8-88EA-4EB0-9B78-DDD37AF90B41}" name="Tabla259" displayName="Tabla259" ref="H44:M64" totalsRowShown="0">
  <autoFilter ref="H44:M64" xr:uid="{F8A293D8-88EA-4EB0-9B78-DDD37AF90B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16A37BA-F4E7-4F8D-8A69-B90C107DCC94}" name="F1"/>
    <tableColumn id="2" xr3:uid="{06F9E3DE-F0A1-46A0-9AA2-E6FBCB568E3C}" name="F2"/>
    <tableColumn id="3" xr3:uid="{8C6DE083-88FB-4498-86D7-0E2AB312919A}" name="F3"/>
    <tableColumn id="4" xr3:uid="{DC299FA5-4437-4819-BDDE-A14265072BC6}" name="F4"/>
    <tableColumn id="5" xr3:uid="{6CD281E4-254A-40AD-88CB-820ADC811EFC}" name="F5"/>
    <tableColumn id="6" xr3:uid="{9C3C86CB-711E-4A26-A053-859A77B7232A}" name="F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D2BCFF-DE21-4F83-9B71-BD4483BCA94E}" name="Tabla9" displayName="Tabla9" ref="A68:E88" totalsRowShown="0" headerRowDxfId="161">
  <tableColumns count="5">
    <tableColumn id="1" xr3:uid="{461BD5C7-39E7-4F3B-93E0-8123F30FB1D8}" name="Ejecución" dataDxfId="162"/>
    <tableColumn id="2" xr3:uid="{00A5C144-818A-4B30-B4EE-F3B29EADAE2C}" name="Valor de la _x000a_mejor solución"/>
    <tableColumn id="3" xr3:uid="{54AC3F1C-5D09-440A-917F-48947898D250}" name="Temperatura"/>
    <tableColumn id="4" xr3:uid="{53FE80F6-365B-44EE-B7D0-4456312EC4F0}" name="Evaluación"/>
    <tableColumn id="5" xr3:uid="{DBFD281E-E0C1-495E-B96B-FD1D95EF6120}" name="Conservad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13" Type="http://schemas.openxmlformats.org/officeDocument/2006/relationships/table" Target="../tables/table25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Relationship Id="rId14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9207-CA59-4379-A388-87DC08D6A52D}">
  <dimension ref="A1:M203"/>
  <sheetViews>
    <sheetView topLeftCell="A37" workbookViewId="0">
      <selection activeCell="G9" sqref="G9"/>
    </sheetView>
  </sheetViews>
  <sheetFormatPr baseColWidth="10" defaultRowHeight="14.5" x14ac:dyDescent="0.35"/>
  <cols>
    <col min="1" max="2" width="12" customWidth="1"/>
    <col min="3" max="3" width="13.7265625" customWidth="1"/>
    <col min="4" max="4" width="12" customWidth="1"/>
    <col min="5" max="5" width="12.6328125" customWidth="1"/>
    <col min="6" max="6" width="20.7265625" customWidth="1"/>
    <col min="13" max="13" width="19" customWidth="1"/>
  </cols>
  <sheetData>
    <row r="1" spans="1:13" ht="15.5" x14ac:dyDescent="0.35">
      <c r="A1" s="9" t="s">
        <v>12</v>
      </c>
      <c r="B1" s="9"/>
      <c r="C1" s="9"/>
      <c r="D1" s="9"/>
      <c r="E1" s="9"/>
      <c r="F1" s="9"/>
      <c r="H1" s="5" t="s">
        <v>13</v>
      </c>
      <c r="I1" s="5"/>
      <c r="J1" s="5"/>
      <c r="K1" s="5"/>
      <c r="L1" s="5"/>
      <c r="M1" s="5"/>
    </row>
    <row r="2" spans="1:13" x14ac:dyDescent="0.3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</row>
    <row r="3" spans="1:13" x14ac:dyDescent="0.35">
      <c r="A3" s="6" t="s">
        <v>6</v>
      </c>
      <c r="B3" s="6">
        <f>MAX(Tabla2[F1])</f>
        <v>1.21759674114903</v>
      </c>
      <c r="C3" s="6">
        <f>MIN(Tabla2[F1])</f>
        <v>9.0578948503282894E-2</v>
      </c>
      <c r="D3" s="6">
        <f>AVERAGE(Tabla2[F1])</f>
        <v>0.44264778413844763</v>
      </c>
      <c r="E3" s="6">
        <f>MEDIAN(Tabla2[F1])</f>
        <v>0.39293625001861399</v>
      </c>
      <c r="F3" s="6">
        <f>STDEVA(Tabla2[F1])</f>
        <v>0.27235721718021594</v>
      </c>
      <c r="H3" s="1" t="s">
        <v>6</v>
      </c>
      <c r="I3" s="1">
        <f>MAX(Tabla25[F1])</f>
        <v>1.0038375854492101E-2</v>
      </c>
      <c r="J3" s="1">
        <f>MIN(Tabla25[F1])</f>
        <v>1.9876956939697201E-3</v>
      </c>
      <c r="K3" s="1">
        <f>AVERAGE(Tabla25[F1])</f>
        <v>4.7552585601806554E-3</v>
      </c>
      <c r="L3" s="1">
        <f>MEDIAN(Tabla25[F1])</f>
        <v>4.987001419067375E-3</v>
      </c>
      <c r="M3" s="1">
        <f>STDEVA(Tabla25[F1])</f>
        <v>1.9055387763068485E-3</v>
      </c>
    </row>
    <row r="4" spans="1:13" x14ac:dyDescent="0.35">
      <c r="A4" s="6" t="s">
        <v>7</v>
      </c>
      <c r="B4" s="6">
        <f>MAX(Tabla2[F2])</f>
        <v>55.689145302719801</v>
      </c>
      <c r="C4" s="6">
        <f>MIN(Tabla2[F2])</f>
        <v>1.9053157398942699</v>
      </c>
      <c r="D4" s="6">
        <f>AVERAGE(Tabla2[F2])</f>
        <v>20.329914615113189</v>
      </c>
      <c r="E4" s="6">
        <f>MEDIAN(Tabla2[F2])</f>
        <v>16.124226271424448</v>
      </c>
      <c r="F4" s="6">
        <f>STDEVA(Tabla2[F2])</f>
        <v>13.983608066149582</v>
      </c>
      <c r="H4" s="1" t="s">
        <v>7</v>
      </c>
      <c r="I4" s="1">
        <f>MAX(Tabla25[F2])</f>
        <v>1.2963533401489201E-2</v>
      </c>
      <c r="J4" s="1">
        <f>MIN(Tabla25[F2])</f>
        <v>4.9839019775390599E-3</v>
      </c>
      <c r="K4" s="1">
        <f>AVERAGE(Tabla25[F2])</f>
        <v>8.1788182258605863E-3</v>
      </c>
      <c r="L4" s="1">
        <f>MEDIAN(Tabla25[F2])</f>
        <v>7.9783201217651298E-3</v>
      </c>
      <c r="M4" s="1">
        <f>STDEVA(Tabla25[F2])</f>
        <v>2.0864183921200335E-3</v>
      </c>
    </row>
    <row r="5" spans="1:13" x14ac:dyDescent="0.35">
      <c r="A5" s="6" t="s">
        <v>8</v>
      </c>
      <c r="B5" s="6">
        <f>MAX(Tabla2[F3])</f>
        <v>30.411823590832601</v>
      </c>
      <c r="C5" s="6">
        <f>MIN(Tabla2[F3])</f>
        <v>1.1417538057544601</v>
      </c>
      <c r="D5" s="6">
        <f>AVERAGE(Tabla2[F3])</f>
        <v>8.8155773495714449</v>
      </c>
      <c r="E5" s="6">
        <f>MEDIAN(Tabla2[F3])</f>
        <v>7.2886635668743693</v>
      </c>
      <c r="F5" s="6">
        <f>STDEVA(Tabla2[F3])</f>
        <v>6.2207291895060477</v>
      </c>
      <c r="H5" s="1" t="s">
        <v>8</v>
      </c>
      <c r="I5" s="1">
        <f>MAX(Tabla25[F3])</f>
        <v>2.3936271667480399E-2</v>
      </c>
      <c r="J5" s="1">
        <f>MIN(Tabla25[F3])</f>
        <v>9.9711418151855399E-3</v>
      </c>
      <c r="K5" s="1">
        <f>AVERAGE(Tabla25[F3])</f>
        <v>1.4959490299224798E-2</v>
      </c>
      <c r="L5" s="1">
        <f>MEDIAN(Tabla25[F3])</f>
        <v>1.29666328430175E-2</v>
      </c>
      <c r="M5" s="1">
        <f>STDEVA(Tabla25[F3])</f>
        <v>3.8700666817677405E-3</v>
      </c>
    </row>
    <row r="6" spans="1:13" x14ac:dyDescent="0.35">
      <c r="A6" s="6" t="s">
        <v>9</v>
      </c>
      <c r="B6" s="6">
        <f>MAX(Tabla2[F4])</f>
        <v>0.10354054124119499</v>
      </c>
      <c r="C6" s="6">
        <f>MIN(Tabla2[F4])</f>
        <v>3.10861813628545E-6</v>
      </c>
      <c r="D6" s="6">
        <f>AVERAGE(Tabla2[F4])</f>
        <v>1.2208823478213098E-2</v>
      </c>
      <c r="E6" s="6">
        <f>MEDIAN(Tabla2[F4])</f>
        <v>9.8446273932459956E-4</v>
      </c>
      <c r="F6" s="6">
        <f>STDEVA(Tabla2[F4])</f>
        <v>2.459325819421182E-2</v>
      </c>
      <c r="H6" s="1" t="s">
        <v>9</v>
      </c>
      <c r="I6" s="1">
        <f>MAX(Tabla25[F4])</f>
        <v>5.9847831726074201E-3</v>
      </c>
      <c r="J6" s="1">
        <f>MIN(Tabla25[F4])</f>
        <v>1.99484825134277E-3</v>
      </c>
      <c r="K6" s="1">
        <f>AVERAGE(Tabla25[F4])</f>
        <v>3.7147164344787558E-3</v>
      </c>
      <c r="L6" s="1">
        <f>MEDIAN(Tabla25[F4])</f>
        <v>3.7432909011840751E-3</v>
      </c>
      <c r="M6" s="1">
        <f>STDEVA(Tabla25[F4])</f>
        <v>9.6429105393131497E-4</v>
      </c>
    </row>
    <row r="7" spans="1:13" x14ac:dyDescent="0.35">
      <c r="A7" s="6" t="s">
        <v>10</v>
      </c>
      <c r="B7" s="6">
        <f>MAX(Tabla2[F5])</f>
        <v>2.7019237231022801</v>
      </c>
      <c r="C7" s="6">
        <f>MIN(Tabla2[F5])</f>
        <v>1.3852161069561399</v>
      </c>
      <c r="D7" s="6">
        <f>AVERAGE(Tabla2[F5])</f>
        <v>2.1027105113011997</v>
      </c>
      <c r="E7" s="6">
        <f>MEDIAN(Tabla2[F5])</f>
        <v>2.1042192003344251</v>
      </c>
      <c r="F7" s="6">
        <f>STDEVA(Tabla2[F5])</f>
        <v>0.38372881382670787</v>
      </c>
      <c r="H7" s="1" t="s">
        <v>10</v>
      </c>
      <c r="I7" s="1">
        <f>MAX(Tabla25[F5])</f>
        <v>3.2906293869018499E-2</v>
      </c>
      <c r="J7" s="1">
        <f>MIN(Tabla25[F5])</f>
        <v>1.19674205780029E-2</v>
      </c>
      <c r="K7" s="1">
        <f>AVERAGE(Tabla25[F5])</f>
        <v>2.1751141548156695E-2</v>
      </c>
      <c r="L7" s="1">
        <f>MEDIAN(Tabla25[F5])</f>
        <v>2.2439837455749501E-2</v>
      </c>
      <c r="M7" s="1">
        <f>STDEVA(Tabla25[F5])</f>
        <v>6.1702650430474652E-3</v>
      </c>
    </row>
    <row r="8" spans="1:13" ht="20.25" customHeight="1" x14ac:dyDescent="0.35">
      <c r="A8" s="6" t="s">
        <v>11</v>
      </c>
      <c r="B8" s="6">
        <f>MAX(Tabla2[F6])</f>
        <v>13.6436245343788</v>
      </c>
      <c r="C8" s="6">
        <f>MIN(Tabla2[F6])</f>
        <v>0.58077409945840197</v>
      </c>
      <c r="D8" s="6">
        <f>AVERAGE(Tabla2[F6])</f>
        <v>3.2805790062654205</v>
      </c>
      <c r="E8" s="6">
        <f>MEDIAN(Tabla2[F6])</f>
        <v>2.7566635091792353</v>
      </c>
      <c r="F8" s="6">
        <f>STDEVA(Tabla2[F6])</f>
        <v>2.851170742553478</v>
      </c>
      <c r="H8" s="1" t="s">
        <v>11</v>
      </c>
      <c r="I8" s="1">
        <f>MAX(Tabla25[F6])</f>
        <v>7.9803466796875E-3</v>
      </c>
      <c r="J8" s="1">
        <f>MIN(Tabla25[F6])</f>
        <v>2.9911994934082001E-3</v>
      </c>
      <c r="K8" s="1">
        <f>AVERAGE(Tabla25[F6])</f>
        <v>5.1861405372619594E-3</v>
      </c>
      <c r="L8" s="1">
        <f>MEDIAN(Tabla25[F6])</f>
        <v>4.9881935119628854E-3</v>
      </c>
      <c r="M8" s="1">
        <f>STDEVA(Tabla25[F6])</f>
        <v>1.4328097588101358E-3</v>
      </c>
    </row>
    <row r="9" spans="1:13" ht="29" customHeight="1" x14ac:dyDescent="0.35">
      <c r="A9" s="7" t="s">
        <v>16</v>
      </c>
      <c r="B9" s="8">
        <f>SUBTOTAL(101,Tabla1[Mejor])</f>
        <v>17.294609072237286</v>
      </c>
      <c r="C9" s="8">
        <f>SUBTOTAL(101,Tabla1[Peor])</f>
        <v>0.85060696819744852</v>
      </c>
      <c r="D9" s="8">
        <f>SUBTOTAL(101,Tabla1[Promedio])</f>
        <v>5.8306063483113197</v>
      </c>
      <c r="E9" s="8">
        <f>SUBTOTAL(101,Tabla1[Mediana])</f>
        <v>4.7779488767617364</v>
      </c>
      <c r="F9" s="8">
        <f>SUBTOTAL(101,Tabla1[Desviación Estándar])</f>
        <v>3.9560312145683736</v>
      </c>
      <c r="H9" s="2" t="s">
        <v>3</v>
      </c>
      <c r="I9" s="2">
        <f>SUBTOTAL(101,Tabla14[Mejor])</f>
        <v>1.5634934107462518E-2</v>
      </c>
      <c r="J9" s="2">
        <f>SUBTOTAL(101,Tabla14[Peor])</f>
        <v>5.6493679682413653E-3</v>
      </c>
      <c r="K9" s="2">
        <f>SUBTOTAL(101,Tabla14[Promedio])</f>
        <v>9.7575942675272431E-3</v>
      </c>
      <c r="L9" s="2">
        <f>SUBTOTAL(101,Tabla14[Mediana])</f>
        <v>9.5172127087910768E-3</v>
      </c>
      <c r="M9" s="2">
        <f>SUBTOTAL(101,Tabla14[Desviación Estándar])</f>
        <v>2.7382316176639229E-3</v>
      </c>
    </row>
    <row r="11" spans="1:13" x14ac:dyDescent="0.35">
      <c r="A11" t="s">
        <v>6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</row>
    <row r="12" spans="1:13" x14ac:dyDescent="0.35">
      <c r="A12">
        <v>0.31190806343907101</v>
      </c>
      <c r="B12">
        <v>13.8626748887615</v>
      </c>
      <c r="C12">
        <v>1.1417538057544601</v>
      </c>
      <c r="D12">
        <v>1.09919721856617E-2</v>
      </c>
      <c r="E12">
        <v>2.66009598266763</v>
      </c>
      <c r="F12">
        <v>4.6301023801286103</v>
      </c>
      <c r="H12">
        <v>1.0038375854492101E-2</v>
      </c>
      <c r="I12">
        <v>4.9839019775390599E-3</v>
      </c>
      <c r="J12">
        <v>1.29644870758056E-2</v>
      </c>
      <c r="K12">
        <v>2.9914379119872999E-3</v>
      </c>
      <c r="L12">
        <v>1.19674205780029E-2</v>
      </c>
      <c r="M12">
        <v>5.9823989868164002E-3</v>
      </c>
    </row>
    <row r="13" spans="1:13" x14ac:dyDescent="0.35">
      <c r="A13">
        <v>0.31302756107188801</v>
      </c>
      <c r="B13">
        <v>17.2367136450525</v>
      </c>
      <c r="C13">
        <v>6.6885860656498597</v>
      </c>
      <c r="D13">
        <v>1.5030192430013399E-3</v>
      </c>
      <c r="E13">
        <v>2.3909787450504201</v>
      </c>
      <c r="F13">
        <v>5.0551833037164098</v>
      </c>
      <c r="H13">
        <v>5.7053565979003898E-3</v>
      </c>
      <c r="I13">
        <v>6.9832801818847604E-3</v>
      </c>
      <c r="J13">
        <v>9.9735260009765608E-3</v>
      </c>
      <c r="K13">
        <v>2.9902458190917899E-3</v>
      </c>
      <c r="L13">
        <v>1.2965440750121999E-2</v>
      </c>
      <c r="M13">
        <v>3.9894580841064401E-3</v>
      </c>
    </row>
    <row r="14" spans="1:13" x14ac:dyDescent="0.35">
      <c r="A14">
        <v>0.19802173647114699</v>
      </c>
      <c r="B14">
        <v>16.164263040657499</v>
      </c>
      <c r="C14">
        <v>9.4542370451619906</v>
      </c>
      <c r="D14">
        <v>3.5277550436831298E-2</v>
      </c>
      <c r="E14">
        <v>2.1525132820394202</v>
      </c>
      <c r="F14">
        <v>3.5866142112296799</v>
      </c>
      <c r="H14">
        <v>5.9831142425537101E-3</v>
      </c>
      <c r="I14">
        <v>6.9837570190429601E-3</v>
      </c>
      <c r="J14">
        <v>1.29644870758056E-2</v>
      </c>
      <c r="K14">
        <v>3.9894580841064401E-3</v>
      </c>
      <c r="L14">
        <v>1.4961719512939399E-2</v>
      </c>
      <c r="M14">
        <v>2.9923915863037101E-3</v>
      </c>
    </row>
    <row r="15" spans="1:13" x14ac:dyDescent="0.35">
      <c r="A15">
        <v>0.25038831343548501</v>
      </c>
      <c r="B15">
        <v>26.768380015749202</v>
      </c>
      <c r="C15">
        <v>13.081331310504799</v>
      </c>
      <c r="D15" s="3">
        <v>6.2440312961816095E-5</v>
      </c>
      <c r="E15">
        <v>1.9311982195839801</v>
      </c>
      <c r="F15">
        <v>3.7805910870859099</v>
      </c>
      <c r="H15">
        <v>2.9904842376708902E-3</v>
      </c>
      <c r="I15">
        <v>6.9787502288818299E-3</v>
      </c>
      <c r="J15">
        <v>9.9711418151855399E-3</v>
      </c>
      <c r="K15" s="3">
        <v>1.99484825134277E-3</v>
      </c>
      <c r="L15">
        <v>1.49636268615722E-2</v>
      </c>
      <c r="M15">
        <v>4.9889087677001901E-3</v>
      </c>
    </row>
    <row r="16" spans="1:13" x14ac:dyDescent="0.35">
      <c r="A16">
        <v>0.44337928418628603</v>
      </c>
      <c r="B16">
        <v>32.946046341085903</v>
      </c>
      <c r="C16">
        <v>11.0149188474157</v>
      </c>
      <c r="D16" s="3">
        <v>8.4880075701428199E-5</v>
      </c>
      <c r="E16">
        <v>2.3577244979336598</v>
      </c>
      <c r="F16">
        <v>13.6436245343788</v>
      </c>
      <c r="H16">
        <v>2.9919147491455E-3</v>
      </c>
      <c r="I16">
        <v>6.9816112518310504E-3</v>
      </c>
      <c r="J16">
        <v>1.29673480987548E-2</v>
      </c>
      <c r="K16" s="3">
        <v>2.9904842376708902E-3</v>
      </c>
      <c r="L16">
        <v>1.71430110931396E-2</v>
      </c>
      <c r="M16">
        <v>4.9879550933837804E-3</v>
      </c>
    </row>
    <row r="17" spans="1:13" x14ac:dyDescent="0.35">
      <c r="A17">
        <v>0.32123818809388799</v>
      </c>
      <c r="B17">
        <v>11.273226999392699</v>
      </c>
      <c r="C17">
        <v>11.373246064435801</v>
      </c>
      <c r="D17">
        <v>9.4589257244843505E-4</v>
      </c>
      <c r="E17">
        <v>2.10346688928162</v>
      </c>
      <c r="F17">
        <v>3.09185913038029</v>
      </c>
      <c r="H17">
        <v>6.9849491119384696E-3</v>
      </c>
      <c r="I17">
        <v>4.9979686737060504E-3</v>
      </c>
      <c r="J17">
        <v>1.1968612670898399E-2</v>
      </c>
      <c r="K17">
        <v>3.9911270141601502E-3</v>
      </c>
      <c r="L17">
        <v>1.69594287872314E-2</v>
      </c>
      <c r="M17">
        <v>4.9788951873779297E-3</v>
      </c>
    </row>
    <row r="18" spans="1:13" x14ac:dyDescent="0.35">
      <c r="A18">
        <v>0.68655925111457405</v>
      </c>
      <c r="B18">
        <v>28.4834110081575</v>
      </c>
      <c r="C18">
        <v>9.5715683860749596</v>
      </c>
      <c r="D18">
        <v>2.2813036256066001E-3</v>
      </c>
      <c r="E18">
        <v>2.5789926277088102</v>
      </c>
      <c r="F18">
        <v>1.2910843125911999</v>
      </c>
      <c r="H18">
        <v>3.9865970611572196E-3</v>
      </c>
      <c r="I18">
        <v>8.9640617370605399E-3</v>
      </c>
      <c r="J18">
        <v>1.19655132293701E-2</v>
      </c>
      <c r="K18">
        <v>3.9894580841064401E-3</v>
      </c>
      <c r="L18">
        <v>1.89435482025146E-2</v>
      </c>
      <c r="M18">
        <v>2.9933452606201098E-3</v>
      </c>
    </row>
    <row r="19" spans="1:13" x14ac:dyDescent="0.35">
      <c r="A19">
        <v>0.499064890359181</v>
      </c>
      <c r="B19">
        <v>43.063343668558197</v>
      </c>
      <c r="C19">
        <v>6.7654942023489699</v>
      </c>
      <c r="D19">
        <v>2.0059781542038298E-2</v>
      </c>
      <c r="E19">
        <v>1.8499494967719301</v>
      </c>
      <c r="F19">
        <v>1.17744691191165</v>
      </c>
      <c r="H19">
        <v>4.9860477447509696E-3</v>
      </c>
      <c r="I19">
        <v>5.9840679168701102E-3</v>
      </c>
      <c r="J19">
        <v>1.2965917587280201E-2</v>
      </c>
      <c r="K19">
        <v>2.9914379119872999E-3</v>
      </c>
      <c r="L19">
        <v>1.6953706741333001E-2</v>
      </c>
      <c r="M19">
        <v>3.9899349212646398E-3</v>
      </c>
    </row>
    <row r="20" spans="1:13" x14ac:dyDescent="0.35">
      <c r="A20">
        <v>0.33772862542547899</v>
      </c>
      <c r="B20">
        <v>8.3022850737974103</v>
      </c>
      <c r="C20">
        <v>30.411823590832601</v>
      </c>
      <c r="D20">
        <v>2.06563470201305E-4</v>
      </c>
      <c r="E20">
        <v>1.7659203043741001</v>
      </c>
      <c r="F20">
        <v>4.7155268720340597</v>
      </c>
      <c r="H20">
        <v>2.9916763305664002E-3</v>
      </c>
      <c r="I20">
        <v>7.9798698425292899E-3</v>
      </c>
      <c r="J20">
        <v>1.09710693359375E-2</v>
      </c>
      <c r="K20">
        <v>2.9792785644531198E-3</v>
      </c>
      <c r="L20">
        <v>1.69551372528076E-2</v>
      </c>
      <c r="M20">
        <v>4.9860477447509696E-3</v>
      </c>
    </row>
    <row r="21" spans="1:13" x14ac:dyDescent="0.35">
      <c r="A21">
        <v>0.463905285746253</v>
      </c>
      <c r="B21">
        <v>8.3485030201754498</v>
      </c>
      <c r="C21">
        <v>1.87618516630716</v>
      </c>
      <c r="D21">
        <v>1.0004490571168399E-3</v>
      </c>
      <c r="E21">
        <v>1.74164118425826</v>
      </c>
      <c r="F21">
        <v>3.1388542357389402</v>
      </c>
      <c r="H21">
        <v>4.9879550933837804E-3</v>
      </c>
      <c r="I21">
        <v>6.9806575775146398E-3</v>
      </c>
      <c r="J21">
        <v>1.19595527648925E-2</v>
      </c>
      <c r="K21">
        <v>3.9908885955810504E-3</v>
      </c>
      <c r="L21">
        <v>1.9946098327636701E-2</v>
      </c>
      <c r="M21">
        <v>2.9911994934082001E-3</v>
      </c>
    </row>
    <row r="22" spans="1:13" x14ac:dyDescent="0.35">
      <c r="A22">
        <v>0.72972000815921301</v>
      </c>
      <c r="B22">
        <v>2.51044738023342</v>
      </c>
      <c r="C22">
        <v>7.8118329313997696</v>
      </c>
      <c r="D22">
        <v>6.8569591984284702E-4</v>
      </c>
      <c r="E22">
        <v>2.1049715113872298</v>
      </c>
      <c r="F22">
        <v>3.2317157265240999</v>
      </c>
      <c r="H22">
        <v>3.9892196655273403E-3</v>
      </c>
      <c r="I22">
        <v>8.9819431304931606E-3</v>
      </c>
      <c r="J22">
        <v>1.29644870758056E-2</v>
      </c>
      <c r="K22">
        <v>2.9919147491455E-3</v>
      </c>
      <c r="L22">
        <v>2.5932312011718701E-2</v>
      </c>
      <c r="M22">
        <v>4.9884319305419896E-3</v>
      </c>
    </row>
    <row r="23" spans="1:13" x14ac:dyDescent="0.35">
      <c r="A23">
        <v>0.42470162642606701</v>
      </c>
      <c r="B23">
        <v>16.0841895021914</v>
      </c>
      <c r="C23">
        <v>3.9426143441638599</v>
      </c>
      <c r="D23" s="3">
        <v>3.10861813628545E-6</v>
      </c>
      <c r="E23">
        <v>1.6134721072278699</v>
      </c>
      <c r="F23">
        <v>2.3079824974747098</v>
      </c>
      <c r="H23">
        <v>1.9876956939697201E-3</v>
      </c>
      <c r="I23">
        <v>6.9799423217773403E-3</v>
      </c>
      <c r="J23">
        <v>1.4960050582885701E-2</v>
      </c>
      <c r="K23" s="3">
        <v>3.4985542297363199E-3</v>
      </c>
      <c r="L23">
        <v>2.6927471160888599E-2</v>
      </c>
      <c r="M23">
        <v>4.9867630004882804E-3</v>
      </c>
    </row>
    <row r="24" spans="1:13" x14ac:dyDescent="0.35">
      <c r="A24">
        <v>0.37407345106236201</v>
      </c>
      <c r="B24">
        <v>16.0068265435341</v>
      </c>
      <c r="C24">
        <v>10.031363918232699</v>
      </c>
      <c r="D24" s="3">
        <v>9.4762963309769096E-6</v>
      </c>
      <c r="E24">
        <v>1.3852161069561399</v>
      </c>
      <c r="F24">
        <v>1.33786772894037</v>
      </c>
      <c r="H24">
        <v>5.9857368469238203E-3</v>
      </c>
      <c r="I24">
        <v>9.9730491638183594E-3</v>
      </c>
      <c r="J24">
        <v>1.8949508666992101E-2</v>
      </c>
      <c r="K24" s="3">
        <v>2.9911994934082001E-3</v>
      </c>
      <c r="L24">
        <v>2.4933576583862301E-2</v>
      </c>
      <c r="M24">
        <v>5.9821605682373004E-3</v>
      </c>
    </row>
    <row r="25" spans="1:13" x14ac:dyDescent="0.35">
      <c r="A25">
        <v>0.13320755695367401</v>
      </c>
      <c r="B25">
        <v>27.680513107415798</v>
      </c>
      <c r="C25">
        <v>6.1480398942743104</v>
      </c>
      <c r="D25" s="3">
        <v>4.4408030457569998E-5</v>
      </c>
      <c r="E25">
        <v>1.8748319440258701</v>
      </c>
      <c r="F25">
        <v>0.58077409945840197</v>
      </c>
      <c r="H25">
        <v>5.9840679168701102E-3</v>
      </c>
      <c r="I25">
        <v>7.9767704010009696E-3</v>
      </c>
      <c r="J25">
        <v>1.59575939178466E-2</v>
      </c>
      <c r="K25" s="3">
        <v>3.9906501770019497E-3</v>
      </c>
      <c r="L25">
        <v>2.6927709579467701E-2</v>
      </c>
      <c r="M25">
        <v>6.9832801818847604E-3</v>
      </c>
    </row>
    <row r="26" spans="1:13" x14ac:dyDescent="0.35">
      <c r="A26">
        <v>0.41179904897486602</v>
      </c>
      <c r="B26">
        <v>11.762230827103499</v>
      </c>
      <c r="C26">
        <v>6.2408304310877396</v>
      </c>
      <c r="D26">
        <v>9.6847642153235895E-4</v>
      </c>
      <c r="E26">
        <v>2.59236754956224</v>
      </c>
      <c r="F26">
        <v>5.4888316149721996</v>
      </c>
      <c r="H26">
        <v>5.9826374053955E-3</v>
      </c>
      <c r="I26">
        <v>7.9801082611083898E-3</v>
      </c>
      <c r="J26">
        <v>1.79522037506103E-2</v>
      </c>
      <c r="K26">
        <v>5.9847831726074201E-3</v>
      </c>
      <c r="L26">
        <v>2.5931358337402299E-2</v>
      </c>
      <c r="M26">
        <v>6.98089599609375E-3</v>
      </c>
    </row>
    <row r="27" spans="1:13" x14ac:dyDescent="0.35">
      <c r="A27">
        <v>1.21759674114903</v>
      </c>
      <c r="B27">
        <v>1.9053157398942699</v>
      </c>
      <c r="C27">
        <v>8.7450937278813097</v>
      </c>
      <c r="D27">
        <v>0.10354054124119499</v>
      </c>
      <c r="E27">
        <v>2.21887545796762</v>
      </c>
      <c r="F27">
        <v>2.4214678879781801</v>
      </c>
      <c r="H27">
        <v>4.5678615570068299E-3</v>
      </c>
      <c r="I27">
        <v>9.9728107452392491E-3</v>
      </c>
      <c r="J27">
        <v>1.89499855041503E-2</v>
      </c>
      <c r="K27">
        <v>4.9850940704345703E-3</v>
      </c>
      <c r="L27">
        <v>3.2906293869018499E-2</v>
      </c>
      <c r="M27">
        <v>3.9892196655273403E-3</v>
      </c>
    </row>
    <row r="28" spans="1:13" x14ac:dyDescent="0.35">
      <c r="A28">
        <v>0.176205583436157</v>
      </c>
      <c r="B28">
        <v>10.0249941980065</v>
      </c>
      <c r="C28">
        <v>6.5992943391933903</v>
      </c>
      <c r="D28">
        <v>3.2232370432373002E-2</v>
      </c>
      <c r="E28">
        <v>1.69179271129246</v>
      </c>
      <c r="F28">
        <v>2.1187405507552701</v>
      </c>
      <c r="H28">
        <v>4.9901008605956997E-3</v>
      </c>
      <c r="I28">
        <v>8.9766979217529297E-3</v>
      </c>
      <c r="J28">
        <v>1.9947052001953101E-2</v>
      </c>
      <c r="K28">
        <v>4.9884319305419896E-3</v>
      </c>
      <c r="L28">
        <v>2.7924299240112301E-2</v>
      </c>
      <c r="M28">
        <v>5.9852600097656198E-3</v>
      </c>
    </row>
    <row r="29" spans="1:13" x14ac:dyDescent="0.35">
      <c r="A29">
        <v>0.875160947741221</v>
      </c>
      <c r="B29">
        <v>55.689145302719801</v>
      </c>
      <c r="C29">
        <v>4.8414211053685596</v>
      </c>
      <c r="D29">
        <v>3.0315936278439499E-2</v>
      </c>
      <c r="E29">
        <v>2.4661155838824</v>
      </c>
      <c r="F29">
        <v>0.80889263590472804</v>
      </c>
      <c r="H29">
        <v>2.9878616333007799E-3</v>
      </c>
      <c r="I29">
        <v>9.9875926971435495E-3</v>
      </c>
      <c r="J29">
        <v>2.3936271667480399E-2</v>
      </c>
      <c r="K29">
        <v>3.9880275726318299E-3</v>
      </c>
      <c r="L29">
        <v>2.8927326202392498E-2</v>
      </c>
      <c r="M29">
        <v>5.9812068939208898E-3</v>
      </c>
    </row>
    <row r="30" spans="1:13" x14ac:dyDescent="0.35">
      <c r="A30">
        <v>0.59469057101982703</v>
      </c>
      <c r="B30">
        <v>38.071490844979799</v>
      </c>
      <c r="C30">
        <v>15.648711677871001</v>
      </c>
      <c r="D30" s="3">
        <v>3.5884548522881701E-6</v>
      </c>
      <c r="E30">
        <v>2.7019237231022801</v>
      </c>
      <c r="F30">
        <v>1.08613427754112</v>
      </c>
      <c r="H30">
        <v>1.99484825134277E-3</v>
      </c>
      <c r="I30">
        <v>1.1965990066528299E-2</v>
      </c>
      <c r="J30">
        <v>1.79512500762939E-2</v>
      </c>
      <c r="K30" s="3">
        <v>4.9850940704345703E-3</v>
      </c>
      <c r="L30">
        <v>2.5925636291503899E-2</v>
      </c>
      <c r="M30">
        <v>7.9803466796875E-3</v>
      </c>
    </row>
    <row r="31" spans="1:13" x14ac:dyDescent="0.35">
      <c r="A31">
        <v>9.0578948503282894E-2</v>
      </c>
      <c r="B31">
        <v>20.4142911547974</v>
      </c>
      <c r="C31">
        <v>4.9232001374699701</v>
      </c>
      <c r="D31">
        <v>3.9590153495330897E-3</v>
      </c>
      <c r="E31">
        <v>1.8721623009500501</v>
      </c>
      <c r="F31">
        <v>2.1182861265637798</v>
      </c>
      <c r="H31">
        <v>4.9886703491210903E-3</v>
      </c>
      <c r="I31">
        <v>1.2963533401489201E-2</v>
      </c>
      <c r="J31">
        <v>1.8949747085571199E-2</v>
      </c>
      <c r="K31">
        <v>2.9919147491455E-3</v>
      </c>
      <c r="L31">
        <v>2.6927709579467701E-2</v>
      </c>
      <c r="M31">
        <v>6.9847106933593698E-3</v>
      </c>
    </row>
    <row r="34" spans="1:13" x14ac:dyDescent="0.35">
      <c r="A34" s="5" t="s">
        <v>14</v>
      </c>
      <c r="B34" s="5"/>
      <c r="C34" s="5"/>
      <c r="D34" s="5"/>
      <c r="E34" s="5"/>
      <c r="F34" s="5"/>
      <c r="H34" s="5" t="s">
        <v>15</v>
      </c>
      <c r="I34" s="5"/>
      <c r="J34" s="5"/>
      <c r="K34" s="5"/>
      <c r="L34" s="5"/>
      <c r="M34" s="5"/>
    </row>
    <row r="35" spans="1:13" x14ac:dyDescent="0.3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H35" s="1" t="s">
        <v>0</v>
      </c>
      <c r="I35" s="1" t="s">
        <v>1</v>
      </c>
      <c r="J35" s="1" t="s">
        <v>2</v>
      </c>
      <c r="K35" s="1" t="s">
        <v>3</v>
      </c>
      <c r="L35" s="1" t="s">
        <v>4</v>
      </c>
      <c r="M35" s="1" t="s">
        <v>5</v>
      </c>
    </row>
    <row r="36" spans="1:13" x14ac:dyDescent="0.35">
      <c r="A36" s="1" t="s">
        <v>6</v>
      </c>
      <c r="B36" s="1">
        <f>MAX(Tabla27[F1])</f>
        <v>10.3653518272159</v>
      </c>
      <c r="C36" s="1">
        <f>MIN(Tabla27[F1])</f>
        <v>3.66302417897802</v>
      </c>
      <c r="D36" s="1">
        <f>AVERAGE(Tabla27[F1])</f>
        <v>5.7982599356967066</v>
      </c>
      <c r="E36" s="1">
        <f>MEDIAN(Tabla27[F1])</f>
        <v>5.2242251735060501</v>
      </c>
      <c r="F36" s="1">
        <f>STDEVA(Tabla27[F1])</f>
        <v>1.7501468095320369</v>
      </c>
      <c r="H36" s="1" t="s">
        <v>6</v>
      </c>
      <c r="I36" s="1">
        <f>MAX(Tabla259[F1])</f>
        <v>1.0971784591674799E-2</v>
      </c>
      <c r="J36" s="1">
        <f>MIN(Tabla259[F1])</f>
        <v>3.9918422698974601E-3</v>
      </c>
      <c r="K36" s="1">
        <f>AVERAGE(Tabla259[F1])</f>
        <v>7.457828521728509E-3</v>
      </c>
      <c r="L36" s="1">
        <f>MEDIAN(Tabla259[F1])</f>
        <v>6.9819688796997001E-3</v>
      </c>
      <c r="M36" s="1">
        <f>STDEVA(Tabla259[F1])</f>
        <v>2.0179845633385564E-3</v>
      </c>
    </row>
    <row r="37" spans="1:13" x14ac:dyDescent="0.35">
      <c r="A37" s="1" t="s">
        <v>7</v>
      </c>
      <c r="B37" s="1">
        <f>MAX(Tabla27[F2])</f>
        <v>1076.81361494162</v>
      </c>
      <c r="C37" s="1">
        <f>MIN(Tabla27[F2])</f>
        <v>409.83930351960498</v>
      </c>
      <c r="D37" s="1">
        <f>AVERAGE(Tabla27[F2])</f>
        <v>663.34972520201393</v>
      </c>
      <c r="E37" s="1">
        <f>MEDIAN(Tabla27[F2])</f>
        <v>607.81080202120995</v>
      </c>
      <c r="F37" s="1">
        <f>STDEVA(Tabla27[F2])</f>
        <v>213.26723474035768</v>
      </c>
      <c r="H37" s="1" t="s">
        <v>7</v>
      </c>
      <c r="I37" s="1">
        <f>MAX(Tabla259[F2])</f>
        <v>1.9947290420532199E-2</v>
      </c>
      <c r="J37" s="1">
        <f>MIN(Tabla259[F2])</f>
        <v>8.9695453643798793E-3</v>
      </c>
      <c r="K37" s="1">
        <f>AVERAGE(Tabla259[F2])</f>
        <v>1.5060544013976999E-2</v>
      </c>
      <c r="L37" s="1">
        <f>MEDIAN(Tabla259[F2])</f>
        <v>1.54600143432617E-2</v>
      </c>
      <c r="M37" s="1">
        <f>STDEVA(Tabla259[F2])</f>
        <v>3.4845484785897803E-3</v>
      </c>
    </row>
    <row r="38" spans="1:13" x14ac:dyDescent="0.35">
      <c r="A38" s="1" t="s">
        <v>8</v>
      </c>
      <c r="B38" s="1">
        <f>MAX(Tabla27[F3])</f>
        <v>629.07939991268597</v>
      </c>
      <c r="C38" s="1">
        <f>MIN(Tabla27[F3])</f>
        <v>104.885010633278</v>
      </c>
      <c r="D38" s="1">
        <f>AVERAGE(Tabla27[F3])</f>
        <v>175.9581074652188</v>
      </c>
      <c r="E38" s="1">
        <f>MEDIAN(Tabla27[F3])</f>
        <v>143.08528470268749</v>
      </c>
      <c r="F38" s="1">
        <f>STDEVA(Tabla27[F3])</f>
        <v>118.05293813757228</v>
      </c>
      <c r="H38" s="1" t="s">
        <v>8</v>
      </c>
      <c r="I38" s="1">
        <f>MAX(Tabla259[F3])</f>
        <v>3.4909248352050698E-2</v>
      </c>
      <c r="J38" s="1">
        <f>MIN(Tabla259[F3])</f>
        <v>2.09429264068603E-2</v>
      </c>
      <c r="K38" s="1">
        <f>AVERAGE(Tabla259[F3])</f>
        <v>2.812731266021724E-2</v>
      </c>
      <c r="L38" s="1">
        <f>MEDIAN(Tabla259[F3])</f>
        <v>2.8426289558410603E-2</v>
      </c>
      <c r="M38" s="1">
        <f>STDEVA(Tabla259[F3])</f>
        <v>4.4174765580672617E-3</v>
      </c>
    </row>
    <row r="39" spans="1:13" x14ac:dyDescent="0.35">
      <c r="A39" s="1" t="s">
        <v>9</v>
      </c>
      <c r="B39" s="1">
        <f>MAX(Tabla27[F4])</f>
        <v>100997.223566976</v>
      </c>
      <c r="C39" s="1">
        <f>MIN(Tabla27[F4])</f>
        <v>4.2459460766031496</v>
      </c>
      <c r="D39" s="1">
        <f>AVERAGE(Tabla27[F4])</f>
        <v>14667.109521854061</v>
      </c>
      <c r="E39" s="1">
        <f>MEDIAN(Tabla27[F4])</f>
        <v>1339.9307865523936</v>
      </c>
      <c r="F39" s="1">
        <f>STDEVA(Tabla27[F4])</f>
        <v>29082.768130498225</v>
      </c>
      <c r="H39" s="1" t="s">
        <v>9</v>
      </c>
      <c r="I39" s="1">
        <f>MAX(Tabla259[F4])</f>
        <v>2.59289741516113E-2</v>
      </c>
      <c r="J39" s="1">
        <f>MIN(Tabla259[F4])</f>
        <v>3.9932727813720703E-3</v>
      </c>
      <c r="K39" s="1">
        <f>AVERAGE(Tabla259[F4])</f>
        <v>1.0870838165283185E-2</v>
      </c>
      <c r="L39" s="1">
        <f>MEDIAN(Tabla259[F4])</f>
        <v>9.4785690307617153E-3</v>
      </c>
      <c r="M39" s="1">
        <f>STDEVA(Tabla259[F4])</f>
        <v>4.6654737162960987E-3</v>
      </c>
    </row>
    <row r="40" spans="1:13" x14ac:dyDescent="0.35">
      <c r="A40" s="1" t="s">
        <v>10</v>
      </c>
      <c r="B40" s="1">
        <f>MAX(Tabla27[F5])</f>
        <v>13.4246168370771</v>
      </c>
      <c r="C40" s="1">
        <f>MIN(Tabla27[F5])</f>
        <v>8.3713259428459494</v>
      </c>
      <c r="D40" s="1">
        <f>AVERAGE(Tabla27[F5])</f>
        <v>9.9076795970130362</v>
      </c>
      <c r="E40" s="1">
        <f>MEDIAN(Tabla27[F5])</f>
        <v>9.6527214900731515</v>
      </c>
      <c r="F40" s="1">
        <f>STDEVA(Tabla27[F5])</f>
        <v>1.2933326053044722</v>
      </c>
      <c r="H40" s="1" t="s">
        <v>10</v>
      </c>
      <c r="I40" s="1">
        <f>MAX(Tabla259[F5])</f>
        <v>4.8866271972656201E-2</v>
      </c>
      <c r="J40" s="1">
        <f>MIN(Tabla259[F5])</f>
        <v>3.19061279296875E-2</v>
      </c>
      <c r="K40" s="1">
        <f>AVERAGE(Tabla259[F5])</f>
        <v>3.8164091110229434E-2</v>
      </c>
      <c r="L40" s="1">
        <f>MEDIAN(Tabla259[F5])</f>
        <v>3.5562992095947196E-2</v>
      </c>
      <c r="M40" s="1">
        <f>STDEVA(Tabla259[F5])</f>
        <v>5.9655801782371393E-3</v>
      </c>
    </row>
    <row r="41" spans="1:13" x14ac:dyDescent="0.35">
      <c r="A41" s="1" t="s">
        <v>11</v>
      </c>
      <c r="B41" s="1">
        <f>MAX(Tabla27[F6])</f>
        <v>514.70202291589999</v>
      </c>
      <c r="C41" s="1">
        <f>MIN(Tabla27[F6])</f>
        <v>124.149734212778</v>
      </c>
      <c r="D41" s="1">
        <f>AVERAGE(Tabla27[F6])</f>
        <v>277.15114671405746</v>
      </c>
      <c r="E41" s="1">
        <f>MEDIAN(Tabla27[F6])</f>
        <v>256.44725231765904</v>
      </c>
      <c r="F41" s="1">
        <f>STDEVA(Tabla27[F6])</f>
        <v>115.18602809221883</v>
      </c>
      <c r="H41" s="1" t="s">
        <v>11</v>
      </c>
      <c r="I41" s="1">
        <f>MAX(Tabla259[F6])</f>
        <v>2.79231071472167E-2</v>
      </c>
      <c r="J41" s="1">
        <f>MIN(Tabla259[F6])</f>
        <v>4.9846172332763602E-3</v>
      </c>
      <c r="K41" s="1">
        <f>AVERAGE(Tabla259[F6])</f>
        <v>1.3117218017578083E-2</v>
      </c>
      <c r="L41" s="1">
        <f>MEDIAN(Tabla259[F6])</f>
        <v>1.1481642723083451E-2</v>
      </c>
      <c r="M41" s="1">
        <f>STDEVA(Tabla259[F6])</f>
        <v>5.8498778090528098E-3</v>
      </c>
    </row>
    <row r="42" spans="1:13" x14ac:dyDescent="0.35">
      <c r="A42" s="2" t="s">
        <v>3</v>
      </c>
      <c r="B42" s="2">
        <f>SUBTOTAL(101,Tabla16[Mejor])</f>
        <v>17206.93476223508</v>
      </c>
      <c r="C42" s="2">
        <f>SUBTOTAL(101,Tabla16[Peor])</f>
        <v>109.19239076068133</v>
      </c>
      <c r="D42" s="2">
        <f>SUBTOTAL(101,Tabla16[Promedio])</f>
        <v>2633.2124067946766</v>
      </c>
      <c r="E42" s="2">
        <f>SUBTOTAL(101,Tabla16[Mediana])</f>
        <v>393.69184537625483</v>
      </c>
      <c r="F42" s="2">
        <f>SUBTOTAL(101,Tabla16[Desviación Estándar])</f>
        <v>4922.0529684805351</v>
      </c>
      <c r="H42" s="2" t="s">
        <v>3</v>
      </c>
      <c r="I42" s="2">
        <f>SUBTOTAL(101,Tabla148[Mejor])</f>
        <v>2.8091112772623651E-2</v>
      </c>
      <c r="J42" s="2">
        <f>SUBTOTAL(101,Tabla148[Peor])</f>
        <v>1.2464721997578929E-2</v>
      </c>
      <c r="K42" s="2">
        <f>SUBTOTAL(101,Tabla148[Promedio])</f>
        <v>1.8799638748168906E-2</v>
      </c>
      <c r="L42" s="2">
        <f>SUBTOTAL(101,Tabla148[Mediana])</f>
        <v>1.7898579438527396E-2</v>
      </c>
      <c r="M42" s="2">
        <f>SUBTOTAL(101,Tabla148[Desviación Estándar])</f>
        <v>4.4001568839302741E-3</v>
      </c>
    </row>
    <row r="44" spans="1:13" x14ac:dyDescent="0.35">
      <c r="A44" t="s">
        <v>6</v>
      </c>
      <c r="B44" t="s">
        <v>7</v>
      </c>
      <c r="C44" t="s">
        <v>8</v>
      </c>
      <c r="D44" t="s">
        <v>9</v>
      </c>
      <c r="E44" t="s">
        <v>10</v>
      </c>
      <c r="F44" t="s">
        <v>11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</row>
    <row r="45" spans="1:13" x14ac:dyDescent="0.35">
      <c r="A45">
        <v>4.08239638667097</v>
      </c>
      <c r="B45">
        <v>767.80653579040097</v>
      </c>
      <c r="C45">
        <v>152.32997669861899</v>
      </c>
      <c r="D45">
        <v>987.91153997375704</v>
      </c>
      <c r="E45">
        <v>9.3619888151008404</v>
      </c>
      <c r="F45">
        <v>303.15569619151898</v>
      </c>
      <c r="H45">
        <v>4.9839019775390599E-3</v>
      </c>
      <c r="I45">
        <v>1.096773147583E-2</v>
      </c>
      <c r="J45">
        <v>2.09429264068603E-2</v>
      </c>
      <c r="K45">
        <v>3.9932727813720703E-3</v>
      </c>
      <c r="L45">
        <v>3.5229206085205002E-2</v>
      </c>
      <c r="M45">
        <v>4.9846172332763602E-3</v>
      </c>
    </row>
    <row r="46" spans="1:13" x14ac:dyDescent="0.35">
      <c r="A46">
        <v>4.4897944430358603</v>
      </c>
      <c r="B46">
        <v>608.99702161625396</v>
      </c>
      <c r="C46">
        <v>307.58501742521003</v>
      </c>
      <c r="D46">
        <v>923.20033419175104</v>
      </c>
      <c r="E46">
        <v>10.0958917913058</v>
      </c>
      <c r="F46">
        <v>181.56734936799</v>
      </c>
      <c r="H46">
        <v>6.36649131774902E-3</v>
      </c>
      <c r="I46">
        <v>1.1965274810791E-2</v>
      </c>
      <c r="J46">
        <v>2.3977041244506801E-2</v>
      </c>
      <c r="K46">
        <v>7.9803466796875E-3</v>
      </c>
      <c r="L46">
        <v>3.8895130157470703E-2</v>
      </c>
      <c r="M46">
        <v>6.9792270660400304E-3</v>
      </c>
    </row>
    <row r="47" spans="1:13" x14ac:dyDescent="0.35">
      <c r="A47">
        <v>7.1358025422209597</v>
      </c>
      <c r="B47">
        <v>433.48417401673203</v>
      </c>
      <c r="C47">
        <v>122.83093582348</v>
      </c>
      <c r="D47">
        <v>4.2459460766031496</v>
      </c>
      <c r="E47">
        <v>9.7838674027342005</v>
      </c>
      <c r="F47">
        <v>282.09844580947799</v>
      </c>
      <c r="H47">
        <v>6.0141086578369097E-3</v>
      </c>
      <c r="I47">
        <v>1.79517269134521E-2</v>
      </c>
      <c r="J47">
        <v>2.1945953369140601E-2</v>
      </c>
      <c r="K47">
        <v>8.9743137359619106E-3</v>
      </c>
      <c r="L47">
        <v>4.5878887176513602E-2</v>
      </c>
      <c r="M47">
        <v>5.0225257873535104E-3</v>
      </c>
    </row>
    <row r="48" spans="1:13" x14ac:dyDescent="0.35">
      <c r="A48">
        <v>7.6823112209856497</v>
      </c>
      <c r="B48">
        <v>975.07198492580699</v>
      </c>
      <c r="C48">
        <v>111.94013304665501</v>
      </c>
      <c r="D48" s="3">
        <v>539.76092816878804</v>
      </c>
      <c r="E48">
        <v>9.5215755774121007</v>
      </c>
      <c r="F48">
        <v>181.02643451737501</v>
      </c>
      <c r="H48">
        <v>3.9918422698974601E-3</v>
      </c>
      <c r="I48">
        <v>1.7954587936401301E-2</v>
      </c>
      <c r="J48">
        <v>2.7933359146118102E-2</v>
      </c>
      <c r="K48" s="3">
        <v>9.97519493103027E-3</v>
      </c>
      <c r="L48">
        <v>4.6874284744262598E-2</v>
      </c>
      <c r="M48">
        <v>1.19881629943847E-2</v>
      </c>
    </row>
    <row r="49" spans="1:13" x14ac:dyDescent="0.35">
      <c r="A49">
        <v>4.4942960302487096</v>
      </c>
      <c r="B49">
        <v>956.45930635218201</v>
      </c>
      <c r="C49">
        <v>165.96120311071601</v>
      </c>
      <c r="D49" s="3">
        <v>526.25155196968399</v>
      </c>
      <c r="E49">
        <v>9.1952927823898705</v>
      </c>
      <c r="F49">
        <v>188.557730787157</v>
      </c>
      <c r="H49">
        <v>5.9881210327148403E-3</v>
      </c>
      <c r="I49">
        <v>1.79517269134521E-2</v>
      </c>
      <c r="J49">
        <v>2.79278755187988E-2</v>
      </c>
      <c r="K49" s="3">
        <v>1.09713077545166E-2</v>
      </c>
      <c r="L49">
        <v>4.58796024322509E-2</v>
      </c>
      <c r="M49">
        <v>1.9932746887207E-2</v>
      </c>
    </row>
    <row r="50" spans="1:13" x14ac:dyDescent="0.35">
      <c r="A50">
        <v>5.34606698588758</v>
      </c>
      <c r="B50">
        <v>661.13445244172703</v>
      </c>
      <c r="C50">
        <v>115.139106858228</v>
      </c>
      <c r="D50">
        <v>58.519348741621897</v>
      </c>
      <c r="E50">
        <v>13.4246168370771</v>
      </c>
      <c r="F50">
        <v>180.56017393823299</v>
      </c>
      <c r="H50">
        <v>6.0281753540039002E-3</v>
      </c>
      <c r="I50">
        <v>1.89504623413085E-2</v>
      </c>
      <c r="J50">
        <v>2.7923822402954102E-2</v>
      </c>
      <c r="K50">
        <v>8.9740753173828108E-3</v>
      </c>
      <c r="L50">
        <v>4.8866271972656201E-2</v>
      </c>
      <c r="M50">
        <v>1.2965202331542899E-2</v>
      </c>
    </row>
    <row r="51" spans="1:13" x14ac:dyDescent="0.35">
      <c r="A51">
        <v>5.1023833611245202</v>
      </c>
      <c r="B51">
        <v>483.55642669818297</v>
      </c>
      <c r="C51">
        <v>247.13021442772001</v>
      </c>
      <c r="D51">
        <v>17520.648356449499</v>
      </c>
      <c r="E51">
        <v>10.641559627195701</v>
      </c>
      <c r="F51">
        <v>215.339423146228</v>
      </c>
      <c r="H51">
        <v>5.99026679992675E-3</v>
      </c>
      <c r="I51">
        <v>1.7953634262084898E-2</v>
      </c>
      <c r="J51">
        <v>2.8919219970703101E-2</v>
      </c>
      <c r="K51">
        <v>8.9759826660156198E-3</v>
      </c>
      <c r="L51">
        <v>4.6874046325683497E-2</v>
      </c>
      <c r="M51">
        <v>2.09429264068603E-2</v>
      </c>
    </row>
    <row r="52" spans="1:13" x14ac:dyDescent="0.35">
      <c r="A52">
        <v>6.52359772947566</v>
      </c>
      <c r="B52">
        <v>995.60755059765495</v>
      </c>
      <c r="C52">
        <v>136.10381779030601</v>
      </c>
      <c r="D52">
        <v>386.04840868057698</v>
      </c>
      <c r="E52">
        <v>8.4229580273081304</v>
      </c>
      <c r="F52">
        <v>514.70202291589999</v>
      </c>
      <c r="H52">
        <v>6.9773197174072196E-3</v>
      </c>
      <c r="I52">
        <v>1.99453830718994E-2</v>
      </c>
      <c r="J52">
        <v>2.9920339584350499E-2</v>
      </c>
      <c r="K52">
        <v>8.9766979217529297E-3</v>
      </c>
      <c r="L52">
        <v>4.0891170501708901E-2</v>
      </c>
      <c r="M52">
        <v>1.8948078155517498E-2</v>
      </c>
    </row>
    <row r="53" spans="1:13" x14ac:dyDescent="0.35">
      <c r="A53">
        <v>3.66302417897802</v>
      </c>
      <c r="B53">
        <v>835.30185873894595</v>
      </c>
      <c r="C53">
        <v>161.54110242452401</v>
      </c>
      <c r="D53">
        <v>45461.667214918401</v>
      </c>
      <c r="E53">
        <v>8.3996600242215003</v>
      </c>
      <c r="F53">
        <v>487.17509031214001</v>
      </c>
      <c r="H53">
        <v>5.0210952758789002E-3</v>
      </c>
      <c r="I53">
        <v>1.9947290420532199E-2</v>
      </c>
      <c r="J53">
        <v>3.0915975570678701E-2</v>
      </c>
      <c r="K53">
        <v>1.49588584899902E-2</v>
      </c>
      <c r="L53">
        <v>4.2883634567260701E-2</v>
      </c>
      <c r="M53">
        <v>2.79231071472167E-2</v>
      </c>
    </row>
    <row r="54" spans="1:13" x14ac:dyDescent="0.35">
      <c r="A54">
        <v>6.1890391747493299</v>
      </c>
      <c r="B54">
        <v>499.56217091459098</v>
      </c>
      <c r="C54">
        <v>116.54607260578599</v>
      </c>
      <c r="D54">
        <v>1691.9500331310301</v>
      </c>
      <c r="E54">
        <v>8.3713259428459494</v>
      </c>
      <c r="F54">
        <v>318.60239375681601</v>
      </c>
      <c r="H54">
        <v>5.9864521026611302E-3</v>
      </c>
      <c r="I54">
        <v>1.69551372528076E-2</v>
      </c>
      <c r="J54">
        <v>3.0916213989257799E-2</v>
      </c>
      <c r="K54">
        <v>1.29666328430175E-2</v>
      </c>
      <c r="L54">
        <v>3.7907600402831997E-2</v>
      </c>
      <c r="M54">
        <v>1.4962434768676701E-2</v>
      </c>
    </row>
    <row r="55" spans="1:13" x14ac:dyDescent="0.35">
      <c r="A55">
        <v>7.2791509467308604</v>
      </c>
      <c r="B55">
        <v>606.62458242616594</v>
      </c>
      <c r="C55">
        <v>104.885010633278</v>
      </c>
      <c r="D55">
        <v>19845.3218601056</v>
      </c>
      <c r="E55">
        <v>8.8649970557808704</v>
      </c>
      <c r="F55">
        <v>124.149734212778</v>
      </c>
      <c r="H55">
        <v>8.9716911315917899E-3</v>
      </c>
      <c r="I55">
        <v>1.69551372528076E-2</v>
      </c>
      <c r="J55">
        <v>3.2914161682128899E-2</v>
      </c>
      <c r="K55">
        <v>1.89509391784667E-2</v>
      </c>
      <c r="L55">
        <v>3.5896778106689398E-2</v>
      </c>
      <c r="M55">
        <v>1.39603614807128E-2</v>
      </c>
    </row>
    <row r="56" spans="1:13" x14ac:dyDescent="0.35">
      <c r="A56">
        <v>4.4971969007465296</v>
      </c>
      <c r="B56">
        <v>484.39575614663801</v>
      </c>
      <c r="C56">
        <v>111.767799639827</v>
      </c>
      <c r="D56" s="3">
        <v>2572.7265840840601</v>
      </c>
      <c r="E56">
        <v>8.9222008823005794</v>
      </c>
      <c r="F56">
        <v>423.56905029109998</v>
      </c>
      <c r="H56">
        <v>1.00195407867431E-2</v>
      </c>
      <c r="I56">
        <v>1.7961978912353498E-2</v>
      </c>
      <c r="J56">
        <v>3.3907890319824198E-2</v>
      </c>
      <c r="K56" s="3">
        <v>2.59289741516113E-2</v>
      </c>
      <c r="L56">
        <v>3.1914472579955999E-2</v>
      </c>
      <c r="M56">
        <v>1.8949270248412999E-2</v>
      </c>
    </row>
    <row r="57" spans="1:13" x14ac:dyDescent="0.35">
      <c r="A57">
        <v>4.0760338359828596</v>
      </c>
      <c r="B57">
        <v>711.50280304517003</v>
      </c>
      <c r="C57">
        <v>111.557659085347</v>
      </c>
      <c r="D57" s="3">
        <v>951.99017254073499</v>
      </c>
      <c r="E57">
        <v>10.125910796245501</v>
      </c>
      <c r="F57">
        <v>456.53554533689498</v>
      </c>
      <c r="H57">
        <v>6.9866180419921797E-3</v>
      </c>
      <c r="I57">
        <v>8.9695453643798793E-3</v>
      </c>
      <c r="J57">
        <v>3.1914472579955999E-2</v>
      </c>
      <c r="K57" s="3">
        <v>7.9655647277831997E-3</v>
      </c>
      <c r="L57">
        <v>3.1915426254272398E-2</v>
      </c>
      <c r="M57">
        <v>1.49662494659423E-2</v>
      </c>
    </row>
    <row r="58" spans="1:13" x14ac:dyDescent="0.35">
      <c r="A58">
        <v>7.5538213301091597</v>
      </c>
      <c r="B58">
        <v>1076.81361494162</v>
      </c>
      <c r="C58">
        <v>629.07939991268597</v>
      </c>
      <c r="D58" s="3">
        <v>100997.223566976</v>
      </c>
      <c r="E58">
        <v>11.9360173827392</v>
      </c>
      <c r="F58">
        <v>214.564932276392</v>
      </c>
      <c r="H58">
        <v>1.0971784591674799E-2</v>
      </c>
      <c r="I58">
        <v>1.2965679168701101E-2</v>
      </c>
      <c r="J58">
        <v>3.0918121337890601E-2</v>
      </c>
      <c r="K58" s="3">
        <v>1.0972023010253899E-2</v>
      </c>
      <c r="L58">
        <v>3.49173545837402E-2</v>
      </c>
      <c r="M58">
        <v>7.9791545867919905E-3</v>
      </c>
    </row>
    <row r="59" spans="1:13" x14ac:dyDescent="0.35">
      <c r="A59">
        <v>7.23173215961965</v>
      </c>
      <c r="B59">
        <v>443.68554156255499</v>
      </c>
      <c r="C59">
        <v>148.080035095021</v>
      </c>
      <c r="D59">
        <v>85553.6679032596</v>
      </c>
      <c r="E59">
        <v>11.390092475360801</v>
      </c>
      <c r="F59">
        <v>268.90693019827</v>
      </c>
      <c r="H59">
        <v>8.96811485290527E-3</v>
      </c>
      <c r="I59">
        <v>1.29661560058593E-2</v>
      </c>
      <c r="J59">
        <v>3.4909248352050698E-2</v>
      </c>
      <c r="K59">
        <v>1.09713077545166E-2</v>
      </c>
      <c r="L59">
        <v>3.19061279296875E-2</v>
      </c>
      <c r="M59">
        <v>1.096773147583E-2</v>
      </c>
    </row>
    <row r="60" spans="1:13" x14ac:dyDescent="0.35">
      <c r="A60">
        <v>4.7678452456582301</v>
      </c>
      <c r="B60">
        <v>509.91044185192698</v>
      </c>
      <c r="C60">
        <v>111.22352250223599</v>
      </c>
      <c r="D60">
        <v>23.4360931107699</v>
      </c>
      <c r="E60">
        <v>10.461206333155699</v>
      </c>
      <c r="F60">
        <v>190.39235144719501</v>
      </c>
      <c r="H60">
        <v>9.9720954895019497E-3</v>
      </c>
      <c r="I60">
        <v>1.19678974151611E-2</v>
      </c>
      <c r="J60">
        <v>3.2907485961914E-2</v>
      </c>
      <c r="K60">
        <v>7.9782009124755807E-3</v>
      </c>
      <c r="L60">
        <v>3.2909393310546799E-2</v>
      </c>
      <c r="M60">
        <v>1.0971784591674799E-2</v>
      </c>
    </row>
    <row r="61" spans="1:13" x14ac:dyDescent="0.35">
      <c r="A61">
        <v>4.0617815925505001</v>
      </c>
      <c r="B61">
        <v>603.39225608520303</v>
      </c>
      <c r="C61">
        <v>184.26402233902701</v>
      </c>
      <c r="D61">
        <v>880.67019815853303</v>
      </c>
      <c r="E61">
        <v>9.5189508666795497</v>
      </c>
      <c r="F61">
        <v>243.98757443704801</v>
      </c>
      <c r="H61">
        <v>8.9759826660156198E-3</v>
      </c>
      <c r="I61">
        <v>1.3964891433715799E-2</v>
      </c>
      <c r="J61">
        <v>2.39405632019042E-2</v>
      </c>
      <c r="K61">
        <v>9.9732875823974592E-3</v>
      </c>
      <c r="L61">
        <v>3.29105854034423E-2</v>
      </c>
      <c r="M61">
        <v>9.9728107452392491E-3</v>
      </c>
    </row>
    <row r="62" spans="1:13" x14ac:dyDescent="0.35">
      <c r="A62">
        <v>10.3653518272159</v>
      </c>
      <c r="B62">
        <v>774.47888394557003</v>
      </c>
      <c r="C62">
        <v>189.59120755811799</v>
      </c>
      <c r="D62">
        <v>4066.2870779755999</v>
      </c>
      <c r="E62">
        <v>8.8412283223209194</v>
      </c>
      <c r="F62">
        <v>151.662856673753</v>
      </c>
      <c r="H62">
        <v>8.9819431304931606E-3</v>
      </c>
      <c r="I62">
        <v>1.09708309173583E-2</v>
      </c>
      <c r="J62">
        <v>2.4928808212280201E-2</v>
      </c>
      <c r="K62">
        <v>7.9758167266845703E-3</v>
      </c>
      <c r="L62">
        <v>3.3910751342773403E-2</v>
      </c>
      <c r="M62">
        <v>1.0975122451782201E-2</v>
      </c>
    </row>
    <row r="63" spans="1:13" x14ac:dyDescent="0.35">
      <c r="A63">
        <v>7.0601418866355097</v>
      </c>
      <c r="B63">
        <v>409.83930351960498</v>
      </c>
      <c r="C63">
        <v>153.515378017237</v>
      </c>
      <c r="D63" s="3">
        <v>6059.7654724270496</v>
      </c>
      <c r="E63">
        <v>10.9150966706252</v>
      </c>
      <c r="F63">
        <v>343.13232579615902</v>
      </c>
      <c r="H63">
        <v>9.9759101867675695E-3</v>
      </c>
      <c r="I63">
        <v>1.1953592300414999E-2</v>
      </c>
      <c r="J63">
        <v>2.0944833755493102E-2</v>
      </c>
      <c r="K63" s="3">
        <v>1.0970115661621E-2</v>
      </c>
      <c r="L63">
        <v>3.2913923263549798E-2</v>
      </c>
      <c r="M63">
        <v>9.9768638610839792E-3</v>
      </c>
    </row>
    <row r="64" spans="1:13" x14ac:dyDescent="0.35">
      <c r="A64">
        <v>4.3634309353076697</v>
      </c>
      <c r="B64">
        <v>429.36983842334598</v>
      </c>
      <c r="C64">
        <v>138.090534310354</v>
      </c>
      <c r="D64">
        <v>4290.89784614161</v>
      </c>
      <c r="E64">
        <v>9.95915432746121</v>
      </c>
      <c r="F64">
        <v>273.33687286872203</v>
      </c>
      <c r="H64">
        <v>7.9851150512695295E-3</v>
      </c>
      <c r="I64">
        <v>1.19922161102294E-2</v>
      </c>
      <c r="J64">
        <v>2.39379405975341E-2</v>
      </c>
      <c r="K64">
        <v>8.9838504791259696E-3</v>
      </c>
      <c r="L64">
        <v>3.39071750640869E-2</v>
      </c>
      <c r="M64">
        <v>8.9759826660156198E-3</v>
      </c>
    </row>
    <row r="67" spans="1:5" ht="15.5" x14ac:dyDescent="0.35">
      <c r="A67" s="12"/>
      <c r="B67" s="9" t="s">
        <v>6</v>
      </c>
      <c r="C67" s="9"/>
      <c r="D67" s="9"/>
      <c r="E67" s="9"/>
    </row>
    <row r="68" spans="1:5" ht="43.5" x14ac:dyDescent="0.35">
      <c r="A68" s="6" t="s">
        <v>17</v>
      </c>
      <c r="B68" s="10" t="s">
        <v>18</v>
      </c>
      <c r="C68" s="11" t="s">
        <v>19</v>
      </c>
      <c r="D68" s="11" t="s">
        <v>20</v>
      </c>
      <c r="E68" s="11" t="s">
        <v>21</v>
      </c>
    </row>
    <row r="69" spans="1:5" x14ac:dyDescent="0.35">
      <c r="A69" s="4">
        <v>1</v>
      </c>
    </row>
    <row r="70" spans="1:5" x14ac:dyDescent="0.35">
      <c r="A70" s="4">
        <v>2</v>
      </c>
    </row>
    <row r="71" spans="1:5" x14ac:dyDescent="0.35">
      <c r="A71" s="4">
        <v>3</v>
      </c>
    </row>
    <row r="72" spans="1:5" x14ac:dyDescent="0.35">
      <c r="A72" s="4">
        <v>4</v>
      </c>
    </row>
    <row r="73" spans="1:5" x14ac:dyDescent="0.35">
      <c r="A73" s="4">
        <v>5</v>
      </c>
    </row>
    <row r="74" spans="1:5" x14ac:dyDescent="0.35">
      <c r="A74" s="4">
        <v>6</v>
      </c>
    </row>
    <row r="75" spans="1:5" x14ac:dyDescent="0.35">
      <c r="A75" s="4">
        <v>7</v>
      </c>
    </row>
    <row r="76" spans="1:5" x14ac:dyDescent="0.35">
      <c r="A76" s="4">
        <v>8</v>
      </c>
    </row>
    <row r="77" spans="1:5" x14ac:dyDescent="0.35">
      <c r="A77" s="4">
        <v>9</v>
      </c>
    </row>
    <row r="78" spans="1:5" x14ac:dyDescent="0.35">
      <c r="A78" s="4">
        <v>10</v>
      </c>
    </row>
    <row r="79" spans="1:5" x14ac:dyDescent="0.35">
      <c r="A79" s="4">
        <v>11</v>
      </c>
    </row>
    <row r="80" spans="1:5" x14ac:dyDescent="0.35">
      <c r="A80" s="4">
        <v>12</v>
      </c>
    </row>
    <row r="81" spans="1:5" x14ac:dyDescent="0.35">
      <c r="A81" s="4">
        <v>13</v>
      </c>
    </row>
    <row r="82" spans="1:5" x14ac:dyDescent="0.35">
      <c r="A82" s="4">
        <v>14</v>
      </c>
    </row>
    <row r="83" spans="1:5" x14ac:dyDescent="0.35">
      <c r="A83" s="4">
        <v>15</v>
      </c>
    </row>
    <row r="84" spans="1:5" x14ac:dyDescent="0.35">
      <c r="A84" s="4">
        <v>16</v>
      </c>
    </row>
    <row r="85" spans="1:5" x14ac:dyDescent="0.35">
      <c r="A85" s="4">
        <v>17</v>
      </c>
    </row>
    <row r="86" spans="1:5" x14ac:dyDescent="0.35">
      <c r="A86" s="4">
        <v>18</v>
      </c>
    </row>
    <row r="87" spans="1:5" x14ac:dyDescent="0.35">
      <c r="A87" s="4">
        <v>19</v>
      </c>
    </row>
    <row r="88" spans="1:5" x14ac:dyDescent="0.35">
      <c r="A88" s="4">
        <v>20</v>
      </c>
    </row>
    <row r="90" spans="1:5" ht="15.5" x14ac:dyDescent="0.35">
      <c r="A90" s="12"/>
      <c r="B90" s="9" t="s">
        <v>7</v>
      </c>
      <c r="C90" s="9"/>
      <c r="D90" s="9"/>
      <c r="E90" s="9"/>
    </row>
    <row r="91" spans="1:5" ht="43.5" x14ac:dyDescent="0.35">
      <c r="A91" s="6" t="s">
        <v>17</v>
      </c>
      <c r="B91" s="10" t="s">
        <v>18</v>
      </c>
      <c r="C91" s="11" t="s">
        <v>19</v>
      </c>
      <c r="D91" s="11" t="s">
        <v>20</v>
      </c>
      <c r="E91" s="11" t="s">
        <v>21</v>
      </c>
    </row>
    <row r="92" spans="1:5" x14ac:dyDescent="0.35">
      <c r="A92" s="4">
        <v>1</v>
      </c>
    </row>
    <row r="93" spans="1:5" x14ac:dyDescent="0.35">
      <c r="A93" s="4">
        <v>2</v>
      </c>
    </row>
    <row r="94" spans="1:5" x14ac:dyDescent="0.35">
      <c r="A94" s="4">
        <v>3</v>
      </c>
    </row>
    <row r="95" spans="1:5" x14ac:dyDescent="0.35">
      <c r="A95" s="4">
        <v>4</v>
      </c>
    </row>
    <row r="96" spans="1:5" x14ac:dyDescent="0.35">
      <c r="A96" s="4">
        <v>5</v>
      </c>
    </row>
    <row r="97" spans="1:1" x14ac:dyDescent="0.35">
      <c r="A97" s="4">
        <v>6</v>
      </c>
    </row>
    <row r="98" spans="1:1" x14ac:dyDescent="0.35">
      <c r="A98" s="4">
        <v>7</v>
      </c>
    </row>
    <row r="99" spans="1:1" x14ac:dyDescent="0.35">
      <c r="A99" s="4">
        <v>8</v>
      </c>
    </row>
    <row r="100" spans="1:1" x14ac:dyDescent="0.35">
      <c r="A100" s="4">
        <v>9</v>
      </c>
    </row>
    <row r="101" spans="1:1" x14ac:dyDescent="0.35">
      <c r="A101" s="4">
        <v>10</v>
      </c>
    </row>
    <row r="102" spans="1:1" x14ac:dyDescent="0.35">
      <c r="A102" s="4">
        <v>11</v>
      </c>
    </row>
    <row r="103" spans="1:1" x14ac:dyDescent="0.35">
      <c r="A103" s="4">
        <v>12</v>
      </c>
    </row>
    <row r="104" spans="1:1" x14ac:dyDescent="0.35">
      <c r="A104" s="4">
        <v>13</v>
      </c>
    </row>
    <row r="105" spans="1:1" x14ac:dyDescent="0.35">
      <c r="A105" s="4">
        <v>14</v>
      </c>
    </row>
    <row r="106" spans="1:1" x14ac:dyDescent="0.35">
      <c r="A106" s="4">
        <v>15</v>
      </c>
    </row>
    <row r="107" spans="1:1" x14ac:dyDescent="0.35">
      <c r="A107" s="4">
        <v>16</v>
      </c>
    </row>
    <row r="108" spans="1:1" x14ac:dyDescent="0.35">
      <c r="A108" s="4">
        <v>17</v>
      </c>
    </row>
    <row r="109" spans="1:1" x14ac:dyDescent="0.35">
      <c r="A109" s="4">
        <v>18</v>
      </c>
    </row>
    <row r="110" spans="1:1" x14ac:dyDescent="0.35">
      <c r="A110" s="4">
        <v>19</v>
      </c>
    </row>
    <row r="111" spans="1:1" x14ac:dyDescent="0.35">
      <c r="A111" s="4">
        <v>20</v>
      </c>
    </row>
    <row r="113" spans="1:5" ht="15.5" x14ac:dyDescent="0.35">
      <c r="A113" s="12"/>
      <c r="B113" s="9" t="s">
        <v>8</v>
      </c>
      <c r="C113" s="9"/>
      <c r="D113" s="9"/>
      <c r="E113" s="9"/>
    </row>
    <row r="114" spans="1:5" ht="43.5" x14ac:dyDescent="0.35">
      <c r="A114" s="6" t="s">
        <v>17</v>
      </c>
      <c r="B114" s="10" t="s">
        <v>18</v>
      </c>
      <c r="C114" s="11" t="s">
        <v>19</v>
      </c>
      <c r="D114" s="11" t="s">
        <v>20</v>
      </c>
      <c r="E114" s="11" t="s">
        <v>21</v>
      </c>
    </row>
    <row r="115" spans="1:5" x14ac:dyDescent="0.35">
      <c r="A115" s="4">
        <v>1</v>
      </c>
    </row>
    <row r="116" spans="1:5" x14ac:dyDescent="0.35">
      <c r="A116" s="4">
        <v>2</v>
      </c>
    </row>
    <row r="117" spans="1:5" x14ac:dyDescent="0.35">
      <c r="A117" s="4">
        <v>3</v>
      </c>
    </row>
    <row r="118" spans="1:5" x14ac:dyDescent="0.35">
      <c r="A118" s="4">
        <v>4</v>
      </c>
    </row>
    <row r="119" spans="1:5" x14ac:dyDescent="0.35">
      <c r="A119" s="4">
        <v>5</v>
      </c>
    </row>
    <row r="120" spans="1:5" x14ac:dyDescent="0.35">
      <c r="A120" s="4">
        <v>6</v>
      </c>
    </row>
    <row r="121" spans="1:5" x14ac:dyDescent="0.35">
      <c r="A121" s="4">
        <v>7</v>
      </c>
    </row>
    <row r="122" spans="1:5" x14ac:dyDescent="0.35">
      <c r="A122" s="4">
        <v>8</v>
      </c>
    </row>
    <row r="123" spans="1:5" x14ac:dyDescent="0.35">
      <c r="A123" s="4">
        <v>9</v>
      </c>
    </row>
    <row r="124" spans="1:5" x14ac:dyDescent="0.35">
      <c r="A124" s="4">
        <v>10</v>
      </c>
    </row>
    <row r="125" spans="1:5" x14ac:dyDescent="0.35">
      <c r="A125" s="4">
        <v>11</v>
      </c>
    </row>
    <row r="126" spans="1:5" x14ac:dyDescent="0.35">
      <c r="A126" s="4">
        <v>12</v>
      </c>
    </row>
    <row r="127" spans="1:5" x14ac:dyDescent="0.35">
      <c r="A127" s="4">
        <v>13</v>
      </c>
    </row>
    <row r="128" spans="1:5" x14ac:dyDescent="0.35">
      <c r="A128" s="4">
        <v>14</v>
      </c>
    </row>
    <row r="129" spans="1:5" x14ac:dyDescent="0.35">
      <c r="A129" s="4">
        <v>15</v>
      </c>
    </row>
    <row r="130" spans="1:5" x14ac:dyDescent="0.35">
      <c r="A130" s="4">
        <v>16</v>
      </c>
    </row>
    <row r="131" spans="1:5" x14ac:dyDescent="0.35">
      <c r="A131" s="4">
        <v>17</v>
      </c>
    </row>
    <row r="132" spans="1:5" x14ac:dyDescent="0.35">
      <c r="A132" s="4">
        <v>18</v>
      </c>
    </row>
    <row r="133" spans="1:5" x14ac:dyDescent="0.35">
      <c r="A133" s="4">
        <v>19</v>
      </c>
    </row>
    <row r="134" spans="1:5" x14ac:dyDescent="0.35">
      <c r="A134" s="4">
        <v>20</v>
      </c>
    </row>
    <row r="136" spans="1:5" ht="15.5" x14ac:dyDescent="0.35">
      <c r="A136" s="12"/>
      <c r="B136" s="9" t="s">
        <v>9</v>
      </c>
      <c r="C136" s="9"/>
      <c r="D136" s="9"/>
      <c r="E136" s="9"/>
    </row>
    <row r="137" spans="1:5" ht="43.5" x14ac:dyDescent="0.35">
      <c r="A137" s="6" t="s">
        <v>17</v>
      </c>
      <c r="B137" s="10" t="s">
        <v>18</v>
      </c>
      <c r="C137" s="11" t="s">
        <v>19</v>
      </c>
      <c r="D137" s="11" t="s">
        <v>20</v>
      </c>
      <c r="E137" s="11" t="s">
        <v>21</v>
      </c>
    </row>
    <row r="138" spans="1:5" x14ac:dyDescent="0.35">
      <c r="A138" s="4">
        <v>1</v>
      </c>
    </row>
    <row r="139" spans="1:5" x14ac:dyDescent="0.35">
      <c r="A139" s="4">
        <v>2</v>
      </c>
    </row>
    <row r="140" spans="1:5" x14ac:dyDescent="0.35">
      <c r="A140" s="4">
        <v>3</v>
      </c>
    </row>
    <row r="141" spans="1:5" x14ac:dyDescent="0.35">
      <c r="A141" s="4">
        <v>4</v>
      </c>
    </row>
    <row r="142" spans="1:5" x14ac:dyDescent="0.35">
      <c r="A142" s="4">
        <v>5</v>
      </c>
    </row>
    <row r="143" spans="1:5" x14ac:dyDescent="0.35">
      <c r="A143" s="4">
        <v>6</v>
      </c>
    </row>
    <row r="144" spans="1:5" x14ac:dyDescent="0.35">
      <c r="A144" s="4">
        <v>7</v>
      </c>
    </row>
    <row r="145" spans="1:5" x14ac:dyDescent="0.35">
      <c r="A145" s="4">
        <v>8</v>
      </c>
    </row>
    <row r="146" spans="1:5" x14ac:dyDescent="0.35">
      <c r="A146" s="4">
        <v>9</v>
      </c>
    </row>
    <row r="147" spans="1:5" x14ac:dyDescent="0.35">
      <c r="A147" s="4">
        <v>10</v>
      </c>
    </row>
    <row r="148" spans="1:5" x14ac:dyDescent="0.35">
      <c r="A148" s="4">
        <v>11</v>
      </c>
    </row>
    <row r="149" spans="1:5" x14ac:dyDescent="0.35">
      <c r="A149" s="4">
        <v>12</v>
      </c>
    </row>
    <row r="150" spans="1:5" x14ac:dyDescent="0.35">
      <c r="A150" s="4">
        <v>13</v>
      </c>
    </row>
    <row r="151" spans="1:5" x14ac:dyDescent="0.35">
      <c r="A151" s="4">
        <v>14</v>
      </c>
    </row>
    <row r="152" spans="1:5" x14ac:dyDescent="0.35">
      <c r="A152" s="4">
        <v>15</v>
      </c>
    </row>
    <row r="153" spans="1:5" x14ac:dyDescent="0.35">
      <c r="A153" s="4">
        <v>16</v>
      </c>
    </row>
    <row r="154" spans="1:5" x14ac:dyDescent="0.35">
      <c r="A154" s="4">
        <v>17</v>
      </c>
    </row>
    <row r="155" spans="1:5" x14ac:dyDescent="0.35">
      <c r="A155" s="4">
        <v>18</v>
      </c>
    </row>
    <row r="156" spans="1:5" x14ac:dyDescent="0.35">
      <c r="A156" s="4">
        <v>19</v>
      </c>
    </row>
    <row r="157" spans="1:5" x14ac:dyDescent="0.35">
      <c r="A157" s="4">
        <v>20</v>
      </c>
    </row>
    <row r="159" spans="1:5" ht="15.5" x14ac:dyDescent="0.35">
      <c r="A159" s="12"/>
      <c r="B159" s="9" t="s">
        <v>10</v>
      </c>
      <c r="C159" s="9"/>
      <c r="D159" s="9"/>
      <c r="E159" s="9"/>
    </row>
    <row r="160" spans="1:5" ht="43.5" x14ac:dyDescent="0.35">
      <c r="A160" s="6" t="s">
        <v>17</v>
      </c>
      <c r="B160" s="10" t="s">
        <v>18</v>
      </c>
      <c r="C160" s="11" t="s">
        <v>19</v>
      </c>
      <c r="D160" s="11" t="s">
        <v>20</v>
      </c>
      <c r="E160" s="11" t="s">
        <v>21</v>
      </c>
    </row>
    <row r="161" spans="1:1" x14ac:dyDescent="0.35">
      <c r="A161" s="4">
        <v>1</v>
      </c>
    </row>
    <row r="162" spans="1:1" x14ac:dyDescent="0.35">
      <c r="A162" s="4">
        <v>2</v>
      </c>
    </row>
    <row r="163" spans="1:1" x14ac:dyDescent="0.35">
      <c r="A163" s="4">
        <v>3</v>
      </c>
    </row>
    <row r="164" spans="1:1" x14ac:dyDescent="0.35">
      <c r="A164" s="4">
        <v>4</v>
      </c>
    </row>
    <row r="165" spans="1:1" x14ac:dyDescent="0.35">
      <c r="A165" s="4">
        <v>5</v>
      </c>
    </row>
    <row r="166" spans="1:1" x14ac:dyDescent="0.35">
      <c r="A166" s="4">
        <v>6</v>
      </c>
    </row>
    <row r="167" spans="1:1" x14ac:dyDescent="0.35">
      <c r="A167" s="4">
        <v>7</v>
      </c>
    </row>
    <row r="168" spans="1:1" x14ac:dyDescent="0.35">
      <c r="A168" s="4">
        <v>8</v>
      </c>
    </row>
    <row r="169" spans="1:1" x14ac:dyDescent="0.35">
      <c r="A169" s="4">
        <v>9</v>
      </c>
    </row>
    <row r="170" spans="1:1" x14ac:dyDescent="0.35">
      <c r="A170" s="4">
        <v>10</v>
      </c>
    </row>
    <row r="171" spans="1:1" x14ac:dyDescent="0.35">
      <c r="A171" s="4">
        <v>11</v>
      </c>
    </row>
    <row r="172" spans="1:1" x14ac:dyDescent="0.35">
      <c r="A172" s="4">
        <v>12</v>
      </c>
    </row>
    <row r="173" spans="1:1" x14ac:dyDescent="0.35">
      <c r="A173" s="4">
        <v>13</v>
      </c>
    </row>
    <row r="174" spans="1:1" x14ac:dyDescent="0.35">
      <c r="A174" s="4">
        <v>14</v>
      </c>
    </row>
    <row r="175" spans="1:1" x14ac:dyDescent="0.35">
      <c r="A175" s="4">
        <v>15</v>
      </c>
    </row>
    <row r="176" spans="1:1" x14ac:dyDescent="0.35">
      <c r="A176" s="4">
        <v>16</v>
      </c>
    </row>
    <row r="177" spans="1:5" x14ac:dyDescent="0.35">
      <c r="A177" s="4">
        <v>17</v>
      </c>
    </row>
    <row r="178" spans="1:5" x14ac:dyDescent="0.35">
      <c r="A178" s="4">
        <v>18</v>
      </c>
    </row>
    <row r="179" spans="1:5" x14ac:dyDescent="0.35">
      <c r="A179" s="4">
        <v>19</v>
      </c>
    </row>
    <row r="180" spans="1:5" x14ac:dyDescent="0.35">
      <c r="A180" s="4">
        <v>20</v>
      </c>
    </row>
    <row r="182" spans="1:5" ht="15.5" x14ac:dyDescent="0.35">
      <c r="A182" s="12"/>
      <c r="B182" s="9" t="s">
        <v>11</v>
      </c>
      <c r="C182" s="9"/>
      <c r="D182" s="9"/>
      <c r="E182" s="9"/>
    </row>
    <row r="183" spans="1:5" ht="43.5" x14ac:dyDescent="0.35">
      <c r="A183" s="6" t="s">
        <v>17</v>
      </c>
      <c r="B183" s="10" t="s">
        <v>18</v>
      </c>
      <c r="C183" s="11" t="s">
        <v>19</v>
      </c>
      <c r="D183" s="11" t="s">
        <v>20</v>
      </c>
      <c r="E183" s="11" t="s">
        <v>21</v>
      </c>
    </row>
    <row r="184" spans="1:5" x14ac:dyDescent="0.35">
      <c r="A184" s="4">
        <v>1</v>
      </c>
    </row>
    <row r="185" spans="1:5" x14ac:dyDescent="0.35">
      <c r="A185" s="4">
        <v>2</v>
      </c>
    </row>
    <row r="186" spans="1:5" x14ac:dyDescent="0.35">
      <c r="A186" s="4">
        <v>3</v>
      </c>
    </row>
    <row r="187" spans="1:5" x14ac:dyDescent="0.35">
      <c r="A187" s="4">
        <v>4</v>
      </c>
    </row>
    <row r="188" spans="1:5" x14ac:dyDescent="0.35">
      <c r="A188" s="4">
        <v>5</v>
      </c>
    </row>
    <row r="189" spans="1:5" x14ac:dyDescent="0.35">
      <c r="A189" s="4">
        <v>6</v>
      </c>
    </row>
    <row r="190" spans="1:5" x14ac:dyDescent="0.35">
      <c r="A190" s="4">
        <v>7</v>
      </c>
    </row>
    <row r="191" spans="1:5" x14ac:dyDescent="0.35">
      <c r="A191" s="4">
        <v>8</v>
      </c>
    </row>
    <row r="192" spans="1:5" x14ac:dyDescent="0.35">
      <c r="A192" s="4">
        <v>9</v>
      </c>
    </row>
    <row r="193" spans="1:1" x14ac:dyDescent="0.35">
      <c r="A193" s="4">
        <v>10</v>
      </c>
    </row>
    <row r="194" spans="1:1" x14ac:dyDescent="0.35">
      <c r="A194" s="4">
        <v>11</v>
      </c>
    </row>
    <row r="195" spans="1:1" x14ac:dyDescent="0.35">
      <c r="A195" s="4">
        <v>12</v>
      </c>
    </row>
    <row r="196" spans="1:1" x14ac:dyDescent="0.35">
      <c r="A196" s="4">
        <v>13</v>
      </c>
    </row>
    <row r="197" spans="1:1" x14ac:dyDescent="0.35">
      <c r="A197" s="4">
        <v>14</v>
      </c>
    </row>
    <row r="198" spans="1:1" x14ac:dyDescent="0.35">
      <c r="A198" s="4">
        <v>15</v>
      </c>
    </row>
    <row r="199" spans="1:1" x14ac:dyDescent="0.35">
      <c r="A199" s="4">
        <v>16</v>
      </c>
    </row>
    <row r="200" spans="1:1" x14ac:dyDescent="0.35">
      <c r="A200" s="4">
        <v>17</v>
      </c>
    </row>
    <row r="201" spans="1:1" x14ac:dyDescent="0.35">
      <c r="A201" s="4">
        <v>18</v>
      </c>
    </row>
    <row r="202" spans="1:1" x14ac:dyDescent="0.35">
      <c r="A202" s="4">
        <v>19</v>
      </c>
    </row>
    <row r="203" spans="1:1" x14ac:dyDescent="0.35">
      <c r="A203" s="4">
        <v>20</v>
      </c>
    </row>
  </sheetData>
  <mergeCells count="10">
    <mergeCell ref="B90:E90"/>
    <mergeCell ref="B113:E113"/>
    <mergeCell ref="B136:E136"/>
    <mergeCell ref="B159:E159"/>
    <mergeCell ref="B182:E182"/>
    <mergeCell ref="A1:F1"/>
    <mergeCell ref="H1:M1"/>
    <mergeCell ref="A34:F34"/>
    <mergeCell ref="H34:M34"/>
    <mergeCell ref="B67:E67"/>
  </mergeCells>
  <pageMargins left="0.7" right="0.7" top="0.75" bottom="0.75" header="0.3" footer="0.3"/>
  <pageSetup orientation="portrait" r:id="rId1"/>
  <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0C25-707B-45D4-A984-427C98797BAA}">
  <sheetPr>
    <tabColor theme="4"/>
  </sheetPr>
  <dimension ref="A1:T64"/>
  <sheetViews>
    <sheetView topLeftCell="A73" workbookViewId="0">
      <selection activeCell="O44" sqref="O44:T64"/>
    </sheetView>
  </sheetViews>
  <sheetFormatPr baseColWidth="10" defaultRowHeight="14.5" x14ac:dyDescent="0.35"/>
  <cols>
    <col min="1" max="2" width="12" customWidth="1"/>
    <col min="3" max="3" width="13.7265625" customWidth="1"/>
    <col min="4" max="4" width="12" customWidth="1"/>
    <col min="5" max="5" width="12.6328125" customWidth="1"/>
    <col min="6" max="6" width="20.7265625" customWidth="1"/>
    <col min="13" max="13" width="19" customWidth="1"/>
    <col min="15" max="16" width="12" customWidth="1"/>
    <col min="17" max="17" width="13.7265625" customWidth="1"/>
    <col min="18" max="18" width="12" customWidth="1"/>
    <col min="19" max="19" width="12.6328125" customWidth="1"/>
    <col min="20" max="20" width="20.7265625" customWidth="1"/>
  </cols>
  <sheetData>
    <row r="1" spans="1:20" ht="15.5" x14ac:dyDescent="0.35">
      <c r="A1" s="9" t="s">
        <v>22</v>
      </c>
      <c r="B1" s="9"/>
      <c r="C1" s="9"/>
      <c r="D1" s="9"/>
      <c r="E1" s="9"/>
      <c r="F1" s="9"/>
      <c r="H1" s="9" t="s">
        <v>13</v>
      </c>
      <c r="I1" s="9"/>
      <c r="J1" s="9"/>
      <c r="K1" s="9"/>
      <c r="L1" s="9"/>
      <c r="M1" s="9"/>
      <c r="O1" s="9" t="s">
        <v>24</v>
      </c>
      <c r="P1" s="9"/>
      <c r="Q1" s="9"/>
      <c r="R1" s="9"/>
      <c r="S1" s="9"/>
      <c r="T1" s="9"/>
    </row>
    <row r="2" spans="1:20" x14ac:dyDescent="0.3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H2" s="6" t="s">
        <v>0</v>
      </c>
      <c r="I2" s="6" t="s">
        <v>1</v>
      </c>
      <c r="J2" s="6" t="s">
        <v>2</v>
      </c>
      <c r="K2" s="6" t="s">
        <v>3</v>
      </c>
      <c r="L2" s="6" t="s">
        <v>4</v>
      </c>
      <c r="M2" s="6" t="s">
        <v>5</v>
      </c>
      <c r="O2" s="6" t="s">
        <v>0</v>
      </c>
      <c r="P2" s="6" t="s">
        <v>1</v>
      </c>
      <c r="Q2" s="6" t="s">
        <v>2</v>
      </c>
      <c r="R2" s="6" t="s">
        <v>3</v>
      </c>
      <c r="S2" s="6" t="s">
        <v>4</v>
      </c>
      <c r="T2" s="6" t="s">
        <v>5</v>
      </c>
    </row>
    <row r="3" spans="1:20" x14ac:dyDescent="0.35">
      <c r="A3" s="6" t="s">
        <v>6</v>
      </c>
      <c r="B3" s="40">
        <f>MAX(Tabla217[F1])</f>
        <v>0.70362513659435999</v>
      </c>
      <c r="C3" s="40">
        <f>MIN(Tabla217[F1])</f>
        <v>0.22878351933776001</v>
      </c>
      <c r="D3" s="40">
        <f>AVERAGE(Tabla217[F1])</f>
        <v>0.45625939546600874</v>
      </c>
      <c r="E3" s="40">
        <f>MEDIAN(Tabla217[F1])</f>
        <v>0.4712359015764615</v>
      </c>
      <c r="F3" s="40">
        <f>STDEVA(Tabla217[F1])</f>
        <v>0.13315197832369596</v>
      </c>
      <c r="H3" s="6" t="s">
        <v>6</v>
      </c>
      <c r="I3" s="40">
        <f>MAX(Tabla2519[F1])</f>
        <v>4.1405000000000001E-3</v>
      </c>
      <c r="J3" s="40">
        <f>MIN(Tabla2519[F1])</f>
        <v>1.8702E-3</v>
      </c>
      <c r="K3" s="40">
        <f>AVERAGE(Tabla2519[F1])</f>
        <v>2.22931E-3</v>
      </c>
      <c r="L3" s="40">
        <f>MEDIAN(Tabla2519[F1])</f>
        <v>2.0451499999999999E-3</v>
      </c>
      <c r="M3" s="40">
        <f>STDEVA(Tabla2519[F1])</f>
        <v>5.2965538935583791E-4</v>
      </c>
      <c r="O3" s="6" t="s">
        <v>6</v>
      </c>
      <c r="P3" s="40">
        <f>MAX(Tabla21739[F1])</f>
        <v>8.3627794494489996E-3</v>
      </c>
      <c r="Q3" s="40">
        <f>MIN(Tabla21739[F1])</f>
        <v>8.3627794494489996E-3</v>
      </c>
      <c r="R3" s="40">
        <f>AVERAGE(Tabla21739[F1])</f>
        <v>8.3627794494489961E-3</v>
      </c>
      <c r="S3" s="40">
        <f>MEDIAN(Tabla21739[F1])</f>
        <v>8.3627794494489996E-3</v>
      </c>
      <c r="T3" s="40">
        <f>STDEVA(Tabla21739[F1])</f>
        <v>3.5595774664122295E-18</v>
      </c>
    </row>
    <row r="4" spans="1:20" x14ac:dyDescent="0.35">
      <c r="A4" s="6" t="s">
        <v>7</v>
      </c>
      <c r="B4" s="40">
        <f>MAX(Tabla217[F2])</f>
        <v>33.446726958039399</v>
      </c>
      <c r="C4" s="40">
        <f>MIN(Tabla217[F2])</f>
        <v>2.6885387697321601</v>
      </c>
      <c r="D4" s="40">
        <f>AVERAGE(Tabla217[F2])</f>
        <v>10.325237905596037</v>
      </c>
      <c r="E4" s="40">
        <f>MEDIAN(Tabla217[F2])</f>
        <v>9.7182487359865899</v>
      </c>
      <c r="F4" s="40">
        <f>STDEVA(Tabla217[F2])</f>
        <v>7.2672442767539769</v>
      </c>
      <c r="H4" s="6" t="s">
        <v>7</v>
      </c>
      <c r="I4" s="40">
        <f>MAX(Tabla2519[F2])</f>
        <v>4.5966999999999996E-3</v>
      </c>
      <c r="J4" s="40">
        <f>MIN(Tabla2519[F2])</f>
        <v>2.189E-3</v>
      </c>
      <c r="K4" s="40">
        <f>AVERAGE(Tabla2519[F2])</f>
        <v>2.5277050000000003E-3</v>
      </c>
      <c r="L4" s="40">
        <f>MEDIAN(Tabla2519[F2])</f>
        <v>2.3324999999999999E-3</v>
      </c>
      <c r="M4" s="40">
        <f>STDEVA(Tabla2519[F2])</f>
        <v>5.5102015291734355E-4</v>
      </c>
      <c r="O4" s="6" t="s">
        <v>7</v>
      </c>
      <c r="P4" s="40">
        <f>MAX(Tabla21739[F2])</f>
        <v>8.3627794494489996E-3</v>
      </c>
      <c r="Q4" s="40">
        <f>MIN(Tabla21739[F2])</f>
        <v>8.3627794494489996E-3</v>
      </c>
      <c r="R4" s="40">
        <f>AVERAGE(Tabla21739[F2])</f>
        <v>8.3627794494489961E-3</v>
      </c>
      <c r="S4" s="40">
        <f>MEDIAN(Tabla21739[F2])</f>
        <v>8.3627794494489996E-3</v>
      </c>
      <c r="T4" s="40">
        <f>STDEVA(Tabla21739[F2])</f>
        <v>3.5595774664122295E-18</v>
      </c>
    </row>
    <row r="5" spans="1:20" x14ac:dyDescent="0.35">
      <c r="A5" s="6" t="s">
        <v>8</v>
      </c>
      <c r="B5" s="40">
        <f>MAX(Tabla217[F3])</f>
        <v>34.327727139233801</v>
      </c>
      <c r="C5" s="40">
        <f>MIN(Tabla217[F3])</f>
        <v>3.3381881871916699</v>
      </c>
      <c r="D5" s="40">
        <f>AVERAGE(Tabla217[F3])</f>
        <v>17.478759503482614</v>
      </c>
      <c r="E5" s="40">
        <f>MEDIAN(Tabla217[F3])</f>
        <v>16.825780003318901</v>
      </c>
      <c r="F5" s="40">
        <f>STDEVA(Tabla217[F3])</f>
        <v>8.1133025153530802</v>
      </c>
      <c r="H5" s="6" t="s">
        <v>8</v>
      </c>
      <c r="I5" s="40">
        <f>MAX(Tabla2519[F3])</f>
        <v>4.2469999999999999E-3</v>
      </c>
      <c r="J5" s="40">
        <f>MIN(Tabla2519[F3])</f>
        <v>2.7185E-3</v>
      </c>
      <c r="K5" s="40">
        <f>AVERAGE(Tabla2519[F3])</f>
        <v>3.16088E-3</v>
      </c>
      <c r="L5" s="40">
        <f>MEDIAN(Tabla2519[F3])</f>
        <v>3.0758499999999998E-3</v>
      </c>
      <c r="M5" s="40">
        <f>STDEVA(Tabla2519[F3])</f>
        <v>3.9520808855988499E-4</v>
      </c>
      <c r="O5" s="6" t="s">
        <v>8</v>
      </c>
      <c r="P5" s="40">
        <f>MAX(Tabla21739[F3])</f>
        <v>8.3627794494489996E-3</v>
      </c>
      <c r="Q5" s="40">
        <f>MIN(Tabla21739[F3])</f>
        <v>8.3627794494489996E-3</v>
      </c>
      <c r="R5" s="40">
        <f>AVERAGE(Tabla21739[F3])</f>
        <v>8.3627794494489961E-3</v>
      </c>
      <c r="S5" s="40">
        <f>MEDIAN(Tabla21739[F3])</f>
        <v>8.3627794494489996E-3</v>
      </c>
      <c r="T5" s="40">
        <f>STDEVA(Tabla21739[F3])</f>
        <v>3.5595774664122295E-18</v>
      </c>
    </row>
    <row r="6" spans="1:20" x14ac:dyDescent="0.35">
      <c r="A6" s="6" t="s">
        <v>9</v>
      </c>
      <c r="B6" s="40">
        <f>MAX(Tabla217[F4])</f>
        <v>7.4887518750958799</v>
      </c>
      <c r="C6" s="40">
        <f>MIN(Tabla217[F4])</f>
        <v>1.25229671209713E-2</v>
      </c>
      <c r="D6" s="40">
        <f>AVERAGE(Tabla217[F4])</f>
        <v>0.98774256105607527</v>
      </c>
      <c r="E6" s="40">
        <f>MEDIAN(Tabla217[F4])</f>
        <v>0.37645071017924303</v>
      </c>
      <c r="F6" s="40">
        <f>STDEVA(Tabla217[F4])</f>
        <v>1.7926718735082785</v>
      </c>
      <c r="H6" s="6" t="s">
        <v>9</v>
      </c>
      <c r="I6" s="40">
        <f>MAX(Tabla2519[F4])</f>
        <v>3.3137000000000002E-3</v>
      </c>
      <c r="J6" s="40">
        <f>MIN(Tabla2519[F4])</f>
        <v>2.0958999999999999E-3</v>
      </c>
      <c r="K6" s="40">
        <f>AVERAGE(Tabla2519[F4])</f>
        <v>2.41595E-3</v>
      </c>
      <c r="L6" s="40">
        <f>MEDIAN(Tabla2519[F4])</f>
        <v>2.3324999999999999E-3</v>
      </c>
      <c r="M6" s="40">
        <f>STDEVA(Tabla2519[F4])</f>
        <v>2.9283476839157499E-4</v>
      </c>
      <c r="O6" s="6" t="s">
        <v>9</v>
      </c>
      <c r="P6" s="40">
        <f>MAX(Tabla21739[F4])</f>
        <v>8.3627794494489996E-3</v>
      </c>
      <c r="Q6" s="40">
        <f>MIN(Tabla21739[F4])</f>
        <v>8.3627794494489996E-3</v>
      </c>
      <c r="R6" s="40">
        <f>AVERAGE(Tabla21739[F4])</f>
        <v>8.3627794494489961E-3</v>
      </c>
      <c r="S6" s="40">
        <f>MEDIAN(Tabla21739[F4])</f>
        <v>8.3627794494489996E-3</v>
      </c>
      <c r="T6" s="40">
        <f>STDEVA(Tabla21739[F4])</f>
        <v>3.5595774664122295E-18</v>
      </c>
    </row>
    <row r="7" spans="1:20" x14ac:dyDescent="0.35">
      <c r="A7" s="6" t="s">
        <v>10</v>
      </c>
      <c r="B7" s="40">
        <f>MAX(Tabla217[F5])</f>
        <v>7.9450169234564099</v>
      </c>
      <c r="C7" s="40">
        <f>MIN(Tabla217[F5])</f>
        <v>2.9633491431280201</v>
      </c>
      <c r="D7" s="40">
        <f>AVERAGE(Tabla217[F5])</f>
        <v>5.4107048189362086</v>
      </c>
      <c r="E7" s="40">
        <f>MEDIAN(Tabla217[F5])</f>
        <v>5.1949025035508347</v>
      </c>
      <c r="F7" s="40">
        <f>STDEVA(Tabla217[F5])</f>
        <v>1.1162010144535466</v>
      </c>
      <c r="H7" s="6" t="s">
        <v>10</v>
      </c>
      <c r="I7" s="40">
        <f>MAX(Tabla2519[F5])</f>
        <v>4.8450000000000003E-3</v>
      </c>
      <c r="J7" s="40">
        <f>MIN(Tabla2519[F5])</f>
        <v>3.3965000000000002E-3</v>
      </c>
      <c r="K7" s="40">
        <f>AVERAGE(Tabla2519[F5])</f>
        <v>3.7784000000000003E-3</v>
      </c>
      <c r="L7" s="40">
        <f>MEDIAN(Tabla2519[F5])</f>
        <v>3.6343499999999997E-3</v>
      </c>
      <c r="M7" s="40">
        <f>STDEVA(Tabla2519[F5])</f>
        <v>3.8549935763479822E-4</v>
      </c>
      <c r="O7" s="6" t="s">
        <v>10</v>
      </c>
      <c r="P7" s="40">
        <f>MAX(Tabla21739[F5])</f>
        <v>8.3627794494489996E-3</v>
      </c>
      <c r="Q7" s="40">
        <f>MIN(Tabla21739[F5])</f>
        <v>8.3627794494489996E-3</v>
      </c>
      <c r="R7" s="40">
        <f>AVERAGE(Tabla21739[F5])</f>
        <v>8.3627794494489961E-3</v>
      </c>
      <c r="S7" s="40">
        <f>MEDIAN(Tabla21739[F5])</f>
        <v>8.3627794494489996E-3</v>
      </c>
      <c r="T7" s="40">
        <f>STDEVA(Tabla21739[F5])</f>
        <v>3.5595774664122295E-18</v>
      </c>
    </row>
    <row r="8" spans="1:20" ht="20.25" customHeight="1" x14ac:dyDescent="0.35">
      <c r="A8" s="6" t="s">
        <v>11</v>
      </c>
      <c r="B8" s="40">
        <f>MAX(Tabla217[F6])</f>
        <v>11.2354466850463</v>
      </c>
      <c r="C8" s="40">
        <f>MIN(Tabla217[F6])</f>
        <v>1.9190381754988199</v>
      </c>
      <c r="D8" s="40">
        <f>AVERAGE(Tabla217[F6])</f>
        <v>6.0889622574118007</v>
      </c>
      <c r="E8" s="40">
        <f>MEDIAN(Tabla217[F6])</f>
        <v>6.1751883257922753</v>
      </c>
      <c r="F8" s="40">
        <f>STDEVA(Tabla217[F6])</f>
        <v>2.8386348051909871</v>
      </c>
      <c r="H8" s="6" t="s">
        <v>11</v>
      </c>
      <c r="I8" s="40">
        <f>MAX(Tabla2519[F6])</f>
        <v>3.7081000000000002E-3</v>
      </c>
      <c r="J8" s="40">
        <f>MIN(Tabla2519[F6])</f>
        <v>2.0942000000000001E-3</v>
      </c>
      <c r="K8" s="40">
        <f>AVERAGE(Tabla2519[F6])</f>
        <v>2.4354400000000001E-3</v>
      </c>
      <c r="L8" s="40">
        <f>MEDIAN(Tabla2519[F6])</f>
        <v>2.2331E-3</v>
      </c>
      <c r="M8" s="40">
        <f>STDEVA(Tabla2519[F6])</f>
        <v>4.4896642753398789E-4</v>
      </c>
      <c r="O8" s="6" t="s">
        <v>11</v>
      </c>
      <c r="P8" s="40">
        <f>MAX(Tabla21739[F6])</f>
        <v>8.3627794494489996E-3</v>
      </c>
      <c r="Q8" s="40">
        <f>MIN(Tabla21739[F6])</f>
        <v>8.3627794494489996E-3</v>
      </c>
      <c r="R8" s="40">
        <f>AVERAGE(Tabla21739[F6])</f>
        <v>8.3627794494489961E-3</v>
      </c>
      <c r="S8" s="40">
        <f>MEDIAN(Tabla21739[F6])</f>
        <v>8.3627794494489996E-3</v>
      </c>
      <c r="T8" s="40">
        <f>STDEVA(Tabla21739[F6])</f>
        <v>3.5595774664122295E-18</v>
      </c>
    </row>
    <row r="9" spans="1:20" ht="29" customHeight="1" x14ac:dyDescent="0.35">
      <c r="A9" s="7" t="s">
        <v>16</v>
      </c>
      <c r="B9" s="41">
        <f>SUBTOTAL(101,Tabla116[Mejor])</f>
        <v>15.857882452911026</v>
      </c>
      <c r="C9" s="41">
        <f>SUBTOTAL(101,Tabla116[Peor])</f>
        <v>1.8584034603349</v>
      </c>
      <c r="D9" s="41">
        <f>SUBTOTAL(101,Tabla116[Promedio])</f>
        <v>6.7912777403247908</v>
      </c>
      <c r="E9" s="41">
        <f>SUBTOTAL(101,Tabla116[Mediana])</f>
        <v>6.4603010300673844</v>
      </c>
      <c r="F9" s="41">
        <f>SUBTOTAL(101,Tabla116[Desviación Estándar])</f>
        <v>3.5435344105972617</v>
      </c>
      <c r="H9" s="7" t="s">
        <v>16</v>
      </c>
      <c r="I9" s="41">
        <f>SUBTOTAL(101,Tabla1418[Mejor])</f>
        <v>4.1418333333333333E-3</v>
      </c>
      <c r="J9" s="41">
        <f>SUBTOTAL(101,Tabla1418[Peor])</f>
        <v>2.39405E-3</v>
      </c>
      <c r="K9" s="41">
        <f>SUBTOTAL(101,Tabla1418[Promedio])</f>
        <v>2.7579474999999999E-3</v>
      </c>
      <c r="L9" s="41">
        <f>SUBTOTAL(101,Tabla1418[Mediana])</f>
        <v>2.6089083333333332E-3</v>
      </c>
      <c r="M9" s="41">
        <f>SUBTOTAL(101,Tabla1418[Desviación Estándar])</f>
        <v>4.3386403073223789E-4</v>
      </c>
      <c r="O9" s="7" t="s">
        <v>16</v>
      </c>
      <c r="P9" s="41">
        <f>SUBTOTAL(101,Tabla11630[Mejor])</f>
        <v>8.3627794494489996E-3</v>
      </c>
      <c r="Q9" s="41">
        <f>SUBTOTAL(101,Tabla11630[Peor])</f>
        <v>8.3627794494489996E-3</v>
      </c>
      <c r="R9" s="41">
        <f>SUBTOTAL(101,Tabla11630[Promedio])</f>
        <v>8.3627794494489944E-3</v>
      </c>
      <c r="S9" s="41">
        <f>SUBTOTAL(101,Tabla11630[Mediana])</f>
        <v>8.3627794494489996E-3</v>
      </c>
      <c r="T9" s="41">
        <f>SUBTOTAL(101,Tabla11630[Desviación Estándar])</f>
        <v>3.5595774664122295E-18</v>
      </c>
    </row>
    <row r="11" spans="1:20" x14ac:dyDescent="0.35">
      <c r="A11" s="6" t="s">
        <v>6</v>
      </c>
      <c r="B11" s="6" t="s">
        <v>7</v>
      </c>
      <c r="C11" s="6" t="s">
        <v>8</v>
      </c>
      <c r="D11" s="6" t="s">
        <v>9</v>
      </c>
      <c r="E11" s="6" t="s">
        <v>10</v>
      </c>
      <c r="F11" s="6" t="s">
        <v>11</v>
      </c>
      <c r="H11" s="6" t="s">
        <v>6</v>
      </c>
      <c r="I11" s="6" t="s">
        <v>7</v>
      </c>
      <c r="J11" s="6" t="s">
        <v>8</v>
      </c>
      <c r="K11" s="6" t="s">
        <v>9</v>
      </c>
      <c r="L11" s="6" t="s">
        <v>10</v>
      </c>
      <c r="M11" s="6" t="s">
        <v>11</v>
      </c>
      <c r="O11" s="6" t="s">
        <v>6</v>
      </c>
      <c r="P11" s="6" t="s">
        <v>7</v>
      </c>
      <c r="Q11" s="6" t="s">
        <v>8</v>
      </c>
      <c r="R11" s="6" t="s">
        <v>9</v>
      </c>
      <c r="S11" s="6" t="s">
        <v>10</v>
      </c>
      <c r="T11" s="6" t="s">
        <v>11</v>
      </c>
    </row>
    <row r="12" spans="1:20" x14ac:dyDescent="0.35">
      <c r="A12" s="40">
        <v>0.35112956811850699</v>
      </c>
      <c r="B12" s="40">
        <v>2.6885387697321601</v>
      </c>
      <c r="C12" s="40">
        <v>12.421600876483801</v>
      </c>
      <c r="D12" s="40">
        <v>0.38966974047442099</v>
      </c>
      <c r="E12" s="40">
        <v>6.1077324994465503</v>
      </c>
      <c r="F12" s="40">
        <v>5.6732131413477402</v>
      </c>
      <c r="H12" s="40">
        <v>4.1405000000000001E-3</v>
      </c>
      <c r="I12" s="40">
        <v>4.5966999999999996E-3</v>
      </c>
      <c r="J12" s="40">
        <v>4.2469999999999999E-3</v>
      </c>
      <c r="K12" s="40">
        <v>3.3137000000000002E-3</v>
      </c>
      <c r="L12" s="40">
        <v>4.8450000000000003E-3</v>
      </c>
      <c r="M12" s="40">
        <v>3.7081000000000002E-3</v>
      </c>
      <c r="O12" s="40">
        <v>8.3627794494489996E-3</v>
      </c>
      <c r="P12" s="40">
        <v>8.3627794494489996E-3</v>
      </c>
      <c r="Q12" s="40">
        <v>8.3627794494489996E-3</v>
      </c>
      <c r="R12" s="40">
        <v>8.3627794494489996E-3</v>
      </c>
      <c r="S12" s="40">
        <v>8.3627794494489996E-3</v>
      </c>
      <c r="T12" s="40">
        <v>8.3627794494489996E-3</v>
      </c>
    </row>
    <row r="13" spans="1:20" x14ac:dyDescent="0.35">
      <c r="A13" s="40">
        <v>0.41547781915344001</v>
      </c>
      <c r="B13" s="40">
        <v>6.8949037727571501</v>
      </c>
      <c r="C13" s="40">
        <v>13.135990367855999</v>
      </c>
      <c r="D13" s="40">
        <v>7.1185993952143201E-2</v>
      </c>
      <c r="E13" s="40">
        <v>5.5211908759402997</v>
      </c>
      <c r="F13" s="40">
        <v>8.4033848038909706</v>
      </c>
      <c r="H13" s="40">
        <v>2.5008999999999999E-3</v>
      </c>
      <c r="I13" s="40">
        <v>2.2853999999999999E-3</v>
      </c>
      <c r="J13" s="40">
        <v>3.4109000000000001E-3</v>
      </c>
      <c r="K13" s="40">
        <v>2.2964000000000001E-3</v>
      </c>
      <c r="L13" s="40">
        <v>3.6091000000000001E-3</v>
      </c>
      <c r="M13" s="40">
        <v>2.2541000000000002E-3</v>
      </c>
      <c r="O13" s="40">
        <v>8.3627794494489996E-3</v>
      </c>
      <c r="P13" s="40">
        <v>8.3627794494489996E-3</v>
      </c>
      <c r="Q13" s="40">
        <v>8.3627794494489996E-3</v>
      </c>
      <c r="R13" s="40">
        <v>8.3627794494489996E-3</v>
      </c>
      <c r="S13" s="40">
        <v>8.3627794494489996E-3</v>
      </c>
      <c r="T13" s="40">
        <v>8.3627794494489996E-3</v>
      </c>
    </row>
    <row r="14" spans="1:20" x14ac:dyDescent="0.35">
      <c r="A14" s="40">
        <v>0.23367573601598099</v>
      </c>
      <c r="B14" s="40">
        <v>6.2094031737002799</v>
      </c>
      <c r="C14" s="40">
        <v>16.5529968041301</v>
      </c>
      <c r="D14" s="40">
        <v>1.7668252522929299E-2</v>
      </c>
      <c r="E14" s="40">
        <v>5.2830056609337497</v>
      </c>
      <c r="F14" s="40">
        <v>3.27334478655172</v>
      </c>
      <c r="H14" s="40">
        <v>1.8856000000000001E-3</v>
      </c>
      <c r="I14" s="40">
        <v>2.457E-3</v>
      </c>
      <c r="J14" s="40">
        <v>2.9315999999999999E-3</v>
      </c>
      <c r="K14" s="40">
        <v>2.2599E-3</v>
      </c>
      <c r="L14" s="40">
        <v>3.4497999999999998E-3</v>
      </c>
      <c r="M14" s="40">
        <v>2.1862000000000001E-3</v>
      </c>
      <c r="O14" s="40">
        <v>8.3627794494489996E-3</v>
      </c>
      <c r="P14" s="40">
        <v>8.3627794494489996E-3</v>
      </c>
      <c r="Q14" s="40">
        <v>8.3627794494489996E-3</v>
      </c>
      <c r="R14" s="40">
        <v>8.3627794494489996E-3</v>
      </c>
      <c r="S14" s="40">
        <v>8.3627794494489996E-3</v>
      </c>
      <c r="T14" s="40">
        <v>8.3627794494489996E-3</v>
      </c>
    </row>
    <row r="15" spans="1:20" x14ac:dyDescent="0.35">
      <c r="A15" s="40">
        <v>0.32818178056156699</v>
      </c>
      <c r="B15" s="40">
        <v>12.012708650972501</v>
      </c>
      <c r="C15" s="40">
        <v>13.0456192840144</v>
      </c>
      <c r="D15" s="40">
        <v>2.8225766389562201E-2</v>
      </c>
      <c r="E15" s="40">
        <v>4.5031915389445798</v>
      </c>
      <c r="F15" s="40">
        <v>3.1562806402028998</v>
      </c>
      <c r="H15" s="40">
        <v>2.0476000000000001E-3</v>
      </c>
      <c r="I15" s="40">
        <v>2.2485000000000001E-3</v>
      </c>
      <c r="J15" s="40">
        <v>3.0163E-3</v>
      </c>
      <c r="K15" s="40">
        <v>2.2280999999999998E-3</v>
      </c>
      <c r="L15" s="40">
        <v>3.591E-3</v>
      </c>
      <c r="M15" s="40">
        <v>2.0942000000000001E-3</v>
      </c>
      <c r="O15" s="40">
        <v>8.3627794494489996E-3</v>
      </c>
      <c r="P15" s="40">
        <v>8.3627794494489996E-3</v>
      </c>
      <c r="Q15" s="40">
        <v>8.3627794494489996E-3</v>
      </c>
      <c r="R15" s="40">
        <v>8.3627794494489996E-3</v>
      </c>
      <c r="S15" s="40">
        <v>8.3627794494489996E-3</v>
      </c>
      <c r="T15" s="40">
        <v>8.3627794494489996E-3</v>
      </c>
    </row>
    <row r="16" spans="1:20" x14ac:dyDescent="0.35">
      <c r="A16" s="40">
        <v>0.57988674186336397</v>
      </c>
      <c r="B16" s="40">
        <v>3.8047731926209298</v>
      </c>
      <c r="C16" s="40">
        <v>29.545388653152798</v>
      </c>
      <c r="D16" s="40">
        <v>3.7948880244554402</v>
      </c>
      <c r="E16" s="40">
        <v>5.0592089324645002</v>
      </c>
      <c r="F16" s="40">
        <v>1.9190381754988199</v>
      </c>
      <c r="H16" s="40">
        <v>2.0033E-3</v>
      </c>
      <c r="I16" s="40">
        <v>3.1606E-3</v>
      </c>
      <c r="J16" s="40">
        <v>2.7877000000000002E-3</v>
      </c>
      <c r="K16" s="40">
        <v>2.5888E-3</v>
      </c>
      <c r="L16" s="40">
        <v>3.6903999999999999E-3</v>
      </c>
      <c r="M16" s="40">
        <v>2.6519999999999998E-3</v>
      </c>
      <c r="O16" s="40">
        <v>8.3627794494489996E-3</v>
      </c>
      <c r="P16" s="40">
        <v>8.3627794494489996E-3</v>
      </c>
      <c r="Q16" s="40">
        <v>8.3627794494489996E-3</v>
      </c>
      <c r="R16" s="40">
        <v>8.3627794494489996E-3</v>
      </c>
      <c r="S16" s="40">
        <v>8.3627794494489996E-3</v>
      </c>
      <c r="T16" s="40">
        <v>8.3627794494489996E-3</v>
      </c>
    </row>
    <row r="17" spans="1:20" x14ac:dyDescent="0.35">
      <c r="A17" s="40">
        <v>0.585782130218097</v>
      </c>
      <c r="B17" s="40">
        <v>9.5737903894531993</v>
      </c>
      <c r="C17" s="40">
        <v>11.8706987523818</v>
      </c>
      <c r="D17" s="40">
        <v>1.4049108746861201</v>
      </c>
      <c r="E17" s="40">
        <v>6.84453490820054</v>
      </c>
      <c r="F17" s="40">
        <v>8.3972282147029098</v>
      </c>
      <c r="H17" s="40">
        <v>2.1193000000000002E-3</v>
      </c>
      <c r="I17" s="40">
        <v>2.4072E-3</v>
      </c>
      <c r="J17" s="40">
        <v>3.4088999999999999E-3</v>
      </c>
      <c r="K17" s="40">
        <v>2.2867999999999999E-3</v>
      </c>
      <c r="L17" s="40">
        <v>4.2313999999999997E-3</v>
      </c>
      <c r="M17" s="40">
        <v>2.4654E-3</v>
      </c>
      <c r="O17" s="40">
        <v>8.3627794494489996E-3</v>
      </c>
      <c r="P17" s="40">
        <v>8.3627794494489996E-3</v>
      </c>
      <c r="Q17" s="40">
        <v>8.3627794494489996E-3</v>
      </c>
      <c r="R17" s="40">
        <v>8.3627794494489996E-3</v>
      </c>
      <c r="S17" s="40">
        <v>8.3627794494489996E-3</v>
      </c>
      <c r="T17" s="40">
        <v>8.3627794494489996E-3</v>
      </c>
    </row>
    <row r="18" spans="1:20" x14ac:dyDescent="0.35">
      <c r="A18" s="40">
        <v>0.43406626335597298</v>
      </c>
      <c r="B18" s="40">
        <v>21.918863580651301</v>
      </c>
      <c r="C18" s="40">
        <v>24.978483688553101</v>
      </c>
      <c r="D18" s="40">
        <v>0.29024004123718899</v>
      </c>
      <c r="E18" s="40">
        <v>4.5876788587246002</v>
      </c>
      <c r="F18" s="40">
        <v>3.6589583881865102</v>
      </c>
      <c r="H18" s="40">
        <v>2.7036E-3</v>
      </c>
      <c r="I18" s="40">
        <v>2.2252999999999999E-3</v>
      </c>
      <c r="J18" s="40">
        <v>3.4299E-3</v>
      </c>
      <c r="K18" s="40">
        <v>2.3216999999999999E-3</v>
      </c>
      <c r="L18" s="40">
        <v>3.6505999999999999E-3</v>
      </c>
      <c r="M18" s="40">
        <v>2.3E-3</v>
      </c>
      <c r="O18" s="40">
        <v>8.3627794494489996E-3</v>
      </c>
      <c r="P18" s="40">
        <v>8.3627794494489996E-3</v>
      </c>
      <c r="Q18" s="40">
        <v>8.3627794494489996E-3</v>
      </c>
      <c r="R18" s="40">
        <v>8.3627794494489996E-3</v>
      </c>
      <c r="S18" s="40">
        <v>8.3627794494489996E-3</v>
      </c>
      <c r="T18" s="40">
        <v>8.3627794494489996E-3</v>
      </c>
    </row>
    <row r="19" spans="1:20" x14ac:dyDescent="0.35">
      <c r="A19" s="40">
        <v>0.22878351933776001</v>
      </c>
      <c r="B19" s="40">
        <v>3.9143629963045901</v>
      </c>
      <c r="C19" s="40">
        <v>21.897732811138599</v>
      </c>
      <c r="D19" s="40">
        <v>0.461096461457009</v>
      </c>
      <c r="E19" s="40">
        <v>5.1067993461679198</v>
      </c>
      <c r="F19" s="40">
        <v>3.1958220065144198</v>
      </c>
      <c r="H19" s="40">
        <v>2.8739999999999998E-3</v>
      </c>
      <c r="I19" s="40">
        <v>2.2331E-3</v>
      </c>
      <c r="J19" s="40">
        <v>2.8300999999999999E-3</v>
      </c>
      <c r="K19" s="40">
        <v>2.3812999999999998E-3</v>
      </c>
      <c r="L19" s="40">
        <v>3.5233999999999999E-3</v>
      </c>
      <c r="M19" s="40">
        <v>2.2060000000000001E-3</v>
      </c>
      <c r="O19" s="40">
        <v>8.3627794494489996E-3</v>
      </c>
      <c r="P19" s="40">
        <v>8.3627794494489996E-3</v>
      </c>
      <c r="Q19" s="40">
        <v>8.3627794494489996E-3</v>
      </c>
      <c r="R19" s="40">
        <v>8.3627794494489996E-3</v>
      </c>
      <c r="S19" s="40">
        <v>8.3627794494489996E-3</v>
      </c>
      <c r="T19" s="40">
        <v>8.3627794494489996E-3</v>
      </c>
    </row>
    <row r="20" spans="1:20" x14ac:dyDescent="0.35">
      <c r="A20" s="40">
        <v>0.33034792405784102</v>
      </c>
      <c r="B20" s="40">
        <v>4.4991227587379301</v>
      </c>
      <c r="C20" s="40">
        <v>19.917078680764799</v>
      </c>
      <c r="D20" s="40">
        <v>0.219737334099908</v>
      </c>
      <c r="E20" s="40">
        <v>5.4693847293574303</v>
      </c>
      <c r="F20" s="40">
        <v>7.2177937848048197</v>
      </c>
      <c r="H20" s="40">
        <v>2.1397999999999999E-3</v>
      </c>
      <c r="I20" s="40">
        <v>2.7637E-3</v>
      </c>
      <c r="J20" s="40">
        <v>2.777E-3</v>
      </c>
      <c r="K20" s="40">
        <v>2.1627999999999999E-3</v>
      </c>
      <c r="L20" s="40">
        <v>3.9984E-3</v>
      </c>
      <c r="M20" s="40">
        <v>2.2128999999999998E-3</v>
      </c>
      <c r="O20" s="40">
        <v>8.3627794494489996E-3</v>
      </c>
      <c r="P20" s="40">
        <v>8.3627794494489996E-3</v>
      </c>
      <c r="Q20" s="40">
        <v>8.3627794494489996E-3</v>
      </c>
      <c r="R20" s="40">
        <v>8.3627794494489996E-3</v>
      </c>
      <c r="S20" s="40">
        <v>8.3627794494489996E-3</v>
      </c>
      <c r="T20" s="40">
        <v>8.3627794494489996E-3</v>
      </c>
    </row>
    <row r="21" spans="1:20" x14ac:dyDescent="0.35">
      <c r="A21" s="40">
        <v>0.511453234867702</v>
      </c>
      <c r="B21" s="40">
        <v>3.2073747495025899</v>
      </c>
      <c r="C21" s="40">
        <v>17.1792035272547</v>
      </c>
      <c r="D21" s="40">
        <v>0.79270230331841096</v>
      </c>
      <c r="E21" s="40">
        <v>4.2823192366789096</v>
      </c>
      <c r="F21" s="40">
        <v>11.2354466850463</v>
      </c>
      <c r="H21" s="40">
        <v>1.9141E-3</v>
      </c>
      <c r="I21" s="40">
        <v>2.5339E-3</v>
      </c>
      <c r="J21" s="40">
        <v>3.8452E-3</v>
      </c>
      <c r="K21" s="40">
        <v>2.5360000000000001E-3</v>
      </c>
      <c r="L21" s="40">
        <v>3.9826000000000002E-3</v>
      </c>
      <c r="M21" s="40">
        <v>2.2282000000000001E-3</v>
      </c>
      <c r="O21" s="40">
        <v>8.3627794494489996E-3</v>
      </c>
      <c r="P21" s="40">
        <v>8.3627794494489996E-3</v>
      </c>
      <c r="Q21" s="40">
        <v>8.3627794494489996E-3</v>
      </c>
      <c r="R21" s="40">
        <v>8.3627794494489996E-3</v>
      </c>
      <c r="S21" s="40">
        <v>8.3627794494489996E-3</v>
      </c>
      <c r="T21" s="40">
        <v>8.3627794494489996E-3</v>
      </c>
    </row>
    <row r="22" spans="1:20" x14ac:dyDescent="0.35">
      <c r="A22" s="40">
        <v>0.48256533266680701</v>
      </c>
      <c r="B22" s="40">
        <v>12.988623462398399</v>
      </c>
      <c r="C22" s="40">
        <v>23.4824524117819</v>
      </c>
      <c r="D22" s="40">
        <v>2.40517487188625</v>
      </c>
      <c r="E22" s="40">
        <v>4.7539900640720498</v>
      </c>
      <c r="F22" s="40">
        <v>5.9587248068894096</v>
      </c>
      <c r="H22" s="40">
        <v>2.0005999999999999E-3</v>
      </c>
      <c r="I22" s="40">
        <v>2.3582999999999998E-3</v>
      </c>
      <c r="J22" s="40">
        <v>2.7185E-3</v>
      </c>
      <c r="K22" s="40">
        <v>2.9175E-3</v>
      </c>
      <c r="L22" s="40">
        <v>3.5309999999999999E-3</v>
      </c>
      <c r="M22" s="40">
        <v>2.1218999999999999E-3</v>
      </c>
      <c r="O22" s="40">
        <v>8.3627794494489996E-3</v>
      </c>
      <c r="P22" s="40">
        <v>8.3627794494489996E-3</v>
      </c>
      <c r="Q22" s="40">
        <v>8.3627794494489996E-3</v>
      </c>
      <c r="R22" s="40">
        <v>8.3627794494489996E-3</v>
      </c>
      <c r="S22" s="40">
        <v>8.3627794494489996E-3</v>
      </c>
      <c r="T22" s="40">
        <v>8.3627794494489996E-3</v>
      </c>
    </row>
    <row r="23" spans="1:20" x14ac:dyDescent="0.35">
      <c r="A23" s="40">
        <v>0.45990647048611599</v>
      </c>
      <c r="B23" s="40">
        <v>14.8064425920675</v>
      </c>
      <c r="C23" s="40">
        <v>3.3381881871916699</v>
      </c>
      <c r="D23" s="40">
        <v>0.36323167988406502</v>
      </c>
      <c r="E23" s="40">
        <v>2.9633491431280201</v>
      </c>
      <c r="F23" s="40">
        <v>10.1820548254592</v>
      </c>
      <c r="H23" s="40">
        <v>2.1094999999999998E-3</v>
      </c>
      <c r="I23" s="40">
        <v>2.2637E-3</v>
      </c>
      <c r="J23" s="40">
        <v>3.3955000000000001E-3</v>
      </c>
      <c r="K23" s="40">
        <v>2.3433E-3</v>
      </c>
      <c r="L23" s="40">
        <v>3.5406999999999999E-3</v>
      </c>
      <c r="M23" s="40">
        <v>3.3525999999999999E-3</v>
      </c>
      <c r="O23" s="40">
        <v>8.3627794494489996E-3</v>
      </c>
      <c r="P23" s="40">
        <v>8.3627794494489996E-3</v>
      </c>
      <c r="Q23" s="40">
        <v>8.3627794494489996E-3</v>
      </c>
      <c r="R23" s="40">
        <v>8.3627794494489996E-3</v>
      </c>
      <c r="S23" s="40">
        <v>8.3627794494489996E-3</v>
      </c>
      <c r="T23" s="40">
        <v>8.3627794494489996E-3</v>
      </c>
    </row>
    <row r="24" spans="1:20" x14ac:dyDescent="0.35">
      <c r="A24" s="40">
        <v>0.59758173405987902</v>
      </c>
      <c r="B24" s="40">
        <v>12.2374446103917</v>
      </c>
      <c r="C24" s="40">
        <v>17.098563202507702</v>
      </c>
      <c r="D24" s="40">
        <v>2.91493921025489E-2</v>
      </c>
      <c r="E24" s="40">
        <v>5.03697550684433</v>
      </c>
      <c r="F24" s="40">
        <v>2.8143722892422298</v>
      </c>
      <c r="H24" s="40">
        <v>1.9770999999999999E-3</v>
      </c>
      <c r="I24" s="40">
        <v>2.4853000000000002E-3</v>
      </c>
      <c r="J24" s="40">
        <v>3.1145000000000001E-3</v>
      </c>
      <c r="K24" s="40">
        <v>2.0958999999999999E-3</v>
      </c>
      <c r="L24" s="40">
        <v>3.6621000000000002E-3</v>
      </c>
      <c r="M24" s="40">
        <v>2.4978000000000001E-3</v>
      </c>
      <c r="O24" s="40">
        <v>8.3627794494489996E-3</v>
      </c>
      <c r="P24" s="40">
        <v>8.3627794494489996E-3</v>
      </c>
      <c r="Q24" s="40">
        <v>8.3627794494489996E-3</v>
      </c>
      <c r="R24" s="40">
        <v>8.3627794494489996E-3</v>
      </c>
      <c r="S24" s="40">
        <v>8.3627794494489996E-3</v>
      </c>
      <c r="T24" s="40">
        <v>8.3627794494489996E-3</v>
      </c>
    </row>
    <row r="25" spans="1:20" x14ac:dyDescent="0.35">
      <c r="A25" s="40">
        <v>0.70362513659435999</v>
      </c>
      <c r="B25" s="40">
        <v>33.446726958039399</v>
      </c>
      <c r="C25" s="40">
        <v>27.220617935082299</v>
      </c>
      <c r="D25" s="40">
        <v>6.1552130865852303E-2</v>
      </c>
      <c r="E25" s="40">
        <v>7.9450169234564099</v>
      </c>
      <c r="F25" s="40">
        <v>6.6680526379384499</v>
      </c>
      <c r="H25" s="40">
        <v>1.9199E-3</v>
      </c>
      <c r="I25" s="40">
        <v>2.2447999999999999E-3</v>
      </c>
      <c r="J25" s="40">
        <v>3.0558E-3</v>
      </c>
      <c r="K25" s="40">
        <v>2.2162000000000002E-3</v>
      </c>
      <c r="L25" s="40">
        <v>4.1955999999999999E-3</v>
      </c>
      <c r="M25" s="40">
        <v>2.1632999999999999E-3</v>
      </c>
      <c r="O25" s="40">
        <v>8.3627794494489996E-3</v>
      </c>
      <c r="P25" s="40">
        <v>8.3627794494489996E-3</v>
      </c>
      <c r="Q25" s="40">
        <v>8.3627794494489996E-3</v>
      </c>
      <c r="R25" s="40">
        <v>8.3627794494489996E-3</v>
      </c>
      <c r="S25" s="40">
        <v>8.3627794494489996E-3</v>
      </c>
      <c r="T25" s="40">
        <v>8.3627794494489996E-3</v>
      </c>
    </row>
    <row r="26" spans="1:20" x14ac:dyDescent="0.35">
      <c r="A26" s="40">
        <v>0.37636152215659402</v>
      </c>
      <c r="B26" s="40">
        <v>10.53139232845</v>
      </c>
      <c r="C26" s="40">
        <v>7.07396820846553</v>
      </c>
      <c r="D26" s="40">
        <v>0.478840168839612</v>
      </c>
      <c r="E26" s="40">
        <v>6.0512838475948296</v>
      </c>
      <c r="F26" s="40">
        <v>7.0718457738280804</v>
      </c>
      <c r="H26" s="40">
        <v>1.887E-3</v>
      </c>
      <c r="I26" s="40">
        <v>2.4718000000000001E-3</v>
      </c>
      <c r="J26" s="40">
        <v>2.8728E-3</v>
      </c>
      <c r="K26" s="40">
        <v>2.3156000000000001E-3</v>
      </c>
      <c r="L26" s="40">
        <v>3.3965000000000002E-3</v>
      </c>
      <c r="M26" s="40">
        <v>2.1928E-3</v>
      </c>
      <c r="O26" s="40">
        <v>8.3627794494489996E-3</v>
      </c>
      <c r="P26" s="40">
        <v>8.3627794494489996E-3</v>
      </c>
      <c r="Q26" s="40">
        <v>8.3627794494489996E-3</v>
      </c>
      <c r="R26" s="40">
        <v>8.3627794494489996E-3</v>
      </c>
      <c r="S26" s="40">
        <v>8.3627794494489996E-3</v>
      </c>
      <c r="T26" s="40">
        <v>8.3627794494489996E-3</v>
      </c>
    </row>
    <row r="27" spans="1:20" x14ac:dyDescent="0.35">
      <c r="A27" s="40">
        <v>0.50029584385283699</v>
      </c>
      <c r="B27" s="40">
        <v>14.215448337058101</v>
      </c>
      <c r="C27" s="40">
        <v>24.761037048419499</v>
      </c>
      <c r="D27" s="40">
        <v>1.25229671209713E-2</v>
      </c>
      <c r="E27" s="40">
        <v>4.5356603948645899</v>
      </c>
      <c r="F27" s="40">
        <v>10.5891507621615</v>
      </c>
      <c r="H27" s="40">
        <v>2.3400999999999999E-3</v>
      </c>
      <c r="I27" s="40">
        <v>2.3067000000000001E-3</v>
      </c>
      <c r="J27" s="40">
        <v>3.1177000000000002E-3</v>
      </c>
      <c r="K27" s="40">
        <v>2.3817999999999999E-3</v>
      </c>
      <c r="L27" s="40">
        <v>3.4404000000000001E-3</v>
      </c>
      <c r="M27" s="40">
        <v>2.2912000000000002E-3</v>
      </c>
      <c r="O27" s="40">
        <v>8.3627794494489996E-3</v>
      </c>
      <c r="P27" s="40">
        <v>8.3627794494489996E-3</v>
      </c>
      <c r="Q27" s="40">
        <v>8.3627794494489996E-3</v>
      </c>
      <c r="R27" s="40">
        <v>8.3627794494489996E-3</v>
      </c>
      <c r="S27" s="40">
        <v>8.3627794494489996E-3</v>
      </c>
      <c r="T27" s="40">
        <v>8.3627794494489996E-3</v>
      </c>
    </row>
    <row r="28" spans="1:20" x14ac:dyDescent="0.35">
      <c r="A28" s="40">
        <v>0.30817663390570998</v>
      </c>
      <c r="B28" s="40">
        <v>9.8627070825199805</v>
      </c>
      <c r="C28" s="40">
        <v>34.327727139233801</v>
      </c>
      <c r="D28" s="40">
        <v>0.43836673333792497</v>
      </c>
      <c r="E28" s="40">
        <v>6.8075499871311402</v>
      </c>
      <c r="F28" s="40">
        <v>4.5764706268594999</v>
      </c>
      <c r="H28" s="40">
        <v>2.2307E-3</v>
      </c>
      <c r="I28" s="40">
        <v>2.9082000000000001E-3</v>
      </c>
      <c r="J28" s="40">
        <v>3.0959E-3</v>
      </c>
      <c r="K28" s="40">
        <v>2.7501000000000001E-3</v>
      </c>
      <c r="L28" s="40">
        <v>3.6181E-3</v>
      </c>
      <c r="M28" s="40">
        <v>2.238E-3</v>
      </c>
      <c r="O28" s="40">
        <v>8.3627794494489996E-3</v>
      </c>
      <c r="P28" s="40">
        <v>8.3627794494489996E-3</v>
      </c>
      <c r="Q28" s="40">
        <v>8.3627794494489996E-3</v>
      </c>
      <c r="R28" s="40">
        <v>8.3627794494489996E-3</v>
      </c>
      <c r="S28" s="40">
        <v>8.3627794494489996E-3</v>
      </c>
      <c r="T28" s="40">
        <v>8.3627794494489996E-3</v>
      </c>
    </row>
    <row r="29" spans="1:20" x14ac:dyDescent="0.35">
      <c r="A29" s="40">
        <v>0.55569585302102997</v>
      </c>
      <c r="B29" s="40">
        <v>8.4823986166563401</v>
      </c>
      <c r="C29" s="40">
        <v>8.5193311431806809</v>
      </c>
      <c r="D29" s="40">
        <v>7.4887518750958799</v>
      </c>
      <c r="E29" s="40">
        <v>4.7598130693233296</v>
      </c>
      <c r="F29" s="40">
        <v>3.0002213286376298</v>
      </c>
      <c r="H29" s="40">
        <v>1.8702E-3</v>
      </c>
      <c r="I29" s="40">
        <v>2.189E-3</v>
      </c>
      <c r="J29" s="40">
        <v>2.9037999999999998E-3</v>
      </c>
      <c r="K29" s="40">
        <v>2.4325000000000002E-3</v>
      </c>
      <c r="L29" s="40">
        <v>4.4282999999999996E-3</v>
      </c>
      <c r="M29" s="40">
        <v>3.1630999999999999E-3</v>
      </c>
      <c r="O29" s="40">
        <v>8.3627794494489996E-3</v>
      </c>
      <c r="P29" s="40">
        <v>8.3627794494489996E-3</v>
      </c>
      <c r="Q29" s="40">
        <v>8.3627794494489996E-3</v>
      </c>
      <c r="R29" s="40">
        <v>8.3627794494489996E-3</v>
      </c>
      <c r="S29" s="40">
        <v>8.3627794494489996E-3</v>
      </c>
      <c r="T29" s="40">
        <v>8.3627794494489996E-3</v>
      </c>
    </row>
    <row r="30" spans="1:20" x14ac:dyDescent="0.35">
      <c r="A30" s="40">
        <v>0.62861871434425898</v>
      </c>
      <c r="B30" s="40">
        <v>9.9868868040974199</v>
      </c>
      <c r="C30" s="40">
        <v>12.429803295176701</v>
      </c>
      <c r="D30" s="40">
        <v>0.24405797189210901</v>
      </c>
      <c r="E30" s="40">
        <v>6.3170069137394496</v>
      </c>
      <c r="F30" s="40">
        <v>8.39618962577776</v>
      </c>
      <c r="H30" s="40">
        <v>1.8797E-3</v>
      </c>
      <c r="I30" s="40">
        <v>2.1906999999999999E-3</v>
      </c>
      <c r="J30" s="40">
        <v>3.4702999999999999E-3</v>
      </c>
      <c r="K30" s="40">
        <v>2.3751000000000002E-3</v>
      </c>
      <c r="L30" s="40">
        <v>3.7445999999999998E-3</v>
      </c>
      <c r="M30" s="40">
        <v>2.2212999999999998E-3</v>
      </c>
      <c r="O30" s="40">
        <v>8.3627794494489996E-3</v>
      </c>
      <c r="P30" s="40">
        <v>8.3627794494489996E-3</v>
      </c>
      <c r="Q30" s="40">
        <v>8.3627794494489996E-3</v>
      </c>
      <c r="R30" s="40">
        <v>8.3627794494489996E-3</v>
      </c>
      <c r="S30" s="40">
        <v>8.3627794494489996E-3</v>
      </c>
      <c r="T30" s="40">
        <v>8.3627794494489996E-3</v>
      </c>
    </row>
    <row r="31" spans="1:20" x14ac:dyDescent="0.35">
      <c r="A31" s="40">
        <v>0.51357595068235196</v>
      </c>
      <c r="B31" s="40">
        <v>5.2228452858092496</v>
      </c>
      <c r="C31" s="40">
        <v>10.778708052882401</v>
      </c>
      <c r="D31" s="40">
        <v>0.76287863750316498</v>
      </c>
      <c r="E31" s="40">
        <v>6.2784039417109296</v>
      </c>
      <c r="F31" s="40">
        <v>6.39165184469514</v>
      </c>
      <c r="H31" s="40">
        <v>2.0427000000000002E-3</v>
      </c>
      <c r="I31" s="40">
        <v>2.2242E-3</v>
      </c>
      <c r="J31" s="40">
        <v>2.7881999999999998E-3</v>
      </c>
      <c r="K31" s="40">
        <v>2.1155000000000002E-3</v>
      </c>
      <c r="L31" s="40">
        <v>3.4390000000000002E-3</v>
      </c>
      <c r="M31" s="40">
        <v>2.1597000000000001E-3</v>
      </c>
      <c r="O31" s="40">
        <v>8.3627794494489996E-3</v>
      </c>
      <c r="P31" s="40">
        <v>8.3627794494489996E-3</v>
      </c>
      <c r="Q31" s="40">
        <v>8.3627794494489996E-3</v>
      </c>
      <c r="R31" s="40">
        <v>8.3627794494489996E-3</v>
      </c>
      <c r="S31" s="40">
        <v>8.3627794494489996E-3</v>
      </c>
      <c r="T31" s="40">
        <v>8.3627794494489996E-3</v>
      </c>
    </row>
    <row r="34" spans="1:20" ht="15.5" x14ac:dyDescent="0.35">
      <c r="A34" s="9" t="s">
        <v>23</v>
      </c>
      <c r="B34" s="9"/>
      <c r="C34" s="9"/>
      <c r="D34" s="9"/>
      <c r="E34" s="9"/>
      <c r="F34" s="9"/>
      <c r="H34" s="9" t="s">
        <v>15</v>
      </c>
      <c r="I34" s="9"/>
      <c r="J34" s="9"/>
      <c r="K34" s="9"/>
      <c r="L34" s="9"/>
      <c r="M34" s="9"/>
      <c r="O34" s="9" t="s">
        <v>25</v>
      </c>
      <c r="P34" s="9"/>
      <c r="Q34" s="9"/>
      <c r="R34" s="9"/>
      <c r="S34" s="9"/>
      <c r="T34" s="9"/>
    </row>
    <row r="35" spans="1:20" x14ac:dyDescent="0.35">
      <c r="A35" s="6" t="s">
        <v>0</v>
      </c>
      <c r="B35" s="6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H35" s="6" t="s">
        <v>0</v>
      </c>
      <c r="I35" s="6" t="s">
        <v>1</v>
      </c>
      <c r="J35" s="6" t="s">
        <v>2</v>
      </c>
      <c r="K35" s="6" t="s">
        <v>3</v>
      </c>
      <c r="L35" s="6" t="s">
        <v>4</v>
      </c>
      <c r="M35" s="6" t="s">
        <v>5</v>
      </c>
      <c r="O35" s="6" t="s">
        <v>0</v>
      </c>
      <c r="P35" s="6" t="s">
        <v>1</v>
      </c>
      <c r="Q35" s="6" t="s">
        <v>2</v>
      </c>
      <c r="R35" s="6" t="s">
        <v>3</v>
      </c>
      <c r="S35" s="6" t="s">
        <v>4</v>
      </c>
      <c r="T35" s="6" t="s">
        <v>5</v>
      </c>
    </row>
    <row r="36" spans="1:20" x14ac:dyDescent="0.35">
      <c r="A36" s="6" t="s">
        <v>6</v>
      </c>
      <c r="B36" s="40">
        <f>MAX(Tabla2721[F1])</f>
        <v>25.167293084938901</v>
      </c>
      <c r="C36" s="40">
        <f>MIN(Tabla2721[F1])</f>
        <v>8.7683182355495095</v>
      </c>
      <c r="D36" s="40">
        <f>AVERAGE(Tabla2721[F1])</f>
        <v>16.379495726896721</v>
      </c>
      <c r="E36" s="40">
        <f>MEDIAN(Tabla2721[F1])</f>
        <v>17.053892981549801</v>
      </c>
      <c r="F36" s="40">
        <f>STDEVA(Tabla2721[F1])</f>
        <v>4.3400528574099466</v>
      </c>
      <c r="H36" s="6" t="s">
        <v>6</v>
      </c>
      <c r="I36" s="40">
        <f>MAX(Tabla25923[F1])</f>
        <v>4.0356999999999997E-3</v>
      </c>
      <c r="J36" s="40">
        <f>MIN(Tabla25923[F1])</f>
        <v>2.4510000000000001E-3</v>
      </c>
      <c r="K36" s="40">
        <f>AVERAGE(Tabla25923[F1])</f>
        <v>3.0058050000000007E-3</v>
      </c>
      <c r="L36" s="40">
        <f>MEDIAN(Tabla25923[F1])</f>
        <v>2.8205000000000001E-3</v>
      </c>
      <c r="M36" s="40">
        <f>STDEVA(Tabla25923[F1])</f>
        <v>5.4348722879974005E-4</v>
      </c>
      <c r="O36" s="6" t="s">
        <v>6</v>
      </c>
      <c r="P36" s="40">
        <f>MAX(Tabla272132[F1])</f>
        <v>5.4043195528446004</v>
      </c>
      <c r="Q36" s="40">
        <f>MIN(Tabla272132[F1])</f>
        <v>5.4043195528446004</v>
      </c>
      <c r="R36" s="40">
        <f>AVERAGE(Tabla272132[F1])</f>
        <v>5.4043195528445986</v>
      </c>
      <c r="S36" s="40">
        <f>MEDIAN(Tabla272132[F1])</f>
        <v>5.4043195528446004</v>
      </c>
      <c r="T36" s="40">
        <f>STDEVA(Tabla272132[F1])</f>
        <v>1.8225036628030615E-15</v>
      </c>
    </row>
    <row r="37" spans="1:20" x14ac:dyDescent="0.35">
      <c r="A37" s="6" t="s">
        <v>7</v>
      </c>
      <c r="B37" s="40">
        <f>MAX(Tabla2721[F2])</f>
        <v>718.35499648344296</v>
      </c>
      <c r="C37" s="40">
        <f>MIN(Tabla2721[F2])</f>
        <v>361.219263971842</v>
      </c>
      <c r="D37" s="40">
        <f>AVERAGE(Tabla2721[F2])</f>
        <v>495.77818996438361</v>
      </c>
      <c r="E37" s="40">
        <f>MEDIAN(Tabla2721[F2])</f>
        <v>466.29166299535399</v>
      </c>
      <c r="F37" s="40">
        <f>STDEVA(Tabla2721[F2])</f>
        <v>109.74712704114643</v>
      </c>
      <c r="H37" s="6" t="s">
        <v>7</v>
      </c>
      <c r="I37" s="40">
        <f>MAX(Tabla25923[F2])</f>
        <v>4.9113000000000004E-3</v>
      </c>
      <c r="J37" s="40">
        <f>MIN(Tabla25923[F2])</f>
        <v>3.4746E-3</v>
      </c>
      <c r="K37" s="40">
        <f>AVERAGE(Tabla25923[F2])</f>
        <v>3.8902549999999996E-3</v>
      </c>
      <c r="L37" s="40">
        <f>MEDIAN(Tabla25923[F2])</f>
        <v>3.7371000000000001E-3</v>
      </c>
      <c r="M37" s="40">
        <f>STDEVA(Tabla25923[F2])</f>
        <v>3.6667050815770779E-4</v>
      </c>
      <c r="O37" s="6" t="s">
        <v>7</v>
      </c>
      <c r="P37" s="40">
        <f>MAX(Tabla272132[F2])</f>
        <v>5.4043195528446004</v>
      </c>
      <c r="Q37" s="40">
        <f>MIN(Tabla272132[F2])</f>
        <v>5.4043195528446004</v>
      </c>
      <c r="R37" s="40">
        <f>AVERAGE(Tabla272132[F2])</f>
        <v>5.4043195528445986</v>
      </c>
      <c r="S37" s="40">
        <f>MEDIAN(Tabla272132[F2])</f>
        <v>5.4043195528446004</v>
      </c>
      <c r="T37" s="40">
        <f>STDEVA(Tabla272132[F2])</f>
        <v>1.8225036628030615E-15</v>
      </c>
    </row>
    <row r="38" spans="1:20" x14ac:dyDescent="0.35">
      <c r="A38" s="6" t="s">
        <v>8</v>
      </c>
      <c r="B38" s="40">
        <f>MAX(Tabla2721[F3])</f>
        <v>615.54875283664796</v>
      </c>
      <c r="C38" s="40">
        <f>MIN(Tabla2721[F3])</f>
        <v>193.92602274348801</v>
      </c>
      <c r="D38" s="40">
        <f>AVERAGE(Tabla2721[F3])</f>
        <v>333.49548426909377</v>
      </c>
      <c r="E38" s="40">
        <f>MEDIAN(Tabla2721[F3])</f>
        <v>316.39650582835998</v>
      </c>
      <c r="F38" s="40">
        <f>STDEVA(Tabla2721[F3])</f>
        <v>121.36712021744484</v>
      </c>
      <c r="H38" s="6" t="s">
        <v>8</v>
      </c>
      <c r="I38" s="40">
        <f>MAX(Tabla25923[F3])</f>
        <v>7.6712000000000004E-3</v>
      </c>
      <c r="J38" s="40">
        <f>MIN(Tabla25923[F3])</f>
        <v>5.9941999999999999E-3</v>
      </c>
      <c r="K38" s="40">
        <f>AVERAGE(Tabla25923[F3])</f>
        <v>6.5146650000000002E-3</v>
      </c>
      <c r="L38" s="40">
        <f>MEDIAN(Tabla25923[F3])</f>
        <v>6.4540999999999999E-3</v>
      </c>
      <c r="M38" s="40">
        <f>STDEVA(Tabla25923[F3])</f>
        <v>4.1975606609829456E-4</v>
      </c>
      <c r="O38" s="6" t="s">
        <v>8</v>
      </c>
      <c r="P38" s="40">
        <f>MAX(Tabla272132[F3])</f>
        <v>5.4043195528446004</v>
      </c>
      <c r="Q38" s="40">
        <f>MIN(Tabla272132[F3])</f>
        <v>5.4043195528446004</v>
      </c>
      <c r="R38" s="40">
        <f>AVERAGE(Tabla272132[F3])</f>
        <v>5.4043195528445986</v>
      </c>
      <c r="S38" s="40">
        <f>MEDIAN(Tabla272132[F3])</f>
        <v>5.4043195528446004</v>
      </c>
      <c r="T38" s="40">
        <f>STDEVA(Tabla272132[F3])</f>
        <v>1.8225036628030615E-15</v>
      </c>
    </row>
    <row r="39" spans="1:20" x14ac:dyDescent="0.35">
      <c r="A39" s="6" t="s">
        <v>9</v>
      </c>
      <c r="B39" s="40">
        <f>MAX(Tabla2721[F4])</f>
        <v>37182.067807248503</v>
      </c>
      <c r="C39" s="40">
        <f>MIN(Tabla2721[F4])</f>
        <v>127.589066995053</v>
      </c>
      <c r="D39" s="40">
        <f>AVERAGE(Tabla2721[F4])</f>
        <v>6605.7022341978345</v>
      </c>
      <c r="E39" s="40">
        <f>MEDIAN(Tabla2721[F4])</f>
        <v>2724.2832012557651</v>
      </c>
      <c r="F39" s="40">
        <f>STDEVA(Tabla2721[F4])</f>
        <v>9721.9047380759603</v>
      </c>
      <c r="H39" s="6" t="s">
        <v>9</v>
      </c>
      <c r="I39" s="40">
        <f>MAX(Tabla25923[F4])</f>
        <v>5.9002000000000004E-3</v>
      </c>
      <c r="J39" s="40">
        <f>MIN(Tabla25923[F4])</f>
        <v>3.3985E-3</v>
      </c>
      <c r="K39" s="40">
        <f>AVERAGE(Tabla25923[F4])</f>
        <v>3.8398799999999995E-3</v>
      </c>
      <c r="L39" s="40">
        <f>MEDIAN(Tabla25923[F4])</f>
        <v>3.6774500000000001E-3</v>
      </c>
      <c r="M39" s="40">
        <f>STDEVA(Tabla25923[F4])</f>
        <v>5.4140976076593936E-4</v>
      </c>
      <c r="O39" s="6" t="s">
        <v>9</v>
      </c>
      <c r="P39" s="40">
        <f>MAX(Tabla272132[F4])</f>
        <v>5.4043195528446004</v>
      </c>
      <c r="Q39" s="40">
        <f>MIN(Tabla272132[F4])</f>
        <v>5.4043195528446004</v>
      </c>
      <c r="R39" s="40">
        <f>AVERAGE(Tabla272132[F4])</f>
        <v>5.4043195528445986</v>
      </c>
      <c r="S39" s="40">
        <f>MEDIAN(Tabla272132[F4])</f>
        <v>5.4043195528446004</v>
      </c>
      <c r="T39" s="40">
        <f>STDEVA(Tabla272132[F4])</f>
        <v>1.8225036628030615E-15</v>
      </c>
    </row>
    <row r="40" spans="1:20" x14ac:dyDescent="0.35">
      <c r="A40" s="6" t="s">
        <v>10</v>
      </c>
      <c r="B40" s="40">
        <f>MAX(Tabla2721[F5])</f>
        <v>93.081811623297995</v>
      </c>
      <c r="C40" s="40">
        <f>MIN(Tabla2721[F5])</f>
        <v>67.5015645660377</v>
      </c>
      <c r="D40" s="40">
        <f>AVERAGE(Tabla2721[F5])</f>
        <v>78.485779193768821</v>
      </c>
      <c r="E40" s="40">
        <f>MEDIAN(Tabla2721[F5])</f>
        <v>78.681432722912604</v>
      </c>
      <c r="F40" s="40">
        <f>STDEVA(Tabla2721[F5])</f>
        <v>6.0067147648282431</v>
      </c>
      <c r="H40" s="6" t="s">
        <v>10</v>
      </c>
      <c r="I40" s="40">
        <f>MAX(Tabla25923[F5])</f>
        <v>1.0314800000000001E-2</v>
      </c>
      <c r="J40" s="40">
        <f>MIN(Tabla25923[F5])</f>
        <v>8.6776000000000006E-3</v>
      </c>
      <c r="K40" s="40">
        <f>AVERAGE(Tabla25923[F5])</f>
        <v>9.4888899999999998E-3</v>
      </c>
      <c r="L40" s="40">
        <f>MEDIAN(Tabla25923[F5])</f>
        <v>9.4478500000000007E-3</v>
      </c>
      <c r="M40" s="40">
        <f>STDEVA(Tabla25923[F5])</f>
        <v>4.9019100026096178E-4</v>
      </c>
      <c r="O40" s="6" t="s">
        <v>10</v>
      </c>
      <c r="P40" s="40">
        <f>MAX(Tabla272132[F5])</f>
        <v>5.4043195528446004</v>
      </c>
      <c r="Q40" s="40">
        <f>MIN(Tabla272132[F5])</f>
        <v>5.4043195528446004</v>
      </c>
      <c r="R40" s="40">
        <f>AVERAGE(Tabla272132[F5])</f>
        <v>5.4043195528445986</v>
      </c>
      <c r="S40" s="40">
        <f>MEDIAN(Tabla272132[F5])</f>
        <v>5.4043195528446004</v>
      </c>
      <c r="T40" s="40">
        <f>STDEVA(Tabla272132[F5])</f>
        <v>1.8225036628030615E-15</v>
      </c>
    </row>
    <row r="41" spans="1:20" x14ac:dyDescent="0.35">
      <c r="A41" s="6" t="s">
        <v>11</v>
      </c>
      <c r="B41" s="40">
        <f>MAX(Tabla2721[F6])</f>
        <v>700.574415855403</v>
      </c>
      <c r="C41" s="40">
        <f>MIN(Tabla2721[F6])</f>
        <v>208.8296296794</v>
      </c>
      <c r="D41" s="40">
        <f>AVERAGE(Tabla2721[F6])</f>
        <v>494.36303292677911</v>
      </c>
      <c r="E41" s="40">
        <f>MEDIAN(Tabla2721[F6])</f>
        <v>465.27751926571</v>
      </c>
      <c r="F41" s="40">
        <f>STDEVA(Tabla2721[F6])</f>
        <v>131.43934225148311</v>
      </c>
      <c r="H41" s="6" t="s">
        <v>11</v>
      </c>
      <c r="I41" s="40">
        <f>MAX(Tabla25923[F6])</f>
        <v>4.9163000000000002E-3</v>
      </c>
      <c r="J41" s="40">
        <f>MIN(Tabla25923[F6])</f>
        <v>3.4811E-3</v>
      </c>
      <c r="K41" s="40">
        <f>AVERAGE(Tabla25923[F6])</f>
        <v>3.8508599999999989E-3</v>
      </c>
      <c r="L41" s="40">
        <f>MEDIAN(Tabla25923[F6])</f>
        <v>3.6175999999999999E-3</v>
      </c>
      <c r="M41" s="40">
        <f>STDEVA(Tabla25923[F6])</f>
        <v>4.420719665155747E-4</v>
      </c>
      <c r="O41" s="6" t="s">
        <v>11</v>
      </c>
      <c r="P41" s="40">
        <f>MAX(Tabla272132[F6])</f>
        <v>5.4043195528446004</v>
      </c>
      <c r="Q41" s="40">
        <f>MIN(Tabla272132[F6])</f>
        <v>5.4043195528446004</v>
      </c>
      <c r="R41" s="40">
        <f>AVERAGE(Tabla272132[F6])</f>
        <v>5.4043195528445986</v>
      </c>
      <c r="S41" s="40">
        <f>MEDIAN(Tabla272132[F6])</f>
        <v>5.4043195528446004</v>
      </c>
      <c r="T41" s="40">
        <f>STDEVA(Tabla272132[F6])</f>
        <v>1.8225036628030615E-15</v>
      </c>
    </row>
    <row r="42" spans="1:20" ht="29" x14ac:dyDescent="0.35">
      <c r="A42" s="7" t="s">
        <v>16</v>
      </c>
      <c r="B42" s="41">
        <f>SUBTOTAL(101,Tabla1620[Mejor])</f>
        <v>6555.7991795220378</v>
      </c>
      <c r="C42" s="41">
        <f>SUBTOTAL(101,Tabla1620[Peor])</f>
        <v>161.30564436522837</v>
      </c>
      <c r="D42" s="41">
        <f>SUBTOTAL(101,Tabla1620[Promedio])</f>
        <v>1337.3673693797925</v>
      </c>
      <c r="E42" s="41">
        <f>SUBTOTAL(101,Tabla1620[Mediana])</f>
        <v>677.99736917494192</v>
      </c>
      <c r="F42" s="41">
        <f>SUBTOTAL(101,Tabla1620[Desviación Estándar])</f>
        <v>1682.4675158680454</v>
      </c>
      <c r="H42" s="7" t="s">
        <v>16</v>
      </c>
      <c r="I42" s="41">
        <f>SUBTOTAL(101,Tabla14822[Mejor])</f>
        <v>6.2915833333333331E-3</v>
      </c>
      <c r="J42" s="41">
        <f>SUBTOTAL(101,Tabla14822[Peor])</f>
        <v>4.5795000000000002E-3</v>
      </c>
      <c r="K42" s="41">
        <f>SUBTOTAL(101,Tabla14822[Promedio])</f>
        <v>5.0983924999999999E-3</v>
      </c>
      <c r="L42" s="41">
        <f>SUBTOTAL(101,Tabla14822[Mediana])</f>
        <v>4.9591000000000001E-3</v>
      </c>
      <c r="M42" s="41">
        <f>SUBTOTAL(101,Tabla14822[Desviación Estándar])</f>
        <v>4.6726442176636972E-4</v>
      </c>
      <c r="O42" s="7" t="s">
        <v>16</v>
      </c>
      <c r="P42" s="41">
        <f>SUBTOTAL(101,Tabla162031[Mejor])</f>
        <v>5.4043195528446004</v>
      </c>
      <c r="Q42" s="41">
        <f>SUBTOTAL(101,Tabla162031[Peor])</f>
        <v>5.4043195528446004</v>
      </c>
      <c r="R42" s="41">
        <f>SUBTOTAL(101,Tabla162031[Promedio])</f>
        <v>5.4043195528445986</v>
      </c>
      <c r="S42" s="41">
        <f>SUBTOTAL(101,Tabla162031[Mediana])</f>
        <v>5.4043195528446004</v>
      </c>
      <c r="T42" s="41">
        <f>SUBTOTAL(101,Tabla162031[Desviación Estándar])</f>
        <v>1.8225036628030615E-15</v>
      </c>
    </row>
    <row r="44" spans="1:20" x14ac:dyDescent="0.35">
      <c r="A44" s="6" t="s">
        <v>6</v>
      </c>
      <c r="B44" s="6" t="s">
        <v>7</v>
      </c>
      <c r="C44" s="6" t="s">
        <v>8</v>
      </c>
      <c r="D44" s="6" t="s">
        <v>9</v>
      </c>
      <c r="E44" s="6" t="s">
        <v>10</v>
      </c>
      <c r="F44" s="6" t="s">
        <v>11</v>
      </c>
      <c r="H44" s="6" t="s">
        <v>6</v>
      </c>
      <c r="I44" s="6" t="s">
        <v>7</v>
      </c>
      <c r="J44" s="6" t="s">
        <v>8</v>
      </c>
      <c r="K44" s="6" t="s">
        <v>9</v>
      </c>
      <c r="L44" s="6" t="s">
        <v>10</v>
      </c>
      <c r="M44" s="6" t="s">
        <v>11</v>
      </c>
      <c r="O44" s="6" t="s">
        <v>6</v>
      </c>
      <c r="P44" s="6" t="s">
        <v>7</v>
      </c>
      <c r="Q44" s="6" t="s">
        <v>8</v>
      </c>
      <c r="R44" s="6" t="s">
        <v>9</v>
      </c>
      <c r="S44" s="6" t="s">
        <v>10</v>
      </c>
      <c r="T44" s="6" t="s">
        <v>11</v>
      </c>
    </row>
    <row r="45" spans="1:20" x14ac:dyDescent="0.35">
      <c r="A45" s="40">
        <v>21.000113679224601</v>
      </c>
      <c r="B45" s="40">
        <v>361.219263971842</v>
      </c>
      <c r="C45" s="40">
        <v>312.21561195695801</v>
      </c>
      <c r="D45" s="40">
        <v>3064.7300781807198</v>
      </c>
      <c r="E45" s="40">
        <v>81.373174551524002</v>
      </c>
      <c r="F45" s="40">
        <v>377.46622571775498</v>
      </c>
      <c r="H45" s="40">
        <v>3.6351E-3</v>
      </c>
      <c r="I45" s="40">
        <v>4.9113000000000004E-3</v>
      </c>
      <c r="J45" s="40">
        <v>7.1076999999999998E-3</v>
      </c>
      <c r="K45" s="40">
        <v>5.9002000000000004E-3</v>
      </c>
      <c r="L45" s="40">
        <v>1.0314800000000001E-2</v>
      </c>
      <c r="M45" s="40">
        <v>4.9163000000000002E-3</v>
      </c>
      <c r="O45" s="40">
        <v>5.4043195528446004</v>
      </c>
      <c r="P45" s="40">
        <v>5.4043195528446004</v>
      </c>
      <c r="Q45" s="40">
        <v>5.4043195528446004</v>
      </c>
      <c r="R45" s="40">
        <v>5.4043195528446004</v>
      </c>
      <c r="S45" s="40">
        <v>5.4043195528446004</v>
      </c>
      <c r="T45" s="40">
        <v>5.4043195528446004</v>
      </c>
    </row>
    <row r="46" spans="1:20" x14ac:dyDescent="0.35">
      <c r="A46" s="40">
        <v>17.201826904066898</v>
      </c>
      <c r="B46" s="40">
        <v>712.90560771157095</v>
      </c>
      <c r="C46" s="40">
        <v>225.77499281924801</v>
      </c>
      <c r="D46" s="40">
        <v>2752.6545190095599</v>
      </c>
      <c r="E46" s="40">
        <v>72.639187107328397</v>
      </c>
      <c r="F46" s="40">
        <v>414.02273126340299</v>
      </c>
      <c r="H46" s="40">
        <v>3.2954E-3</v>
      </c>
      <c r="I46" s="40">
        <v>3.6963E-3</v>
      </c>
      <c r="J46" s="40">
        <v>6.2359E-3</v>
      </c>
      <c r="K46" s="40">
        <v>3.9053999999999998E-3</v>
      </c>
      <c r="L46" s="40">
        <v>9.4392E-3</v>
      </c>
      <c r="M46" s="40">
        <v>3.5377E-3</v>
      </c>
      <c r="O46" s="40">
        <v>5.4043195528446004</v>
      </c>
      <c r="P46" s="40">
        <v>5.4043195528446004</v>
      </c>
      <c r="Q46" s="40">
        <v>5.4043195528446004</v>
      </c>
      <c r="R46" s="40">
        <v>5.4043195528446004</v>
      </c>
      <c r="S46" s="40">
        <v>5.4043195528446004</v>
      </c>
      <c r="T46" s="40">
        <v>5.4043195528446004</v>
      </c>
    </row>
    <row r="47" spans="1:20" x14ac:dyDescent="0.35">
      <c r="A47" s="40">
        <v>13.3384115325977</v>
      </c>
      <c r="B47" s="40">
        <v>419.77180462312299</v>
      </c>
      <c r="C47" s="40">
        <v>193.92602274348801</v>
      </c>
      <c r="D47" s="40">
        <v>127.589066995053</v>
      </c>
      <c r="E47" s="40">
        <v>75.101456130147199</v>
      </c>
      <c r="F47" s="40">
        <v>417.867486959926</v>
      </c>
      <c r="H47" s="40">
        <v>2.7458999999999999E-3</v>
      </c>
      <c r="I47" s="40">
        <v>4.1146000000000004E-3</v>
      </c>
      <c r="J47" s="40">
        <v>6.4530999999999998E-3</v>
      </c>
      <c r="K47" s="40">
        <v>3.9319999999999997E-3</v>
      </c>
      <c r="L47" s="40">
        <v>9.4477999999999993E-3</v>
      </c>
      <c r="M47" s="40">
        <v>3.5019000000000001E-3</v>
      </c>
      <c r="O47" s="40">
        <v>5.4043195528446004</v>
      </c>
      <c r="P47" s="40">
        <v>5.4043195528446004</v>
      </c>
      <c r="Q47" s="40">
        <v>5.4043195528446004</v>
      </c>
      <c r="R47" s="40">
        <v>5.4043195528446004</v>
      </c>
      <c r="S47" s="40">
        <v>5.4043195528446004</v>
      </c>
      <c r="T47" s="40">
        <v>5.4043195528446004</v>
      </c>
    </row>
    <row r="48" spans="1:20" x14ac:dyDescent="0.35">
      <c r="A48" s="40">
        <v>19.646153655615201</v>
      </c>
      <c r="B48" s="40">
        <v>618.38510795454795</v>
      </c>
      <c r="C48" s="40">
        <v>613.84123557953603</v>
      </c>
      <c r="D48" s="40">
        <v>21583.286056015801</v>
      </c>
      <c r="E48" s="40">
        <v>81.206676447558806</v>
      </c>
      <c r="F48" s="40">
        <v>449.45084510900801</v>
      </c>
      <c r="H48" s="40">
        <v>2.4510000000000001E-3</v>
      </c>
      <c r="I48" s="40">
        <v>3.6584999999999999E-3</v>
      </c>
      <c r="J48" s="40">
        <v>6.1333999999999998E-3</v>
      </c>
      <c r="K48" s="40">
        <v>4.1786000000000002E-3</v>
      </c>
      <c r="L48" s="40">
        <v>9.4479000000000004E-3</v>
      </c>
      <c r="M48" s="40">
        <v>3.7621999999999998E-3</v>
      </c>
      <c r="O48" s="40">
        <v>5.4043195528446004</v>
      </c>
      <c r="P48" s="40">
        <v>5.4043195528446004</v>
      </c>
      <c r="Q48" s="40">
        <v>5.4043195528446004</v>
      </c>
      <c r="R48" s="40">
        <v>5.4043195528446004</v>
      </c>
      <c r="S48" s="40">
        <v>5.4043195528446004</v>
      </c>
      <c r="T48" s="40">
        <v>5.4043195528446004</v>
      </c>
    </row>
    <row r="49" spans="1:20" x14ac:dyDescent="0.35">
      <c r="A49" s="40">
        <v>13.2189844769432</v>
      </c>
      <c r="B49" s="40">
        <v>514.06730599856098</v>
      </c>
      <c r="C49" s="40">
        <v>238.72838045589401</v>
      </c>
      <c r="D49" s="40">
        <v>455.942499614356</v>
      </c>
      <c r="E49" s="40">
        <v>77.668519149960602</v>
      </c>
      <c r="F49" s="40">
        <v>643.70010583816099</v>
      </c>
      <c r="H49" s="40">
        <v>2.5379999999999999E-3</v>
      </c>
      <c r="I49" s="40">
        <v>3.7566000000000001E-3</v>
      </c>
      <c r="J49" s="40">
        <v>6.7838000000000004E-3</v>
      </c>
      <c r="K49" s="40">
        <v>3.6721000000000002E-3</v>
      </c>
      <c r="L49" s="40">
        <v>9.1176999999999994E-3</v>
      </c>
      <c r="M49" s="40">
        <v>3.9537000000000001E-3</v>
      </c>
      <c r="O49" s="40">
        <v>5.4043195528446004</v>
      </c>
      <c r="P49" s="40">
        <v>5.4043195528446004</v>
      </c>
      <c r="Q49" s="40">
        <v>5.4043195528446004</v>
      </c>
      <c r="R49" s="40">
        <v>5.4043195528446004</v>
      </c>
      <c r="S49" s="40">
        <v>5.4043195528446004</v>
      </c>
      <c r="T49" s="40">
        <v>5.4043195528446004</v>
      </c>
    </row>
    <row r="50" spans="1:20" x14ac:dyDescent="0.35">
      <c r="A50" s="40">
        <v>8.7683182355495095</v>
      </c>
      <c r="B50" s="40">
        <v>386.20464316410198</v>
      </c>
      <c r="C50" s="40">
        <v>300.21449132709199</v>
      </c>
      <c r="D50" s="40">
        <v>4567.4698751302103</v>
      </c>
      <c r="E50" s="40">
        <v>81.533277593349993</v>
      </c>
      <c r="F50" s="40">
        <v>700.574415855403</v>
      </c>
      <c r="H50" s="40">
        <v>3.0565000000000002E-3</v>
      </c>
      <c r="I50" s="40">
        <v>3.5980000000000001E-3</v>
      </c>
      <c r="J50" s="40">
        <v>7.6712000000000004E-3</v>
      </c>
      <c r="K50" s="40">
        <v>3.6828E-3</v>
      </c>
      <c r="L50" s="40">
        <v>9.7383000000000001E-3</v>
      </c>
      <c r="M50" s="40">
        <v>3.6009000000000002E-3</v>
      </c>
      <c r="O50" s="40">
        <v>5.4043195528446004</v>
      </c>
      <c r="P50" s="40">
        <v>5.4043195528446004</v>
      </c>
      <c r="Q50" s="40">
        <v>5.4043195528446004</v>
      </c>
      <c r="R50" s="40">
        <v>5.4043195528446004</v>
      </c>
      <c r="S50" s="40">
        <v>5.4043195528446004</v>
      </c>
      <c r="T50" s="40">
        <v>5.4043195528446004</v>
      </c>
    </row>
    <row r="51" spans="1:20" x14ac:dyDescent="0.35">
      <c r="A51" s="40">
        <v>19.313434383748699</v>
      </c>
      <c r="B51" s="40">
        <v>459.76561172680499</v>
      </c>
      <c r="C51" s="40">
        <v>334.89901376983801</v>
      </c>
      <c r="D51" s="40">
        <v>2734.2572651699302</v>
      </c>
      <c r="E51" s="40">
        <v>72.604291006863804</v>
      </c>
      <c r="F51" s="40">
        <v>556.87732027611003</v>
      </c>
      <c r="H51" s="40">
        <v>2.8950999999999998E-3</v>
      </c>
      <c r="I51" s="40">
        <v>4.3942E-3</v>
      </c>
      <c r="J51" s="40">
        <v>6.2198000000000002E-3</v>
      </c>
      <c r="K51" s="40">
        <v>3.4891000000000002E-3</v>
      </c>
      <c r="L51" s="40">
        <v>9.0890999999999993E-3</v>
      </c>
      <c r="M51" s="40">
        <v>3.5704E-3</v>
      </c>
      <c r="O51" s="40">
        <v>5.4043195528446004</v>
      </c>
      <c r="P51" s="40">
        <v>5.4043195528446004</v>
      </c>
      <c r="Q51" s="40">
        <v>5.4043195528446004</v>
      </c>
      <c r="R51" s="40">
        <v>5.4043195528446004</v>
      </c>
      <c r="S51" s="40">
        <v>5.4043195528446004</v>
      </c>
      <c r="T51" s="40">
        <v>5.4043195528446004</v>
      </c>
    </row>
    <row r="52" spans="1:20" x14ac:dyDescent="0.35">
      <c r="A52" s="40">
        <v>19.835639608724001</v>
      </c>
      <c r="B52" s="40">
        <v>718.35499648344296</v>
      </c>
      <c r="C52" s="40">
        <v>267.78585526820899</v>
      </c>
      <c r="D52" s="40">
        <v>1604.7806623619001</v>
      </c>
      <c r="E52" s="40">
        <v>89.8459877095449</v>
      </c>
      <c r="F52" s="40">
        <v>547.21495078221801</v>
      </c>
      <c r="H52" s="40">
        <v>2.5959999999999998E-3</v>
      </c>
      <c r="I52" s="40">
        <v>3.7176000000000002E-3</v>
      </c>
      <c r="J52" s="40">
        <v>6.9020000000000001E-3</v>
      </c>
      <c r="K52" s="40">
        <v>3.5325999999999999E-3</v>
      </c>
      <c r="L52" s="40">
        <v>9.6970000000000008E-3</v>
      </c>
      <c r="M52" s="40">
        <v>3.7858000000000002E-3</v>
      </c>
      <c r="O52" s="40">
        <v>5.4043195528446004</v>
      </c>
      <c r="P52" s="40">
        <v>5.4043195528446004</v>
      </c>
      <c r="Q52" s="40">
        <v>5.4043195528446004</v>
      </c>
      <c r="R52" s="40">
        <v>5.4043195528446004</v>
      </c>
      <c r="S52" s="40">
        <v>5.4043195528446004</v>
      </c>
      <c r="T52" s="40">
        <v>5.4043195528446004</v>
      </c>
    </row>
    <row r="53" spans="1:20" x14ac:dyDescent="0.35">
      <c r="A53" s="40">
        <v>17.5915379926094</v>
      </c>
      <c r="B53" s="40">
        <v>636.74967713050296</v>
      </c>
      <c r="C53" s="40">
        <v>446.56129062619902</v>
      </c>
      <c r="D53" s="40">
        <v>1282.09240088314</v>
      </c>
      <c r="E53" s="40">
        <v>81.235646480551097</v>
      </c>
      <c r="F53" s="40">
        <v>663.19908385766598</v>
      </c>
      <c r="H53" s="40">
        <v>2.4528000000000002E-3</v>
      </c>
      <c r="I53" s="40">
        <v>4.0822000000000002E-3</v>
      </c>
      <c r="J53" s="40">
        <v>6.3001999999999997E-3</v>
      </c>
      <c r="K53" s="40">
        <v>4.1761999999999997E-3</v>
      </c>
      <c r="L53" s="40">
        <v>9.7610000000000006E-3</v>
      </c>
      <c r="M53" s="40">
        <v>4.2050999999999998E-3</v>
      </c>
      <c r="O53" s="40">
        <v>5.4043195528446004</v>
      </c>
      <c r="P53" s="40">
        <v>5.4043195528446004</v>
      </c>
      <c r="Q53" s="40">
        <v>5.4043195528446004</v>
      </c>
      <c r="R53" s="40">
        <v>5.4043195528446004</v>
      </c>
      <c r="S53" s="40">
        <v>5.4043195528446004</v>
      </c>
      <c r="T53" s="40">
        <v>5.4043195528446004</v>
      </c>
    </row>
    <row r="54" spans="1:20" x14ac:dyDescent="0.35">
      <c r="A54" s="40">
        <v>12.091695463433201</v>
      </c>
      <c r="B54" s="40">
        <v>380.16972779020199</v>
      </c>
      <c r="C54" s="40">
        <v>332.69617237345801</v>
      </c>
      <c r="D54" s="40">
        <v>7534.3514529816302</v>
      </c>
      <c r="E54" s="40">
        <v>78.070203944441602</v>
      </c>
      <c r="F54" s="40">
        <v>596.76314579354096</v>
      </c>
      <c r="H54" s="40">
        <v>2.4716E-3</v>
      </c>
      <c r="I54" s="40">
        <v>3.9237999999999999E-3</v>
      </c>
      <c r="J54" s="40">
        <v>6.4800999999999999E-3</v>
      </c>
      <c r="K54" s="40">
        <v>3.4867000000000001E-3</v>
      </c>
      <c r="L54" s="40">
        <v>8.6776000000000006E-3</v>
      </c>
      <c r="M54" s="40">
        <v>3.4811E-3</v>
      </c>
      <c r="O54" s="40">
        <v>5.4043195528446004</v>
      </c>
      <c r="P54" s="40">
        <v>5.4043195528446004</v>
      </c>
      <c r="Q54" s="40">
        <v>5.4043195528446004</v>
      </c>
      <c r="R54" s="40">
        <v>5.4043195528446004</v>
      </c>
      <c r="S54" s="40">
        <v>5.4043195528446004</v>
      </c>
      <c r="T54" s="40">
        <v>5.4043195528446004</v>
      </c>
    </row>
    <row r="55" spans="1:20" x14ac:dyDescent="0.35">
      <c r="A55" s="40">
        <v>10.0786840656514</v>
      </c>
      <c r="B55" s="40">
        <v>523.35609071557201</v>
      </c>
      <c r="C55" s="40">
        <v>203.94016182048</v>
      </c>
      <c r="D55" s="40">
        <v>438.544572820182</v>
      </c>
      <c r="E55" s="40">
        <v>73.947715321459</v>
      </c>
      <c r="F55" s="40">
        <v>481.10419342241198</v>
      </c>
      <c r="H55" s="40">
        <v>3.5744000000000001E-3</v>
      </c>
      <c r="I55" s="40">
        <v>3.6589999999999999E-3</v>
      </c>
      <c r="J55" s="40">
        <v>5.9941999999999999E-3</v>
      </c>
      <c r="K55" s="40">
        <v>3.6242000000000002E-3</v>
      </c>
      <c r="L55" s="40">
        <v>1.02334E-2</v>
      </c>
      <c r="M55" s="40">
        <v>3.5295000000000001E-3</v>
      </c>
      <c r="O55" s="40">
        <v>5.4043195528446004</v>
      </c>
      <c r="P55" s="40">
        <v>5.4043195528446004</v>
      </c>
      <c r="Q55" s="40">
        <v>5.4043195528446004</v>
      </c>
      <c r="R55" s="40">
        <v>5.4043195528446004</v>
      </c>
      <c r="S55" s="40">
        <v>5.4043195528446004</v>
      </c>
      <c r="T55" s="40">
        <v>5.4043195528446004</v>
      </c>
    </row>
    <row r="56" spans="1:20" x14ac:dyDescent="0.35">
      <c r="A56" s="40">
        <v>14.719680088306299</v>
      </c>
      <c r="B56" s="40">
        <v>406.19526488642299</v>
      </c>
      <c r="C56" s="40">
        <v>231.407444851409</v>
      </c>
      <c r="D56" s="40">
        <v>37182.067807248503</v>
      </c>
      <c r="E56" s="40">
        <v>70.555612400827499</v>
      </c>
      <c r="F56" s="40">
        <v>298.29568607516899</v>
      </c>
      <c r="H56" s="40">
        <v>3.8094000000000001E-3</v>
      </c>
      <c r="I56" s="40">
        <v>3.6151999999999998E-3</v>
      </c>
      <c r="J56" s="40">
        <v>6.3336E-3</v>
      </c>
      <c r="K56" s="40">
        <v>3.6448000000000001E-3</v>
      </c>
      <c r="L56" s="40">
        <v>8.7869999999999997E-3</v>
      </c>
      <c r="M56" s="40">
        <v>4.6833999999999999E-3</v>
      </c>
      <c r="O56" s="40">
        <v>5.4043195528446004</v>
      </c>
      <c r="P56" s="40">
        <v>5.4043195528446004</v>
      </c>
      <c r="Q56" s="40">
        <v>5.4043195528446004</v>
      </c>
      <c r="R56" s="40">
        <v>5.4043195528446004</v>
      </c>
      <c r="S56" s="40">
        <v>5.4043195528446004</v>
      </c>
      <c r="T56" s="40">
        <v>5.4043195528446004</v>
      </c>
    </row>
    <row r="57" spans="1:20" x14ac:dyDescent="0.35">
      <c r="A57" s="40">
        <v>16.213530304866701</v>
      </c>
      <c r="B57" s="40">
        <v>375.29530755088803</v>
      </c>
      <c r="C57" s="40">
        <v>353.27810018237102</v>
      </c>
      <c r="D57" s="40">
        <v>1201.34542028184</v>
      </c>
      <c r="E57" s="40">
        <v>80.304296063836802</v>
      </c>
      <c r="F57" s="40">
        <v>516.47086514924604</v>
      </c>
      <c r="H57" s="40">
        <v>3.4309000000000002E-3</v>
      </c>
      <c r="I57" s="40">
        <v>4.1142000000000001E-3</v>
      </c>
      <c r="J57" s="40">
        <v>6.6124E-3</v>
      </c>
      <c r="K57" s="40">
        <v>4.1241999999999997E-3</v>
      </c>
      <c r="L57" s="40">
        <v>9.4039999999999992E-3</v>
      </c>
      <c r="M57" s="40">
        <v>3.6256999999999999E-3</v>
      </c>
      <c r="O57" s="40">
        <v>5.4043195528446004</v>
      </c>
      <c r="P57" s="40">
        <v>5.4043195528446004</v>
      </c>
      <c r="Q57" s="40">
        <v>5.4043195528446004</v>
      </c>
      <c r="R57" s="40">
        <v>5.4043195528446004</v>
      </c>
      <c r="S57" s="40">
        <v>5.4043195528446004</v>
      </c>
      <c r="T57" s="40">
        <v>5.4043195528446004</v>
      </c>
    </row>
    <row r="58" spans="1:20" x14ac:dyDescent="0.35">
      <c r="A58" s="40">
        <v>19.080325269724799</v>
      </c>
      <c r="B58" s="40">
        <v>573.26671192799495</v>
      </c>
      <c r="C58" s="40">
        <v>310.78848678953398</v>
      </c>
      <c r="D58" s="40">
        <v>21286.6831722889</v>
      </c>
      <c r="E58" s="40">
        <v>67.5015645660377</v>
      </c>
      <c r="F58" s="40">
        <v>632.89618391597799</v>
      </c>
      <c r="H58" s="40">
        <v>2.9761000000000002E-3</v>
      </c>
      <c r="I58" s="40">
        <v>4.2643000000000004E-3</v>
      </c>
      <c r="J58" s="40">
        <v>6.5306000000000001E-3</v>
      </c>
      <c r="K58" s="40">
        <v>3.6350000000000002E-3</v>
      </c>
      <c r="L58" s="40">
        <v>9.7441000000000003E-3</v>
      </c>
      <c r="M58" s="40">
        <v>3.5626E-3</v>
      </c>
      <c r="O58" s="40">
        <v>5.4043195528446004</v>
      </c>
      <c r="P58" s="40">
        <v>5.4043195528446004</v>
      </c>
      <c r="Q58" s="40">
        <v>5.4043195528446004</v>
      </c>
      <c r="R58" s="40">
        <v>5.4043195528446004</v>
      </c>
      <c r="S58" s="40">
        <v>5.4043195528446004</v>
      </c>
      <c r="T58" s="40">
        <v>5.4043195528446004</v>
      </c>
    </row>
    <row r="59" spans="1:20" x14ac:dyDescent="0.35">
      <c r="A59" s="40">
        <v>10.1712584905812</v>
      </c>
      <c r="B59" s="40">
        <v>472.81771426390299</v>
      </c>
      <c r="C59" s="40">
        <v>467.94282272783602</v>
      </c>
      <c r="D59" s="40">
        <v>2714.3091373416</v>
      </c>
      <c r="E59" s="40">
        <v>76.866049582493403</v>
      </c>
      <c r="F59" s="40">
        <v>669.53331204346898</v>
      </c>
      <c r="H59" s="40">
        <v>2.5498999999999999E-3</v>
      </c>
      <c r="I59" s="40">
        <v>3.5661E-3</v>
      </c>
      <c r="J59" s="40">
        <v>6.3245999999999997E-3</v>
      </c>
      <c r="K59" s="40">
        <v>3.3985E-3</v>
      </c>
      <c r="L59" s="40">
        <v>9.4114000000000003E-3</v>
      </c>
      <c r="M59" s="40">
        <v>3.6094999999999999E-3</v>
      </c>
      <c r="O59" s="40">
        <v>5.4043195528446004</v>
      </c>
      <c r="P59" s="40">
        <v>5.4043195528446004</v>
      </c>
      <c r="Q59" s="40">
        <v>5.4043195528446004</v>
      </c>
      <c r="R59" s="40">
        <v>5.4043195528446004</v>
      </c>
      <c r="S59" s="40">
        <v>5.4043195528446004</v>
      </c>
      <c r="T59" s="40">
        <v>5.4043195528446004</v>
      </c>
    </row>
    <row r="60" spans="1:20" x14ac:dyDescent="0.35">
      <c r="A60" s="40">
        <v>18.2202701556315</v>
      </c>
      <c r="B60" s="40">
        <v>506.87086496130098</v>
      </c>
      <c r="C60" s="40">
        <v>341.549452825066</v>
      </c>
      <c r="D60" s="40">
        <v>214.53908886974099</v>
      </c>
      <c r="E60" s="40">
        <v>75.568483161065402</v>
      </c>
      <c r="F60" s="40">
        <v>448.72391215091801</v>
      </c>
      <c r="H60" s="40">
        <v>3.8777E-3</v>
      </c>
      <c r="I60" s="40">
        <v>3.4746E-3</v>
      </c>
      <c r="J60" s="40">
        <v>6.8100000000000001E-3</v>
      </c>
      <c r="K60" s="40">
        <v>3.6933000000000001E-3</v>
      </c>
      <c r="L60" s="40">
        <v>1.00541E-2</v>
      </c>
      <c r="M60" s="40">
        <v>4.4615000000000002E-3</v>
      </c>
      <c r="O60" s="40">
        <v>5.4043195528446004</v>
      </c>
      <c r="P60" s="40">
        <v>5.4043195528446004</v>
      </c>
      <c r="Q60" s="40">
        <v>5.4043195528446004</v>
      </c>
      <c r="R60" s="40">
        <v>5.4043195528446004</v>
      </c>
      <c r="S60" s="40">
        <v>5.4043195528446004</v>
      </c>
      <c r="T60" s="40">
        <v>5.4043195528446004</v>
      </c>
    </row>
    <row r="61" spans="1:20" x14ac:dyDescent="0.35">
      <c r="A61" s="40">
        <v>13.2806958170244</v>
      </c>
      <c r="B61" s="40">
        <v>555.35422112022502</v>
      </c>
      <c r="C61" s="40">
        <v>206.118459492683</v>
      </c>
      <c r="D61" s="40">
        <v>774.07954698697301</v>
      </c>
      <c r="E61" s="40">
        <v>93.081811623297995</v>
      </c>
      <c r="F61" s="40">
        <v>396.850206473892</v>
      </c>
      <c r="H61" s="40">
        <v>4.0356999999999997E-3</v>
      </c>
      <c r="I61" s="40">
        <v>4.0084999999999999E-3</v>
      </c>
      <c r="J61" s="40">
        <v>6.0038000000000001E-3</v>
      </c>
      <c r="K61" s="40">
        <v>3.9772999999999996E-3</v>
      </c>
      <c r="L61" s="40">
        <v>8.7258000000000006E-3</v>
      </c>
      <c r="M61" s="40">
        <v>3.7177999999999998E-3</v>
      </c>
      <c r="O61" s="40">
        <v>5.4043195528446004</v>
      </c>
      <c r="P61" s="40">
        <v>5.4043195528446004</v>
      </c>
      <c r="Q61" s="40">
        <v>5.4043195528446004</v>
      </c>
      <c r="R61" s="40">
        <v>5.4043195528446004</v>
      </c>
      <c r="S61" s="40">
        <v>5.4043195528446004</v>
      </c>
      <c r="T61" s="40">
        <v>5.4043195528446004</v>
      </c>
    </row>
    <row r="62" spans="1:20" x14ac:dyDescent="0.35">
      <c r="A62" s="40">
        <v>16.9059590590327</v>
      </c>
      <c r="B62" s="40">
        <v>428.66530941784299</v>
      </c>
      <c r="C62" s="40">
        <v>320.577399699762</v>
      </c>
      <c r="D62" s="40">
        <v>10637.337742216099</v>
      </c>
      <c r="E62" s="40">
        <v>81.400577216283097</v>
      </c>
      <c r="F62" s="40">
        <v>208.8296296794</v>
      </c>
      <c r="H62" s="40">
        <v>2.7079999999999999E-3</v>
      </c>
      <c r="I62" s="40">
        <v>4.1751999999999996E-3</v>
      </c>
      <c r="J62" s="40">
        <v>6.9008999999999997E-3</v>
      </c>
      <c r="K62" s="40">
        <v>3.6928E-3</v>
      </c>
      <c r="L62" s="40">
        <v>9.8337000000000008E-3</v>
      </c>
      <c r="M62" s="40">
        <v>3.4876E-3</v>
      </c>
      <c r="O62" s="40">
        <v>5.4043195528446004</v>
      </c>
      <c r="P62" s="40">
        <v>5.4043195528446004</v>
      </c>
      <c r="Q62" s="40">
        <v>5.4043195528446004</v>
      </c>
      <c r="R62" s="40">
        <v>5.4043195528446004</v>
      </c>
      <c r="S62" s="40">
        <v>5.4043195528446004</v>
      </c>
      <c r="T62" s="40">
        <v>5.4043195528446004</v>
      </c>
    </row>
    <row r="63" spans="1:20" x14ac:dyDescent="0.35">
      <c r="A63" s="40">
        <v>25.167293084938901</v>
      </c>
      <c r="B63" s="40">
        <v>448.79716313492702</v>
      </c>
      <c r="C63" s="40">
        <v>615.54875283664796</v>
      </c>
      <c r="D63" s="40">
        <v>11732.9795007632</v>
      </c>
      <c r="E63" s="40">
        <v>79.918392317421706</v>
      </c>
      <c r="F63" s="40">
        <v>445.59713494719301</v>
      </c>
      <c r="H63" s="40">
        <v>2.4853000000000002E-3</v>
      </c>
      <c r="I63" s="40">
        <v>3.5829E-3</v>
      </c>
      <c r="J63" s="40">
        <v>6.0409000000000001E-3</v>
      </c>
      <c r="K63" s="40">
        <v>3.4088E-3</v>
      </c>
      <c r="L63" s="40">
        <v>9.9693999999999998E-3</v>
      </c>
      <c r="M63" s="40">
        <v>3.5826999999999999E-3</v>
      </c>
      <c r="O63" s="40">
        <v>5.4043195528446004</v>
      </c>
      <c r="P63" s="40">
        <v>5.4043195528446004</v>
      </c>
      <c r="Q63" s="40">
        <v>5.4043195528446004</v>
      </c>
      <c r="R63" s="40">
        <v>5.4043195528446004</v>
      </c>
      <c r="S63" s="40">
        <v>5.4043195528446004</v>
      </c>
      <c r="T63" s="40">
        <v>5.4043195528446004</v>
      </c>
    </row>
    <row r="64" spans="1:20" x14ac:dyDescent="0.35">
      <c r="A64" s="40">
        <v>21.7461022696641</v>
      </c>
      <c r="B64" s="40">
        <v>417.35140475389602</v>
      </c>
      <c r="C64" s="40">
        <v>352.11553723616601</v>
      </c>
      <c r="D64" s="40">
        <v>225.00481879734201</v>
      </c>
      <c r="E64" s="40">
        <v>79.292661501383606</v>
      </c>
      <c r="F64" s="40">
        <v>421.82322322471401</v>
      </c>
      <c r="H64" s="40">
        <v>2.5313000000000002E-3</v>
      </c>
      <c r="I64" s="40">
        <v>3.4919999999999999E-3</v>
      </c>
      <c r="J64" s="40">
        <v>6.4551000000000001E-3</v>
      </c>
      <c r="K64" s="40">
        <v>3.643E-3</v>
      </c>
      <c r="L64" s="40">
        <v>8.8845E-3</v>
      </c>
      <c r="M64" s="40">
        <v>4.4418000000000001E-3</v>
      </c>
      <c r="O64" s="40">
        <v>5.4043195528446004</v>
      </c>
      <c r="P64" s="40">
        <v>5.4043195528446004</v>
      </c>
      <c r="Q64" s="40">
        <v>5.4043195528446004</v>
      </c>
      <c r="R64" s="40">
        <v>5.4043195528446004</v>
      </c>
      <c r="S64" s="40">
        <v>5.4043195528446004</v>
      </c>
      <c r="T64" s="40">
        <v>5.4043195528446004</v>
      </c>
    </row>
  </sheetData>
  <mergeCells count="6">
    <mergeCell ref="O1:T1"/>
    <mergeCell ref="O34:T34"/>
    <mergeCell ref="A1:F1"/>
    <mergeCell ref="H1:M1"/>
    <mergeCell ref="A34:F34"/>
    <mergeCell ref="H34:M34"/>
  </mergeCells>
  <pageMargins left="0.7" right="0.7" top="0.75" bottom="0.75" header="0.3" footer="0.3"/>
  <pageSetup orientation="portrait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F9AA-C14C-4AD1-B56D-C1EEEC1BCA7C}">
  <sheetPr>
    <tabColor rgb="FFFFFF00"/>
  </sheetPr>
  <dimension ref="A1:Y60"/>
  <sheetViews>
    <sheetView topLeftCell="A34" workbookViewId="0">
      <selection activeCell="G11" sqref="G11"/>
    </sheetView>
  </sheetViews>
  <sheetFormatPr baseColWidth="10" defaultRowHeight="14.5" x14ac:dyDescent="0.35"/>
  <cols>
    <col min="2" max="2" width="10.90625" customWidth="1"/>
    <col min="3" max="3" width="11.81640625" customWidth="1"/>
    <col min="4" max="6" width="10.90625" customWidth="1"/>
    <col min="7" max="7" width="11.81640625" customWidth="1"/>
    <col min="8" max="10" width="10.90625" customWidth="1"/>
    <col min="11" max="11" width="11.81640625" customWidth="1"/>
    <col min="12" max="14" width="10.90625" customWidth="1"/>
    <col min="15" max="15" width="11.81640625" customWidth="1"/>
    <col min="16" max="17" width="10.90625" customWidth="1"/>
    <col min="19" max="19" width="11.81640625" bestFit="1" customWidth="1"/>
    <col min="23" max="23" width="11.81640625" bestFit="1" customWidth="1"/>
  </cols>
  <sheetData>
    <row r="1" spans="1:25" ht="15" thickBot="1" x14ac:dyDescent="0.4">
      <c r="A1" s="35" t="s">
        <v>48</v>
      </c>
    </row>
    <row r="2" spans="1:25" ht="15.5" x14ac:dyDescent="0.35">
      <c r="A2" s="12"/>
      <c r="B2" s="25" t="s">
        <v>6</v>
      </c>
      <c r="C2" s="26"/>
      <c r="D2" s="26"/>
      <c r="E2" s="27"/>
      <c r="F2" s="16" t="s">
        <v>7</v>
      </c>
      <c r="G2" s="17"/>
      <c r="H2" s="17"/>
      <c r="I2" s="18"/>
      <c r="J2" s="16" t="s">
        <v>8</v>
      </c>
      <c r="K2" s="17"/>
      <c r="L2" s="17"/>
      <c r="M2" s="18"/>
      <c r="N2" s="16" t="s">
        <v>9</v>
      </c>
      <c r="O2" s="17"/>
      <c r="P2" s="17"/>
      <c r="Q2" s="18"/>
      <c r="R2" s="16" t="s">
        <v>10</v>
      </c>
      <c r="S2" s="17"/>
      <c r="T2" s="17"/>
      <c r="U2" s="18"/>
      <c r="V2" s="16" t="s">
        <v>11</v>
      </c>
      <c r="W2" s="17"/>
      <c r="X2" s="17"/>
      <c r="Y2" s="18"/>
    </row>
    <row r="3" spans="1:25" ht="44" thickBot="1" x14ac:dyDescent="0.4">
      <c r="A3" s="6" t="s">
        <v>17</v>
      </c>
      <c r="B3" s="28" t="s">
        <v>18</v>
      </c>
      <c r="C3" s="29" t="s">
        <v>19</v>
      </c>
      <c r="D3" s="29" t="s">
        <v>20</v>
      </c>
      <c r="E3" s="30" t="s">
        <v>21</v>
      </c>
      <c r="F3" s="19" t="s">
        <v>18</v>
      </c>
      <c r="G3" s="13" t="s">
        <v>19</v>
      </c>
      <c r="H3" s="13" t="s">
        <v>20</v>
      </c>
      <c r="I3" s="20" t="s">
        <v>21</v>
      </c>
      <c r="J3" s="19" t="s">
        <v>18</v>
      </c>
      <c r="K3" s="13" t="s">
        <v>19</v>
      </c>
      <c r="L3" s="13" t="s">
        <v>20</v>
      </c>
      <c r="M3" s="20" t="s">
        <v>21</v>
      </c>
      <c r="N3" s="19" t="s">
        <v>18</v>
      </c>
      <c r="O3" s="13" t="s">
        <v>19</v>
      </c>
      <c r="P3" s="13" t="s">
        <v>20</v>
      </c>
      <c r="Q3" s="20" t="s">
        <v>21</v>
      </c>
      <c r="R3" s="19" t="s">
        <v>18</v>
      </c>
      <c r="S3" s="13" t="s">
        <v>19</v>
      </c>
      <c r="T3" s="13" t="s">
        <v>20</v>
      </c>
      <c r="U3" s="20" t="s">
        <v>21</v>
      </c>
      <c r="V3" s="19" t="s">
        <v>18</v>
      </c>
      <c r="W3" s="13" t="s">
        <v>19</v>
      </c>
      <c r="X3" s="13" t="s">
        <v>20</v>
      </c>
      <c r="Y3" s="20" t="s">
        <v>21</v>
      </c>
    </row>
    <row r="4" spans="1:25" x14ac:dyDescent="0.35">
      <c r="A4" s="6">
        <v>1</v>
      </c>
      <c r="B4" s="42">
        <v>0.35023966352133801</v>
      </c>
      <c r="C4" s="43">
        <v>1.0453474311811199E-2</v>
      </c>
      <c r="D4" s="36">
        <v>419</v>
      </c>
      <c r="E4" s="37" t="s">
        <v>27</v>
      </c>
      <c r="F4" s="46">
        <v>2.6885387697321601</v>
      </c>
      <c r="G4" s="47">
        <v>1.0453474311811199E-2</v>
      </c>
      <c r="H4" s="14">
        <v>423</v>
      </c>
      <c r="I4" s="21" t="s">
        <v>34</v>
      </c>
      <c r="J4" s="46">
        <v>12.421600876483801</v>
      </c>
      <c r="K4" s="47">
        <v>0.237684487542793</v>
      </c>
      <c r="L4" s="14">
        <v>295</v>
      </c>
      <c r="M4" s="21" t="s">
        <v>34</v>
      </c>
      <c r="N4" s="46">
        <v>9.2856287266090298E-2</v>
      </c>
      <c r="O4" s="47">
        <v>0.46422751473201801</v>
      </c>
      <c r="P4" s="14">
        <v>263</v>
      </c>
      <c r="Q4" s="21" t="s">
        <v>27</v>
      </c>
      <c r="R4" s="46">
        <v>6.1077324994465503</v>
      </c>
      <c r="S4" s="47">
        <v>1.3066842889764001E-2</v>
      </c>
      <c r="T4" s="14">
        <v>414</v>
      </c>
      <c r="U4" s="21" t="s">
        <v>34</v>
      </c>
      <c r="V4" s="46">
        <v>5.6732131413477402</v>
      </c>
      <c r="W4" s="47">
        <v>1.0453474311811199E-2</v>
      </c>
      <c r="X4" s="14">
        <v>424</v>
      </c>
      <c r="Y4" s="21" t="s">
        <v>34</v>
      </c>
    </row>
    <row r="5" spans="1:25" x14ac:dyDescent="0.35">
      <c r="A5" s="6">
        <v>2</v>
      </c>
      <c r="B5" s="42">
        <v>0.41547781915344001</v>
      </c>
      <c r="C5" s="43">
        <v>1.0453474311811199E-2</v>
      </c>
      <c r="D5" s="36">
        <v>417</v>
      </c>
      <c r="E5" s="37" t="s">
        <v>34</v>
      </c>
      <c r="F5" s="48">
        <v>6.8949037727571501</v>
      </c>
      <c r="G5" s="49">
        <v>2.55211775190704E-2</v>
      </c>
      <c r="H5" s="15">
        <v>381</v>
      </c>
      <c r="I5" s="22" t="s">
        <v>34</v>
      </c>
      <c r="J5" s="48">
        <v>13.135990367855999</v>
      </c>
      <c r="K5" s="49">
        <v>3.1901471898837998E-2</v>
      </c>
      <c r="L5" s="15">
        <v>374</v>
      </c>
      <c r="M5" s="22" t="s">
        <v>34</v>
      </c>
      <c r="N5" s="48">
        <v>7.1185993952143201E-2</v>
      </c>
      <c r="O5" s="49">
        <v>1.0453474311811199E-2</v>
      </c>
      <c r="P5" s="15">
        <v>424</v>
      </c>
      <c r="Q5" s="22" t="s">
        <v>34</v>
      </c>
      <c r="R5" s="48">
        <v>5.5211908759402997</v>
      </c>
      <c r="S5" s="49">
        <v>1.0453474311811199E-2</v>
      </c>
      <c r="T5" s="15">
        <v>418</v>
      </c>
      <c r="U5" s="22" t="s">
        <v>34</v>
      </c>
      <c r="V5" s="48">
        <v>8.4033848038909706</v>
      </c>
      <c r="W5" s="49">
        <v>1.6333553612204999E-2</v>
      </c>
      <c r="X5" s="15">
        <v>399</v>
      </c>
      <c r="Y5" s="22" t="s">
        <v>34</v>
      </c>
    </row>
    <row r="6" spans="1:25" x14ac:dyDescent="0.35">
      <c r="A6" s="6">
        <v>3</v>
      </c>
      <c r="B6" s="42">
        <v>0.23367573601598099</v>
      </c>
      <c r="C6" s="43">
        <v>1.3066842889764001E-2</v>
      </c>
      <c r="D6" s="36">
        <v>415</v>
      </c>
      <c r="E6" s="37" t="s">
        <v>34</v>
      </c>
      <c r="F6" s="46">
        <v>6.2094031737002799</v>
      </c>
      <c r="G6" s="47">
        <v>1.6333553612204999E-2</v>
      </c>
      <c r="H6" s="14">
        <v>402</v>
      </c>
      <c r="I6" s="21" t="s">
        <v>34</v>
      </c>
      <c r="J6" s="46">
        <v>16.5529968041301</v>
      </c>
      <c r="K6" s="47">
        <v>1.0453474311811199E-2</v>
      </c>
      <c r="L6" s="14">
        <v>422</v>
      </c>
      <c r="M6" s="21" t="s">
        <v>34</v>
      </c>
      <c r="N6" s="46">
        <v>1.7668252522929299E-2</v>
      </c>
      <c r="O6" s="47">
        <v>1.0453474311811199E-2</v>
      </c>
      <c r="P6" s="14">
        <v>419</v>
      </c>
      <c r="Q6" s="21" t="s">
        <v>34</v>
      </c>
      <c r="R6" s="46">
        <v>5.2830056609337497</v>
      </c>
      <c r="S6" s="47">
        <v>1.0453474311811199E-2</v>
      </c>
      <c r="T6" s="14">
        <v>418</v>
      </c>
      <c r="U6" s="21" t="s">
        <v>34</v>
      </c>
      <c r="V6" s="46">
        <v>3.27334478655172</v>
      </c>
      <c r="W6" s="47">
        <v>2.04169420152563E-2</v>
      </c>
      <c r="X6" s="14">
        <v>393</v>
      </c>
      <c r="Y6" s="21" t="s">
        <v>34</v>
      </c>
    </row>
    <row r="7" spans="1:25" x14ac:dyDescent="0.35">
      <c r="A7" s="6">
        <v>4</v>
      </c>
      <c r="B7" s="42">
        <v>0.27475333864329299</v>
      </c>
      <c r="C7" s="43">
        <v>3.1901471898837998E-2</v>
      </c>
      <c r="D7" s="36">
        <v>379</v>
      </c>
      <c r="E7" s="37" t="s">
        <v>27</v>
      </c>
      <c r="F7" s="48">
        <v>12.012708650972501</v>
      </c>
      <c r="G7" s="49">
        <v>1.0453474311811199E-2</v>
      </c>
      <c r="H7" s="15">
        <v>417</v>
      </c>
      <c r="I7" s="22" t="s">
        <v>34</v>
      </c>
      <c r="J7" s="48">
        <v>13.0456192840144</v>
      </c>
      <c r="K7" s="49">
        <v>1.0453474311811199E-2</v>
      </c>
      <c r="L7" s="15">
        <v>419</v>
      </c>
      <c r="M7" s="22" t="s">
        <v>34</v>
      </c>
      <c r="N7" s="48">
        <v>2.8225766389562201E-2</v>
      </c>
      <c r="O7" s="49">
        <v>1.6333553612204999E-2</v>
      </c>
      <c r="P7" s="15">
        <v>400</v>
      </c>
      <c r="Q7" s="22" t="s">
        <v>34</v>
      </c>
      <c r="R7" s="48">
        <v>4.5031915389445798</v>
      </c>
      <c r="S7" s="49">
        <v>3.9876839873547502E-2</v>
      </c>
      <c r="T7" s="15">
        <v>370</v>
      </c>
      <c r="U7" s="22" t="s">
        <v>34</v>
      </c>
      <c r="V7" s="48">
        <v>3.1562806402028998</v>
      </c>
      <c r="W7" s="49">
        <v>1.6333553612204999E-2</v>
      </c>
      <c r="X7" s="15">
        <v>400</v>
      </c>
      <c r="Y7" s="22" t="s">
        <v>34</v>
      </c>
    </row>
    <row r="8" spans="1:25" x14ac:dyDescent="0.35">
      <c r="A8" s="6">
        <v>5</v>
      </c>
      <c r="B8" s="42">
        <v>0.55082918669504999</v>
      </c>
      <c r="C8" s="43">
        <v>1.6333553612204999E-2</v>
      </c>
      <c r="D8" s="36">
        <v>398</v>
      </c>
      <c r="E8" s="37" t="s">
        <v>27</v>
      </c>
      <c r="F8" s="46">
        <v>3.8047731926209298</v>
      </c>
      <c r="G8" s="47">
        <v>1.6333553612204999E-2</v>
      </c>
      <c r="H8" s="14">
        <v>403</v>
      </c>
      <c r="I8" s="21" t="s">
        <v>34</v>
      </c>
      <c r="J8" s="46">
        <v>29.545388653152798</v>
      </c>
      <c r="K8" s="47">
        <v>1.3066842889764001E-2</v>
      </c>
      <c r="L8" s="14">
        <v>411</v>
      </c>
      <c r="M8" s="21" t="s">
        <v>34</v>
      </c>
      <c r="N8" s="46">
        <v>3.79142827014581</v>
      </c>
      <c r="O8" s="47">
        <v>3.9876839873547502E-2</v>
      </c>
      <c r="P8" s="14">
        <v>366</v>
      </c>
      <c r="Q8" s="21" t="s">
        <v>27</v>
      </c>
      <c r="R8" s="46">
        <v>5.0592089324645002</v>
      </c>
      <c r="S8" s="47">
        <v>1.0453474311811199E-2</v>
      </c>
      <c r="T8" s="14">
        <v>420</v>
      </c>
      <c r="U8" s="21" t="s">
        <v>34</v>
      </c>
      <c r="V8" s="46">
        <v>1.9190381754988199</v>
      </c>
      <c r="W8" s="47">
        <v>1.0453474311811199E-2</v>
      </c>
      <c r="X8" s="14">
        <v>424</v>
      </c>
      <c r="Y8" s="21" t="s">
        <v>34</v>
      </c>
    </row>
    <row r="9" spans="1:25" x14ac:dyDescent="0.35">
      <c r="A9" s="6">
        <v>6</v>
      </c>
      <c r="B9" s="42">
        <v>0.585782130218097</v>
      </c>
      <c r="C9" s="43">
        <v>1.0453474311811199E-2</v>
      </c>
      <c r="D9" s="36">
        <v>419</v>
      </c>
      <c r="E9" s="37" t="s">
        <v>34</v>
      </c>
      <c r="F9" s="48">
        <v>9.5737903894531993</v>
      </c>
      <c r="G9" s="49">
        <v>1.6333553612204999E-2</v>
      </c>
      <c r="H9" s="15">
        <v>402</v>
      </c>
      <c r="I9" s="22" t="s">
        <v>34</v>
      </c>
      <c r="J9" s="48">
        <v>11.8706987523818</v>
      </c>
      <c r="K9" s="49">
        <v>6.2307562302417997E-2</v>
      </c>
      <c r="L9" s="15">
        <v>352</v>
      </c>
      <c r="M9" s="22" t="s">
        <v>34</v>
      </c>
      <c r="N9" s="48">
        <v>0.82792373983478296</v>
      </c>
      <c r="O9" s="49">
        <v>10.555311626649599</v>
      </c>
      <c r="P9" s="15">
        <v>137</v>
      </c>
      <c r="Q9" s="22" t="s">
        <v>27</v>
      </c>
      <c r="R9" s="48">
        <v>6.84453490820054</v>
      </c>
      <c r="S9" s="49">
        <v>1.3066842889764001E-2</v>
      </c>
      <c r="T9" s="15">
        <v>413</v>
      </c>
      <c r="U9" s="22" t="s">
        <v>34</v>
      </c>
      <c r="V9" s="48">
        <v>8.3972282147029098</v>
      </c>
      <c r="W9" s="49">
        <v>4.9846049841934401E-2</v>
      </c>
      <c r="X9" s="15">
        <v>354</v>
      </c>
      <c r="Y9" s="22" t="s">
        <v>34</v>
      </c>
    </row>
    <row r="10" spans="1:25" x14ac:dyDescent="0.35">
      <c r="A10" s="6">
        <v>7</v>
      </c>
      <c r="B10" s="42">
        <v>0.43406626335597298</v>
      </c>
      <c r="C10" s="43">
        <v>1.0453474311811199E-2</v>
      </c>
      <c r="D10" s="36">
        <v>419</v>
      </c>
      <c r="E10" s="37" t="s">
        <v>34</v>
      </c>
      <c r="F10" s="46">
        <v>21.918863580651301</v>
      </c>
      <c r="G10" s="47">
        <v>1.0453474311811199E-2</v>
      </c>
      <c r="H10" s="14">
        <v>419</v>
      </c>
      <c r="I10" s="21" t="s">
        <v>34</v>
      </c>
      <c r="J10" s="46">
        <v>24.978483688553101</v>
      </c>
      <c r="K10" s="47">
        <v>2.04169420152563E-2</v>
      </c>
      <c r="L10" s="14">
        <v>392</v>
      </c>
      <c r="M10" s="21" t="s">
        <v>34</v>
      </c>
      <c r="N10" s="46">
        <v>0.290239970994006</v>
      </c>
      <c r="O10" s="47">
        <v>2.04169420152563E-2</v>
      </c>
      <c r="P10" s="14">
        <v>390</v>
      </c>
      <c r="Q10" s="21" t="s">
        <v>27</v>
      </c>
      <c r="R10" s="46">
        <v>4.5876788587246002</v>
      </c>
      <c r="S10" s="47">
        <v>1.0453474311811199E-2</v>
      </c>
      <c r="T10" s="14">
        <v>422</v>
      </c>
      <c r="U10" s="21" t="s">
        <v>34</v>
      </c>
      <c r="V10" s="46">
        <v>3.6589583881865102</v>
      </c>
      <c r="W10" s="47">
        <v>1.6333553612204999E-2</v>
      </c>
      <c r="X10" s="14">
        <v>402</v>
      </c>
      <c r="Y10" s="21" t="s">
        <v>34</v>
      </c>
    </row>
    <row r="11" spans="1:25" x14ac:dyDescent="0.35">
      <c r="A11" s="6">
        <v>8</v>
      </c>
      <c r="B11" s="42">
        <v>0.22878351933776001</v>
      </c>
      <c r="C11" s="43">
        <v>1.0453474311811199E-2</v>
      </c>
      <c r="D11" s="36">
        <v>420</v>
      </c>
      <c r="E11" s="37" t="s">
        <v>34</v>
      </c>
      <c r="F11" s="48">
        <v>3.9143629963045901</v>
      </c>
      <c r="G11" s="49">
        <v>2.55211775190704E-2</v>
      </c>
      <c r="H11" s="15">
        <v>381</v>
      </c>
      <c r="I11" s="22" t="s">
        <v>34</v>
      </c>
      <c r="J11" s="48">
        <v>21.897732811138599</v>
      </c>
      <c r="K11" s="49">
        <v>1.3066842889764001E-2</v>
      </c>
      <c r="L11" s="15">
        <v>412</v>
      </c>
      <c r="M11" s="22" t="s">
        <v>34</v>
      </c>
      <c r="N11" s="48">
        <v>0.46109393445362001</v>
      </c>
      <c r="O11" s="49">
        <v>6.2307562302417997E-2</v>
      </c>
      <c r="P11" s="15">
        <v>352</v>
      </c>
      <c r="Q11" s="22" t="s">
        <v>27</v>
      </c>
      <c r="R11" s="48">
        <v>5.1067993461679198</v>
      </c>
      <c r="S11" s="49">
        <v>1.3066842889764001E-2</v>
      </c>
      <c r="T11" s="15">
        <v>415</v>
      </c>
      <c r="U11" s="22" t="s">
        <v>34</v>
      </c>
      <c r="V11" s="48">
        <v>3.1958220065144198</v>
      </c>
      <c r="W11" s="49">
        <v>1.6333553612204999E-2</v>
      </c>
      <c r="X11" s="15">
        <v>400</v>
      </c>
      <c r="Y11" s="22" t="s">
        <v>34</v>
      </c>
    </row>
    <row r="12" spans="1:25" x14ac:dyDescent="0.35">
      <c r="A12" s="6">
        <v>9</v>
      </c>
      <c r="B12" s="42">
        <v>0.33034792405784102</v>
      </c>
      <c r="C12" s="43">
        <v>1.0453474311811199E-2</v>
      </c>
      <c r="D12" s="36">
        <v>417</v>
      </c>
      <c r="E12" s="37" t="s">
        <v>34</v>
      </c>
      <c r="F12" s="46">
        <v>4.4991227587379301</v>
      </c>
      <c r="G12" s="47">
        <v>1.6333553612204999E-2</v>
      </c>
      <c r="H12" s="14">
        <v>406</v>
      </c>
      <c r="I12" s="21" t="s">
        <v>34</v>
      </c>
      <c r="J12" s="46">
        <v>19.917078680764799</v>
      </c>
      <c r="K12" s="47">
        <v>1.6333553612204999E-2</v>
      </c>
      <c r="L12" s="14">
        <v>403</v>
      </c>
      <c r="M12" s="21" t="s">
        <v>34</v>
      </c>
      <c r="N12" s="46">
        <v>0.219737323418421</v>
      </c>
      <c r="O12" s="47">
        <v>1.6333553612204999E-2</v>
      </c>
      <c r="P12" s="14">
        <v>402</v>
      </c>
      <c r="Q12" s="21" t="s">
        <v>27</v>
      </c>
      <c r="R12" s="46">
        <v>5.4693847293574303</v>
      </c>
      <c r="S12" s="47">
        <v>2.55211775190704E-2</v>
      </c>
      <c r="T12" s="14">
        <v>383</v>
      </c>
      <c r="U12" s="21" t="s">
        <v>34</v>
      </c>
      <c r="V12" s="46">
        <v>7.2177937848048197</v>
      </c>
      <c r="W12" s="47">
        <v>1.3066842889764001E-2</v>
      </c>
      <c r="X12" s="14">
        <v>408</v>
      </c>
      <c r="Y12" s="21" t="s">
        <v>34</v>
      </c>
    </row>
    <row r="13" spans="1:25" x14ac:dyDescent="0.35">
      <c r="A13" s="6">
        <v>10</v>
      </c>
      <c r="B13" s="42">
        <v>0.511453234867702</v>
      </c>
      <c r="C13" s="43">
        <v>1.0453474311811199E-2</v>
      </c>
      <c r="D13" s="36">
        <v>423</v>
      </c>
      <c r="E13" s="37" t="s">
        <v>34</v>
      </c>
      <c r="F13" s="48">
        <v>3.2073747495025899</v>
      </c>
      <c r="G13" s="49">
        <v>1.0453474311811199E-2</v>
      </c>
      <c r="H13" s="15">
        <v>421</v>
      </c>
      <c r="I13" s="22" t="s">
        <v>34</v>
      </c>
      <c r="J13" s="48">
        <v>17.1792035272547</v>
      </c>
      <c r="K13" s="49">
        <v>1.3066842889764001E-2</v>
      </c>
      <c r="L13" s="15">
        <v>414</v>
      </c>
      <c r="M13" s="22" t="s">
        <v>34</v>
      </c>
      <c r="N13" s="48">
        <v>0.79270230331841096</v>
      </c>
      <c r="O13" s="49">
        <v>3.1901471898837998E-2</v>
      </c>
      <c r="P13" s="15">
        <v>375</v>
      </c>
      <c r="Q13" s="22" t="s">
        <v>34</v>
      </c>
      <c r="R13" s="48">
        <v>4.2823192366789096</v>
      </c>
      <c r="S13" s="49">
        <v>1.3066842889764001E-2</v>
      </c>
      <c r="T13" s="15">
        <v>407</v>
      </c>
      <c r="U13" s="22" t="s">
        <v>34</v>
      </c>
      <c r="V13" s="48">
        <v>11.2354466850463</v>
      </c>
      <c r="W13" s="49">
        <v>2.04169420152563E-2</v>
      </c>
      <c r="X13" s="15">
        <v>389</v>
      </c>
      <c r="Y13" s="22" t="s">
        <v>34</v>
      </c>
    </row>
    <row r="14" spans="1:25" x14ac:dyDescent="0.35">
      <c r="A14" s="6">
        <v>11</v>
      </c>
      <c r="B14" s="42">
        <v>0.48256533266680701</v>
      </c>
      <c r="C14" s="43">
        <v>1.0453474311811199E-2</v>
      </c>
      <c r="D14" s="36">
        <v>424</v>
      </c>
      <c r="E14" s="37" t="s">
        <v>34</v>
      </c>
      <c r="F14" s="46">
        <v>12.988623462398399</v>
      </c>
      <c r="G14" s="47">
        <v>1.0453474311811199E-2</v>
      </c>
      <c r="H14" s="14">
        <v>421</v>
      </c>
      <c r="I14" s="21" t="s">
        <v>34</v>
      </c>
      <c r="J14" s="46">
        <v>23.4824524117819</v>
      </c>
      <c r="K14" s="47">
        <v>2.55211775190704E-2</v>
      </c>
      <c r="L14" s="14">
        <v>384</v>
      </c>
      <c r="M14" s="21" t="s">
        <v>34</v>
      </c>
      <c r="N14" s="46">
        <v>2.38679902721125</v>
      </c>
      <c r="O14" s="47">
        <v>1.3066842889764001E-2</v>
      </c>
      <c r="P14" s="14">
        <v>412</v>
      </c>
      <c r="Q14" s="21" t="s">
        <v>27</v>
      </c>
      <c r="R14" s="46">
        <v>4.7539900640720498</v>
      </c>
      <c r="S14" s="47">
        <v>3.1901471898837998E-2</v>
      </c>
      <c r="T14" s="14">
        <v>374</v>
      </c>
      <c r="U14" s="21" t="s">
        <v>34</v>
      </c>
      <c r="V14" s="46">
        <v>5.9587248068894096</v>
      </c>
      <c r="W14" s="47">
        <v>2.55211775190704E-2</v>
      </c>
      <c r="X14" s="14">
        <v>388</v>
      </c>
      <c r="Y14" s="21" t="s">
        <v>34</v>
      </c>
    </row>
    <row r="15" spans="1:25" x14ac:dyDescent="0.35">
      <c r="A15" s="6">
        <v>12</v>
      </c>
      <c r="B15" s="42">
        <v>0.45990647048611599</v>
      </c>
      <c r="C15" s="43">
        <v>1.0453474311811199E-2</v>
      </c>
      <c r="D15" s="36">
        <v>424</v>
      </c>
      <c r="E15" s="37" t="s">
        <v>34</v>
      </c>
      <c r="F15" s="48">
        <v>14.8064425920675</v>
      </c>
      <c r="G15" s="49">
        <v>1.3066842889764001E-2</v>
      </c>
      <c r="H15" s="15">
        <v>414</v>
      </c>
      <c r="I15" s="22" t="s">
        <v>34</v>
      </c>
      <c r="J15" s="48">
        <v>3.3381881871916699</v>
      </c>
      <c r="K15" s="49">
        <v>1.6333553612204999E-2</v>
      </c>
      <c r="L15" s="15">
        <v>401</v>
      </c>
      <c r="M15" s="22" t="s">
        <v>34</v>
      </c>
      <c r="N15" s="48">
        <v>0.363231090601778</v>
      </c>
      <c r="O15" s="49">
        <v>1.0453474311811199E-2</v>
      </c>
      <c r="P15" s="15">
        <v>418</v>
      </c>
      <c r="Q15" s="22" t="s">
        <v>27</v>
      </c>
      <c r="R15" s="48">
        <v>2.9633491431280201</v>
      </c>
      <c r="S15" s="49">
        <v>1.6333553612204999E-2</v>
      </c>
      <c r="T15" s="15">
        <v>403</v>
      </c>
      <c r="U15" s="22" t="s">
        <v>34</v>
      </c>
      <c r="V15" s="48">
        <v>10.1820548254592</v>
      </c>
      <c r="W15" s="49">
        <v>2.04169420152563E-2</v>
      </c>
      <c r="X15" s="15">
        <v>397</v>
      </c>
      <c r="Y15" s="22" t="s">
        <v>34</v>
      </c>
    </row>
    <row r="16" spans="1:25" x14ac:dyDescent="0.35">
      <c r="A16" s="6">
        <v>13</v>
      </c>
      <c r="B16" s="42">
        <v>0.59758173405987902</v>
      </c>
      <c r="C16" s="43">
        <v>1.0453474311811199E-2</v>
      </c>
      <c r="D16" s="36">
        <v>422</v>
      </c>
      <c r="E16" s="37" t="s">
        <v>34</v>
      </c>
      <c r="F16" s="46">
        <v>12.219432548738</v>
      </c>
      <c r="G16" s="47">
        <v>3.9876839873547502E-2</v>
      </c>
      <c r="H16" s="14">
        <v>368</v>
      </c>
      <c r="I16" s="21" t="s">
        <v>27</v>
      </c>
      <c r="J16" s="46">
        <v>17.098563202507702</v>
      </c>
      <c r="K16" s="47">
        <v>4.9846049841934401E-2</v>
      </c>
      <c r="L16" s="14">
        <v>360</v>
      </c>
      <c r="M16" s="21" t="s">
        <v>34</v>
      </c>
      <c r="N16" s="46">
        <v>2.91493921025489E-2</v>
      </c>
      <c r="O16" s="47">
        <v>1.6333553612204999E-2</v>
      </c>
      <c r="P16" s="14">
        <v>405</v>
      </c>
      <c r="Q16" s="21" t="s">
        <v>34</v>
      </c>
      <c r="R16" s="46">
        <v>5.03697550684433</v>
      </c>
      <c r="S16" s="47">
        <v>2.55211775190704E-2</v>
      </c>
      <c r="T16" s="14">
        <v>383</v>
      </c>
      <c r="U16" s="21" t="s">
        <v>34</v>
      </c>
      <c r="V16" s="46">
        <v>2.8143722892422298</v>
      </c>
      <c r="W16" s="47">
        <v>1.0453474311811199E-2</v>
      </c>
      <c r="X16" s="14">
        <v>420</v>
      </c>
      <c r="Y16" s="21" t="s">
        <v>34</v>
      </c>
    </row>
    <row r="17" spans="1:25" x14ac:dyDescent="0.35">
      <c r="A17" s="6">
        <v>14</v>
      </c>
      <c r="B17" s="42">
        <v>0.70362513659435999</v>
      </c>
      <c r="C17" s="43">
        <v>1.3066842889764001E-2</v>
      </c>
      <c r="D17" s="36">
        <v>411</v>
      </c>
      <c r="E17" s="37" t="s">
        <v>34</v>
      </c>
      <c r="F17" s="48">
        <v>33.446726958039399</v>
      </c>
      <c r="G17" s="49">
        <v>1.6333553612204999E-2</v>
      </c>
      <c r="H17" s="15">
        <v>404</v>
      </c>
      <c r="I17" s="22" t="s">
        <v>34</v>
      </c>
      <c r="J17" s="48">
        <v>27.220617935082299</v>
      </c>
      <c r="K17" s="49">
        <v>1.6333553612204999E-2</v>
      </c>
      <c r="L17" s="15">
        <v>402</v>
      </c>
      <c r="M17" s="22" t="s">
        <v>34</v>
      </c>
      <c r="N17" s="48">
        <v>2.9881107594525901E-2</v>
      </c>
      <c r="O17" s="49">
        <v>1.0453474311811199E-2</v>
      </c>
      <c r="P17" s="15">
        <v>419</v>
      </c>
      <c r="Q17" s="22" t="s">
        <v>27</v>
      </c>
      <c r="R17" s="48">
        <v>7.9450169234564099</v>
      </c>
      <c r="S17" s="49">
        <v>1.6333553612204999E-2</v>
      </c>
      <c r="T17" s="15">
        <v>401</v>
      </c>
      <c r="U17" s="22" t="s">
        <v>34</v>
      </c>
      <c r="V17" s="48">
        <v>6.6680526379384499</v>
      </c>
      <c r="W17" s="49">
        <v>1.0453474311811199E-2</v>
      </c>
      <c r="X17" s="15">
        <v>421</v>
      </c>
      <c r="Y17" s="22" t="s">
        <v>34</v>
      </c>
    </row>
    <row r="18" spans="1:25" x14ac:dyDescent="0.35">
      <c r="A18" s="6">
        <v>15</v>
      </c>
      <c r="B18" s="42">
        <v>0.35424299655284203</v>
      </c>
      <c r="C18" s="43">
        <v>3.1901471898837998E-2</v>
      </c>
      <c r="D18" s="36">
        <v>377</v>
      </c>
      <c r="E18" s="37" t="s">
        <v>27</v>
      </c>
      <c r="F18" s="46">
        <v>10.53139232845</v>
      </c>
      <c r="G18" s="47">
        <v>9.7355566097528198E-2</v>
      </c>
      <c r="H18" s="14">
        <v>334</v>
      </c>
      <c r="I18" s="21" t="s">
        <v>34</v>
      </c>
      <c r="J18" s="46">
        <v>7.07396820846553</v>
      </c>
      <c r="K18" s="47">
        <v>1.0453474311811199E-2</v>
      </c>
      <c r="L18" s="14">
        <v>420</v>
      </c>
      <c r="M18" s="21" t="s">
        <v>34</v>
      </c>
      <c r="N18" s="46">
        <v>0.478840168839612</v>
      </c>
      <c r="O18" s="47">
        <v>1.6333553612204999E-2</v>
      </c>
      <c r="P18" s="14">
        <v>406</v>
      </c>
      <c r="Q18" s="21" t="s">
        <v>34</v>
      </c>
      <c r="R18" s="46">
        <v>6.0512838475948296</v>
      </c>
      <c r="S18" s="47">
        <v>3.9876839873547502E-2</v>
      </c>
      <c r="T18" s="14">
        <v>366</v>
      </c>
      <c r="U18" s="21" t="s">
        <v>34</v>
      </c>
      <c r="V18" s="46">
        <v>7.07093653186738</v>
      </c>
      <c r="W18" s="47">
        <v>7.7884452878022495E-2</v>
      </c>
      <c r="X18" s="14">
        <v>335</v>
      </c>
      <c r="Y18" s="21" t="s">
        <v>27</v>
      </c>
    </row>
    <row r="19" spans="1:25" x14ac:dyDescent="0.35">
      <c r="A19" s="6">
        <v>16</v>
      </c>
      <c r="B19" s="42">
        <v>0.49721815302543099</v>
      </c>
      <c r="C19" s="43">
        <v>1.3066842889764001E-2</v>
      </c>
      <c r="D19" s="36">
        <v>411</v>
      </c>
      <c r="E19" s="37" t="s">
        <v>27</v>
      </c>
      <c r="F19" s="48">
        <v>14.215448337058101</v>
      </c>
      <c r="G19" s="49">
        <v>1.0453474311811199E-2</v>
      </c>
      <c r="H19" s="15">
        <v>424</v>
      </c>
      <c r="I19" s="22" t="s">
        <v>34</v>
      </c>
      <c r="J19" s="48">
        <v>24.761037048419499</v>
      </c>
      <c r="K19" s="49">
        <v>4.9846049841934401E-2</v>
      </c>
      <c r="L19" s="15">
        <v>356</v>
      </c>
      <c r="M19" s="22" t="s">
        <v>34</v>
      </c>
      <c r="N19" s="48">
        <v>8.3473045663525394E-3</v>
      </c>
      <c r="O19" s="49">
        <v>2.55211775190704E-2</v>
      </c>
      <c r="P19" s="15">
        <v>383</v>
      </c>
      <c r="Q19" s="22" t="s">
        <v>27</v>
      </c>
      <c r="R19" s="48">
        <v>4.5356603948645899</v>
      </c>
      <c r="S19" s="49">
        <v>3.9876839873547502E-2</v>
      </c>
      <c r="T19" s="15">
        <v>367</v>
      </c>
      <c r="U19" s="22" t="s">
        <v>34</v>
      </c>
      <c r="V19" s="48">
        <v>10.5891507621615</v>
      </c>
      <c r="W19" s="49">
        <v>1.6333553612204999E-2</v>
      </c>
      <c r="X19" s="15">
        <v>404</v>
      </c>
      <c r="Y19" s="22" t="s">
        <v>34</v>
      </c>
    </row>
    <row r="20" spans="1:25" x14ac:dyDescent="0.35">
      <c r="A20" s="6">
        <v>17</v>
      </c>
      <c r="B20" s="42">
        <v>0.30817663390570998</v>
      </c>
      <c r="C20" s="43">
        <v>1.0453474311811199E-2</v>
      </c>
      <c r="D20" s="36">
        <v>424</v>
      </c>
      <c r="E20" s="37" t="s">
        <v>34</v>
      </c>
      <c r="F20" s="46">
        <v>9.8627070825199805</v>
      </c>
      <c r="G20" s="47">
        <v>2.04169420152563E-2</v>
      </c>
      <c r="H20" s="14">
        <v>394</v>
      </c>
      <c r="I20" s="21" t="s">
        <v>34</v>
      </c>
      <c r="J20" s="46">
        <v>34.327727139233801</v>
      </c>
      <c r="K20" s="47">
        <v>1.0453474311811199E-2</v>
      </c>
      <c r="L20" s="14">
        <v>420</v>
      </c>
      <c r="M20" s="21" t="s">
        <v>34</v>
      </c>
      <c r="N20" s="46">
        <v>0.24274230057354701</v>
      </c>
      <c r="O20" s="47">
        <v>2.2136092888451402</v>
      </c>
      <c r="P20" s="14">
        <v>204</v>
      </c>
      <c r="Q20" s="21" t="s">
        <v>27</v>
      </c>
      <c r="R20" s="46">
        <v>6.8075499871311402</v>
      </c>
      <c r="S20" s="47">
        <v>1.6333553612204999E-2</v>
      </c>
      <c r="T20" s="14">
        <v>406</v>
      </c>
      <c r="U20" s="21" t="s">
        <v>34</v>
      </c>
      <c r="V20" s="46">
        <v>4.5764706268594999</v>
      </c>
      <c r="W20" s="47">
        <v>3.1901471898837998E-2</v>
      </c>
      <c r="X20" s="14">
        <v>374</v>
      </c>
      <c r="Y20" s="21" t="s">
        <v>34</v>
      </c>
    </row>
    <row r="21" spans="1:25" x14ac:dyDescent="0.35">
      <c r="A21" s="6">
        <v>18</v>
      </c>
      <c r="B21" s="42">
        <v>0.55569585302102997</v>
      </c>
      <c r="C21" s="43">
        <v>1.0453474311811199E-2</v>
      </c>
      <c r="D21" s="36">
        <v>422</v>
      </c>
      <c r="E21" s="37" t="s">
        <v>34</v>
      </c>
      <c r="F21" s="48">
        <v>8.4823986166563401</v>
      </c>
      <c r="G21" s="49">
        <v>2.04169420152563E-2</v>
      </c>
      <c r="H21" s="15">
        <v>389</v>
      </c>
      <c r="I21" s="22" t="s">
        <v>34</v>
      </c>
      <c r="J21" s="48">
        <v>8.5193311431806809</v>
      </c>
      <c r="K21" s="49">
        <v>1.3066842889764001E-2</v>
      </c>
      <c r="L21" s="15">
        <v>415</v>
      </c>
      <c r="M21" s="22" t="s">
        <v>34</v>
      </c>
      <c r="N21" s="48">
        <v>7.4887518750958799</v>
      </c>
      <c r="O21" s="49">
        <v>1.0453474311811199E-2</v>
      </c>
      <c r="P21" s="15">
        <v>423</v>
      </c>
      <c r="Q21" s="22" t="s">
        <v>34</v>
      </c>
      <c r="R21" s="48">
        <v>4.7598130693233296</v>
      </c>
      <c r="S21" s="49">
        <v>3.1901471898837998E-2</v>
      </c>
      <c r="T21" s="15">
        <v>374</v>
      </c>
      <c r="U21" s="22" t="s">
        <v>34</v>
      </c>
      <c r="V21" s="48">
        <v>3.0002213286376298</v>
      </c>
      <c r="W21" s="49">
        <v>1.6333553612204999E-2</v>
      </c>
      <c r="X21" s="15">
        <v>406</v>
      </c>
      <c r="Y21" s="22" t="s">
        <v>34</v>
      </c>
    </row>
    <row r="22" spans="1:25" x14ac:dyDescent="0.35">
      <c r="A22" s="6">
        <v>19</v>
      </c>
      <c r="B22" s="42">
        <v>0.62861871434425898</v>
      </c>
      <c r="C22" s="43">
        <v>1.0453474311811199E-2</v>
      </c>
      <c r="D22" s="36">
        <v>424</v>
      </c>
      <c r="E22" s="37" t="s">
        <v>34</v>
      </c>
      <c r="F22" s="46">
        <v>9.9868868040974199</v>
      </c>
      <c r="G22" s="47">
        <v>2.04169420152563E-2</v>
      </c>
      <c r="H22" s="14">
        <v>396</v>
      </c>
      <c r="I22" s="21" t="s">
        <v>34</v>
      </c>
      <c r="J22" s="46">
        <v>12.429803295176701</v>
      </c>
      <c r="K22" s="47">
        <v>3.1901471898837998E-2</v>
      </c>
      <c r="L22" s="14">
        <v>377</v>
      </c>
      <c r="M22" s="21" t="s">
        <v>34</v>
      </c>
      <c r="N22" s="46">
        <v>0.23854978912368399</v>
      </c>
      <c r="O22" s="47">
        <v>2.55211775190704E-2</v>
      </c>
      <c r="P22" s="14">
        <v>387</v>
      </c>
      <c r="Q22" s="21" t="s">
        <v>27</v>
      </c>
      <c r="R22" s="46">
        <v>6.3170069137394496</v>
      </c>
      <c r="S22" s="47">
        <v>1.0453474311811199E-2</v>
      </c>
      <c r="T22" s="14">
        <v>419</v>
      </c>
      <c r="U22" s="21" t="s">
        <v>34</v>
      </c>
      <c r="V22" s="46">
        <v>8.39618962577776</v>
      </c>
      <c r="W22" s="47">
        <v>1.0453474311811199E-2</v>
      </c>
      <c r="X22" s="14">
        <v>420</v>
      </c>
      <c r="Y22" s="21" t="s">
        <v>34</v>
      </c>
    </row>
    <row r="23" spans="1:25" ht="15" thickBot="1" x14ac:dyDescent="0.4">
      <c r="A23" s="6">
        <v>20</v>
      </c>
      <c r="B23" s="44">
        <v>0.48993378371063001</v>
      </c>
      <c r="C23" s="45">
        <v>3.1901471898837998E-2</v>
      </c>
      <c r="D23" s="38">
        <v>374</v>
      </c>
      <c r="E23" s="39" t="s">
        <v>27</v>
      </c>
      <c r="F23" s="50">
        <v>5.2228452858092496</v>
      </c>
      <c r="G23" s="51">
        <v>7.7884452878022495E-2</v>
      </c>
      <c r="H23" s="23">
        <v>343</v>
      </c>
      <c r="I23" s="24" t="s">
        <v>34</v>
      </c>
      <c r="J23" s="50">
        <v>10.778708052882401</v>
      </c>
      <c r="K23" s="51">
        <v>1.0453474311811199E-2</v>
      </c>
      <c r="L23" s="23">
        <v>423</v>
      </c>
      <c r="M23" s="24" t="s">
        <v>34</v>
      </c>
      <c r="N23" s="50">
        <v>0.76287863750316498</v>
      </c>
      <c r="O23" s="51">
        <v>1.6333553612204999E-2</v>
      </c>
      <c r="P23" s="23">
        <v>402</v>
      </c>
      <c r="Q23" s="24" t="s">
        <v>34</v>
      </c>
      <c r="R23" s="50">
        <v>6.2784039417109296</v>
      </c>
      <c r="S23" s="51">
        <v>2.04169420152563E-2</v>
      </c>
      <c r="T23" s="23">
        <v>396</v>
      </c>
      <c r="U23" s="24" t="s">
        <v>34</v>
      </c>
      <c r="V23" s="50">
        <v>6.39165184469514</v>
      </c>
      <c r="W23" s="51">
        <v>4.9846049841934401E-2</v>
      </c>
      <c r="X23" s="23">
        <v>358</v>
      </c>
      <c r="Y23" s="24" t="s">
        <v>34</v>
      </c>
    </row>
    <row r="38" spans="1:25" ht="15" thickBot="1" x14ac:dyDescent="0.4">
      <c r="A38" s="35" t="s">
        <v>47</v>
      </c>
    </row>
    <row r="39" spans="1:25" ht="15.5" x14ac:dyDescent="0.35">
      <c r="A39" s="12"/>
      <c r="B39" s="25" t="s">
        <v>6</v>
      </c>
      <c r="C39" s="26"/>
      <c r="D39" s="26"/>
      <c r="E39" s="27"/>
      <c r="F39" s="16" t="s">
        <v>7</v>
      </c>
      <c r="G39" s="17"/>
      <c r="H39" s="17"/>
      <c r="I39" s="18"/>
      <c r="J39" s="16" t="s">
        <v>8</v>
      </c>
      <c r="K39" s="17"/>
      <c r="L39" s="17"/>
      <c r="M39" s="18"/>
      <c r="N39" s="16" t="s">
        <v>9</v>
      </c>
      <c r="O39" s="17"/>
      <c r="P39" s="17"/>
      <c r="Q39" s="18"/>
      <c r="R39" s="16" t="s">
        <v>10</v>
      </c>
      <c r="S39" s="17"/>
      <c r="T39" s="17"/>
      <c r="U39" s="18"/>
      <c r="V39" s="16" t="s">
        <v>11</v>
      </c>
      <c r="W39" s="17"/>
      <c r="X39" s="17"/>
      <c r="Y39" s="18"/>
    </row>
    <row r="40" spans="1:25" ht="44" thickBot="1" x14ac:dyDescent="0.4">
      <c r="A40" s="6" t="s">
        <v>17</v>
      </c>
      <c r="B40" s="28" t="s">
        <v>18</v>
      </c>
      <c r="C40" s="29" t="s">
        <v>19</v>
      </c>
      <c r="D40" s="29" t="s">
        <v>20</v>
      </c>
      <c r="E40" s="30" t="s">
        <v>21</v>
      </c>
      <c r="F40" s="19" t="s">
        <v>18</v>
      </c>
      <c r="G40" s="13" t="s">
        <v>19</v>
      </c>
      <c r="H40" s="13" t="s">
        <v>20</v>
      </c>
      <c r="I40" s="20" t="s">
        <v>21</v>
      </c>
      <c r="J40" s="19" t="s">
        <v>18</v>
      </c>
      <c r="K40" s="13" t="s">
        <v>19</v>
      </c>
      <c r="L40" s="13" t="s">
        <v>20</v>
      </c>
      <c r="M40" s="20" t="s">
        <v>21</v>
      </c>
      <c r="N40" s="19" t="s">
        <v>18</v>
      </c>
      <c r="O40" s="13" t="s">
        <v>19</v>
      </c>
      <c r="P40" s="13" t="s">
        <v>20</v>
      </c>
      <c r="Q40" s="20" t="s">
        <v>21</v>
      </c>
      <c r="R40" s="19" t="s">
        <v>18</v>
      </c>
      <c r="S40" s="13" t="s">
        <v>19</v>
      </c>
      <c r="T40" s="13" t="s">
        <v>20</v>
      </c>
      <c r="U40" s="20" t="s">
        <v>21</v>
      </c>
      <c r="V40" s="19" t="s">
        <v>18</v>
      </c>
      <c r="W40" s="13" t="s">
        <v>19</v>
      </c>
      <c r="X40" s="13" t="s">
        <v>20</v>
      </c>
      <c r="Y40" s="20" t="s">
        <v>21</v>
      </c>
    </row>
    <row r="41" spans="1:25" x14ac:dyDescent="0.35">
      <c r="A41" s="6">
        <v>1</v>
      </c>
      <c r="B41" s="42">
        <v>11.901160819202399</v>
      </c>
      <c r="C41" s="43">
        <v>62.914560000000002</v>
      </c>
      <c r="D41" s="36">
        <v>220</v>
      </c>
      <c r="E41" s="37" t="s">
        <v>27</v>
      </c>
      <c r="F41" s="46">
        <v>351.52646429073599</v>
      </c>
      <c r="G41" s="47">
        <v>10.555311626649599</v>
      </c>
      <c r="H41" s="14">
        <v>464</v>
      </c>
      <c r="I41" s="21" t="s">
        <v>27</v>
      </c>
      <c r="J41" s="46">
        <v>312.21561195695801</v>
      </c>
      <c r="K41" s="47">
        <v>6.7553994410557499</v>
      </c>
      <c r="L41" s="14">
        <v>498</v>
      </c>
      <c r="M41" s="21" t="s">
        <v>34</v>
      </c>
      <c r="N41" s="46">
        <v>3064.7300781807198</v>
      </c>
      <c r="O41" s="47">
        <v>6.7553994410557499</v>
      </c>
      <c r="P41" s="14">
        <v>498</v>
      </c>
      <c r="Q41" s="21" t="s">
        <v>34</v>
      </c>
      <c r="R41" s="46">
        <v>61.402346764641599</v>
      </c>
      <c r="S41" s="47">
        <v>8.4442493013196795</v>
      </c>
      <c r="T41" s="14">
        <v>477</v>
      </c>
      <c r="U41" s="21" t="s">
        <v>27</v>
      </c>
      <c r="V41" s="46">
        <v>366.25223673749798</v>
      </c>
      <c r="W41" s="47">
        <v>10.555311626649599</v>
      </c>
      <c r="X41" s="14">
        <v>455</v>
      </c>
      <c r="Y41" s="21" t="s">
        <v>27</v>
      </c>
    </row>
    <row r="42" spans="1:25" x14ac:dyDescent="0.35">
      <c r="A42" s="6">
        <v>2</v>
      </c>
      <c r="B42" s="42">
        <v>12.8873944930478</v>
      </c>
      <c r="C42" s="43">
        <v>240</v>
      </c>
      <c r="D42" s="36">
        <v>57</v>
      </c>
      <c r="E42" s="37" t="s">
        <v>27</v>
      </c>
      <c r="F42" s="48">
        <v>712.90560771157095</v>
      </c>
      <c r="G42" s="49">
        <v>6.7553994410557499</v>
      </c>
      <c r="H42" s="15">
        <v>498</v>
      </c>
      <c r="I42" s="22" t="s">
        <v>34</v>
      </c>
      <c r="J42" s="48">
        <v>224.19250540537899</v>
      </c>
      <c r="K42" s="49">
        <v>8.4442493013196795</v>
      </c>
      <c r="L42" s="15">
        <v>481</v>
      </c>
      <c r="M42" s="22" t="s">
        <v>27</v>
      </c>
      <c r="N42" s="48">
        <v>2752.6545190095599</v>
      </c>
      <c r="O42" s="49">
        <v>6.7553994410557499</v>
      </c>
      <c r="P42" s="15">
        <v>499</v>
      </c>
      <c r="Q42" s="22" t="s">
        <v>34</v>
      </c>
      <c r="R42" s="48">
        <v>65.635445450918795</v>
      </c>
      <c r="S42" s="49">
        <v>20.6158430208</v>
      </c>
      <c r="T42" s="15">
        <v>378</v>
      </c>
      <c r="U42" s="22" t="s">
        <v>27</v>
      </c>
      <c r="V42" s="48">
        <v>408.40686905134299</v>
      </c>
      <c r="W42" s="49">
        <v>8.4442493013196795</v>
      </c>
      <c r="X42" s="15">
        <v>467</v>
      </c>
      <c r="Y42" s="22" t="s">
        <v>27</v>
      </c>
    </row>
    <row r="43" spans="1:25" x14ac:dyDescent="0.35">
      <c r="A43" s="6">
        <v>3</v>
      </c>
      <c r="B43" s="42">
        <v>10.0560336922661</v>
      </c>
      <c r="C43" s="43">
        <v>10.555311626649599</v>
      </c>
      <c r="D43" s="36">
        <v>441</v>
      </c>
      <c r="E43" s="37" t="s">
        <v>27</v>
      </c>
      <c r="F43" s="46">
        <v>406.47490284692901</v>
      </c>
      <c r="G43" s="47">
        <v>8.4442493013196795</v>
      </c>
      <c r="H43" s="14">
        <v>477</v>
      </c>
      <c r="I43" s="21" t="s">
        <v>27</v>
      </c>
      <c r="J43" s="46">
        <v>168.85854015012899</v>
      </c>
      <c r="K43" s="47">
        <v>10.555311626649599</v>
      </c>
      <c r="L43" s="14">
        <v>438</v>
      </c>
      <c r="M43" s="21" t="s">
        <v>27</v>
      </c>
      <c r="N43" s="46">
        <v>127.589054779196</v>
      </c>
      <c r="O43" s="47">
        <v>8.4442493013196795</v>
      </c>
      <c r="P43" s="14">
        <v>491</v>
      </c>
      <c r="Q43" s="21" t="s">
        <v>27</v>
      </c>
      <c r="R43" s="46">
        <v>64.982454237961505</v>
      </c>
      <c r="S43" s="47">
        <v>10.555311626649599</v>
      </c>
      <c r="T43" s="14">
        <v>440</v>
      </c>
      <c r="U43" s="21" t="s">
        <v>27</v>
      </c>
      <c r="V43" s="46">
        <v>402.30123616744203</v>
      </c>
      <c r="W43" s="47">
        <v>8.4442493013196795</v>
      </c>
      <c r="X43" s="14">
        <v>471</v>
      </c>
      <c r="Y43" s="21" t="s">
        <v>27</v>
      </c>
    </row>
    <row r="44" spans="1:25" x14ac:dyDescent="0.35">
      <c r="A44" s="6">
        <v>4</v>
      </c>
      <c r="B44" s="42">
        <v>8.2139333142272797</v>
      </c>
      <c r="C44" s="43">
        <v>25.769803776</v>
      </c>
      <c r="D44" s="36">
        <v>348</v>
      </c>
      <c r="E44" s="37" t="s">
        <v>27</v>
      </c>
      <c r="F44" s="48">
        <v>618.38510795454795</v>
      </c>
      <c r="G44" s="49">
        <v>6.7553994410557499</v>
      </c>
      <c r="H44" s="15">
        <v>496</v>
      </c>
      <c r="I44" s="22" t="s">
        <v>34</v>
      </c>
      <c r="J44" s="48">
        <v>613.84123557953603</v>
      </c>
      <c r="K44" s="49">
        <v>8.4442493013196795</v>
      </c>
      <c r="L44" s="15">
        <v>493</v>
      </c>
      <c r="M44" s="22" t="s">
        <v>34</v>
      </c>
      <c r="N44" s="48">
        <v>21583.286056015801</v>
      </c>
      <c r="O44" s="49">
        <v>6.7553994410557499</v>
      </c>
      <c r="P44" s="15">
        <v>499</v>
      </c>
      <c r="Q44" s="22" t="s">
        <v>34</v>
      </c>
      <c r="R44" s="48">
        <v>67.809238032218403</v>
      </c>
      <c r="S44" s="49">
        <v>10.555311626649599</v>
      </c>
      <c r="T44" s="15">
        <v>437</v>
      </c>
      <c r="U44" s="22" t="s">
        <v>27</v>
      </c>
      <c r="V44" s="48">
        <v>449.45084510900801</v>
      </c>
      <c r="W44" s="49">
        <v>6.7553994410557499</v>
      </c>
      <c r="X44" s="15">
        <v>499</v>
      </c>
      <c r="Y44" s="22" t="s">
        <v>34</v>
      </c>
    </row>
    <row r="45" spans="1:25" x14ac:dyDescent="0.35">
      <c r="A45" s="6">
        <v>5</v>
      </c>
      <c r="B45" s="42">
        <v>9.8957104029210505</v>
      </c>
      <c r="C45" s="43">
        <v>78.643199999999993</v>
      </c>
      <c r="D45" s="36">
        <v>198</v>
      </c>
      <c r="E45" s="37" t="s">
        <v>27</v>
      </c>
      <c r="F45" s="46">
        <v>514.06730599856098</v>
      </c>
      <c r="G45" s="47">
        <v>8.4442493013196795</v>
      </c>
      <c r="H45" s="14">
        <v>492</v>
      </c>
      <c r="I45" s="21" t="s">
        <v>34</v>
      </c>
      <c r="J45" s="46">
        <v>238.72838045589401</v>
      </c>
      <c r="K45" s="47">
        <v>8.4442493013196795</v>
      </c>
      <c r="L45" s="14">
        <v>484</v>
      </c>
      <c r="M45" s="21" t="s">
        <v>34</v>
      </c>
      <c r="N45" s="46">
        <v>455.942499614356</v>
      </c>
      <c r="O45" s="47">
        <v>8.4442493013196795</v>
      </c>
      <c r="P45" s="14">
        <v>494</v>
      </c>
      <c r="Q45" s="21" t="s">
        <v>34</v>
      </c>
      <c r="R45" s="46">
        <v>62.564821619548603</v>
      </c>
      <c r="S45" s="47">
        <v>122.88</v>
      </c>
      <c r="T45" s="14">
        <v>135</v>
      </c>
      <c r="U45" s="21" t="s">
        <v>27</v>
      </c>
      <c r="V45" s="46">
        <v>643.70010583816099</v>
      </c>
      <c r="W45" s="47">
        <v>8.4442493013196795</v>
      </c>
      <c r="X45" s="14">
        <v>488</v>
      </c>
      <c r="Y45" s="21" t="s">
        <v>34</v>
      </c>
    </row>
    <row r="46" spans="1:25" x14ac:dyDescent="0.35">
      <c r="A46" s="6">
        <v>6</v>
      </c>
      <c r="B46" s="42">
        <v>8.7384145521545307</v>
      </c>
      <c r="C46" s="43">
        <v>6.7553994410557499</v>
      </c>
      <c r="D46" s="36">
        <v>500</v>
      </c>
      <c r="E46" s="37" t="s">
        <v>27</v>
      </c>
      <c r="F46" s="48">
        <v>383.32848954811197</v>
      </c>
      <c r="G46" s="49">
        <v>8.4442493013196795</v>
      </c>
      <c r="H46" s="15">
        <v>475</v>
      </c>
      <c r="I46" s="22" t="s">
        <v>27</v>
      </c>
      <c r="J46" s="48">
        <v>300.21449132709199</v>
      </c>
      <c r="K46" s="49">
        <v>6.7553994410557499</v>
      </c>
      <c r="L46" s="15">
        <v>498</v>
      </c>
      <c r="M46" s="22" t="s">
        <v>34</v>
      </c>
      <c r="N46" s="48">
        <v>4567.4698751302103</v>
      </c>
      <c r="O46" s="49">
        <v>6.7553994410557499</v>
      </c>
      <c r="P46" s="15">
        <v>500</v>
      </c>
      <c r="Q46" s="22" t="s">
        <v>34</v>
      </c>
      <c r="R46" s="48">
        <v>70.546542141374601</v>
      </c>
      <c r="S46" s="49">
        <v>153.6</v>
      </c>
      <c r="T46" s="15">
        <v>90</v>
      </c>
      <c r="U46" s="22" t="s">
        <v>27</v>
      </c>
      <c r="V46" s="48">
        <v>693.27070427622505</v>
      </c>
      <c r="W46" s="49">
        <v>6.7553994410557499</v>
      </c>
      <c r="X46" s="15">
        <v>499</v>
      </c>
      <c r="Y46" s="22" t="s">
        <v>27</v>
      </c>
    </row>
    <row r="47" spans="1:25" x14ac:dyDescent="0.35">
      <c r="A47" s="6">
        <v>7</v>
      </c>
      <c r="B47" s="42">
        <v>7.1440274891400399</v>
      </c>
      <c r="C47" s="43">
        <v>20.6158430208</v>
      </c>
      <c r="D47" s="36">
        <v>364</v>
      </c>
      <c r="E47" s="37" t="s">
        <v>27</v>
      </c>
      <c r="F47" s="46">
        <v>458.87108636293601</v>
      </c>
      <c r="G47" s="47">
        <v>8.4442493013196795</v>
      </c>
      <c r="H47" s="14">
        <v>493</v>
      </c>
      <c r="I47" s="21" t="s">
        <v>27</v>
      </c>
      <c r="J47" s="46">
        <v>324.109262692279</v>
      </c>
      <c r="K47" s="47">
        <v>8.4442493013196795</v>
      </c>
      <c r="L47" s="14">
        <v>492</v>
      </c>
      <c r="M47" s="21" t="s">
        <v>27</v>
      </c>
      <c r="N47" s="46">
        <v>2734.2572651699302</v>
      </c>
      <c r="O47" s="47">
        <v>6.7553994410557499</v>
      </c>
      <c r="P47" s="14">
        <v>501</v>
      </c>
      <c r="Q47" s="21" t="s">
        <v>34</v>
      </c>
      <c r="R47" s="46">
        <v>62.702004398764501</v>
      </c>
      <c r="S47" s="47">
        <v>10.555311626649599</v>
      </c>
      <c r="T47" s="14">
        <v>453</v>
      </c>
      <c r="U47" s="21" t="s">
        <v>27</v>
      </c>
      <c r="V47" s="46">
        <v>552.91584739089103</v>
      </c>
      <c r="W47" s="47">
        <v>8.4442493013196795</v>
      </c>
      <c r="X47" s="14">
        <v>494</v>
      </c>
      <c r="Y47" s="21" t="s">
        <v>27</v>
      </c>
    </row>
    <row r="48" spans="1:25" x14ac:dyDescent="0.35">
      <c r="A48" s="6">
        <v>8</v>
      </c>
      <c r="B48" s="42">
        <v>10.016289460615001</v>
      </c>
      <c r="C48" s="43">
        <v>13.194139533312001</v>
      </c>
      <c r="D48" s="36">
        <v>425</v>
      </c>
      <c r="E48" s="37" t="s">
        <v>27</v>
      </c>
      <c r="F48" s="48">
        <v>718.35499648344296</v>
      </c>
      <c r="G48" s="49">
        <v>8.4442493013196795</v>
      </c>
      <c r="H48" s="15">
        <v>484</v>
      </c>
      <c r="I48" s="22" t="s">
        <v>34</v>
      </c>
      <c r="J48" s="48">
        <v>257.96900019699899</v>
      </c>
      <c r="K48" s="49">
        <v>8.4442493013196795</v>
      </c>
      <c r="L48" s="15">
        <v>479</v>
      </c>
      <c r="M48" s="22" t="s">
        <v>27</v>
      </c>
      <c r="N48" s="48">
        <v>1604.60231724402</v>
      </c>
      <c r="O48" s="49">
        <v>10.555311626649599</v>
      </c>
      <c r="P48" s="15">
        <v>465</v>
      </c>
      <c r="Q48" s="22" t="s">
        <v>27</v>
      </c>
      <c r="R48" s="48">
        <v>69.696234507036706</v>
      </c>
      <c r="S48" s="49">
        <v>98.304000000000002</v>
      </c>
      <c r="T48" s="15">
        <v>160</v>
      </c>
      <c r="U48" s="22" t="s">
        <v>27</v>
      </c>
      <c r="V48" s="48">
        <v>547.21495078221801</v>
      </c>
      <c r="W48" s="49">
        <v>8.4442493013196795</v>
      </c>
      <c r="X48" s="15">
        <v>477</v>
      </c>
      <c r="Y48" s="22" t="s">
        <v>34</v>
      </c>
    </row>
    <row r="49" spans="1:25" x14ac:dyDescent="0.35">
      <c r="A49" s="6">
        <v>9</v>
      </c>
      <c r="B49" s="42">
        <v>9.1158172081710998</v>
      </c>
      <c r="C49" s="43">
        <v>16.49267441664</v>
      </c>
      <c r="D49" s="36">
        <v>400</v>
      </c>
      <c r="E49" s="37" t="s">
        <v>27</v>
      </c>
      <c r="F49" s="46">
        <v>636.74967713050296</v>
      </c>
      <c r="G49" s="47">
        <v>6.7553994410557499</v>
      </c>
      <c r="H49" s="14">
        <v>498</v>
      </c>
      <c r="I49" s="21" t="s">
        <v>34</v>
      </c>
      <c r="J49" s="46">
        <v>446.56129062619902</v>
      </c>
      <c r="K49" s="47">
        <v>6.7553994410557499</v>
      </c>
      <c r="L49" s="14">
        <v>500</v>
      </c>
      <c r="M49" s="21" t="s">
        <v>34</v>
      </c>
      <c r="N49" s="46">
        <v>1281.7482827625599</v>
      </c>
      <c r="O49" s="47">
        <v>8.4442493013196795</v>
      </c>
      <c r="P49" s="14">
        <v>488</v>
      </c>
      <c r="Q49" s="21" t="s">
        <v>27</v>
      </c>
      <c r="R49" s="46">
        <v>65.243072298439301</v>
      </c>
      <c r="S49" s="47">
        <v>240</v>
      </c>
      <c r="T49" s="14">
        <v>56</v>
      </c>
      <c r="U49" s="21" t="s">
        <v>27</v>
      </c>
      <c r="V49" s="46">
        <v>658.80744460848905</v>
      </c>
      <c r="W49" s="47">
        <v>8.4442493013196795</v>
      </c>
      <c r="X49" s="14">
        <v>469</v>
      </c>
      <c r="Y49" s="21" t="s">
        <v>27</v>
      </c>
    </row>
    <row r="50" spans="1:25" x14ac:dyDescent="0.35">
      <c r="A50" s="6">
        <v>10</v>
      </c>
      <c r="B50" s="42">
        <v>10.5379137273267</v>
      </c>
      <c r="C50" s="43">
        <v>25.769803776</v>
      </c>
      <c r="D50" s="36">
        <v>329</v>
      </c>
      <c r="E50" s="37" t="s">
        <v>27</v>
      </c>
      <c r="F50" s="48">
        <v>380.16972779020199</v>
      </c>
      <c r="G50" s="49">
        <v>6.7553994410557499</v>
      </c>
      <c r="H50" s="15">
        <v>498</v>
      </c>
      <c r="I50" s="22" t="s">
        <v>34</v>
      </c>
      <c r="J50" s="48">
        <v>325.37153213867799</v>
      </c>
      <c r="K50" s="49">
        <v>10.555311626649599</v>
      </c>
      <c r="L50" s="15">
        <v>462</v>
      </c>
      <c r="M50" s="22" t="s">
        <v>27</v>
      </c>
      <c r="N50" s="48">
        <v>7533.5603278445697</v>
      </c>
      <c r="O50" s="49">
        <v>10.555311626649599</v>
      </c>
      <c r="P50" s="15">
        <v>455</v>
      </c>
      <c r="Q50" s="22" t="s">
        <v>27</v>
      </c>
      <c r="R50" s="48">
        <v>63.045707609410698</v>
      </c>
      <c r="S50" s="49">
        <v>122.88</v>
      </c>
      <c r="T50" s="15">
        <v>123</v>
      </c>
      <c r="U50" s="22" t="s">
        <v>27</v>
      </c>
      <c r="V50" s="48">
        <v>596.76314579354096</v>
      </c>
      <c r="W50" s="49">
        <v>8.4442493013196795</v>
      </c>
      <c r="X50" s="15">
        <v>485</v>
      </c>
      <c r="Y50" s="22" t="s">
        <v>34</v>
      </c>
    </row>
    <row r="51" spans="1:25" x14ac:dyDescent="0.35">
      <c r="A51" s="6">
        <v>11</v>
      </c>
      <c r="B51" s="42">
        <v>7.3471871054946902</v>
      </c>
      <c r="C51" s="43">
        <v>8.4442493013196795</v>
      </c>
      <c r="D51" s="36">
        <v>467</v>
      </c>
      <c r="E51" s="37" t="s">
        <v>27</v>
      </c>
      <c r="F51" s="46">
        <v>523.35609071557201</v>
      </c>
      <c r="G51" s="47">
        <v>8.4442493013196795</v>
      </c>
      <c r="H51" s="14">
        <v>494</v>
      </c>
      <c r="I51" s="21" t="s">
        <v>34</v>
      </c>
      <c r="J51" s="46">
        <v>203.94016182048</v>
      </c>
      <c r="K51" s="47">
        <v>6.7553994410557499</v>
      </c>
      <c r="L51" s="14">
        <v>499</v>
      </c>
      <c r="M51" s="21" t="s">
        <v>34</v>
      </c>
      <c r="N51" s="46">
        <v>417.92585766335702</v>
      </c>
      <c r="O51" s="47">
        <v>8.4442493013196795</v>
      </c>
      <c r="P51" s="14">
        <v>488</v>
      </c>
      <c r="Q51" s="21" t="s">
        <v>27</v>
      </c>
      <c r="R51" s="46">
        <v>63.000345845563999</v>
      </c>
      <c r="S51" s="47">
        <v>153.6</v>
      </c>
      <c r="T51" s="14">
        <v>99</v>
      </c>
      <c r="U51" s="21" t="s">
        <v>27</v>
      </c>
      <c r="V51" s="46">
        <v>481.10419342241198</v>
      </c>
      <c r="W51" s="47">
        <v>8.4442493013196795</v>
      </c>
      <c r="X51" s="14">
        <v>492</v>
      </c>
      <c r="Y51" s="21" t="s">
        <v>34</v>
      </c>
    </row>
    <row r="52" spans="1:25" x14ac:dyDescent="0.35">
      <c r="A52" s="6">
        <v>12</v>
      </c>
      <c r="B52" s="42">
        <v>11.3751103098563</v>
      </c>
      <c r="C52" s="43">
        <v>78.643199999999993</v>
      </c>
      <c r="D52" s="36">
        <v>192</v>
      </c>
      <c r="E52" s="37" t="s">
        <v>27</v>
      </c>
      <c r="F52" s="48">
        <v>406.19526488642299</v>
      </c>
      <c r="G52" s="49">
        <v>6.7553994410557499</v>
      </c>
      <c r="H52" s="15">
        <v>499</v>
      </c>
      <c r="I52" s="22" t="s">
        <v>34</v>
      </c>
      <c r="J52" s="48">
        <v>225.31626535163301</v>
      </c>
      <c r="K52" s="49">
        <v>8.4442493013196795</v>
      </c>
      <c r="L52" s="15">
        <v>466</v>
      </c>
      <c r="M52" s="22" t="s">
        <v>27</v>
      </c>
      <c r="N52" s="48">
        <v>37182.067807248503</v>
      </c>
      <c r="O52" s="49">
        <v>8.4442493013196795</v>
      </c>
      <c r="P52" s="15">
        <v>493</v>
      </c>
      <c r="Q52" s="22" t="s">
        <v>34</v>
      </c>
      <c r="R52" s="48">
        <v>59.029165287340099</v>
      </c>
      <c r="S52" s="49">
        <v>10.555311626649599</v>
      </c>
      <c r="T52" s="15">
        <v>455</v>
      </c>
      <c r="U52" s="22" t="s">
        <v>27</v>
      </c>
      <c r="V52" s="48">
        <v>298.29568607516899</v>
      </c>
      <c r="W52" s="49">
        <v>6.7553994410557499</v>
      </c>
      <c r="X52" s="15">
        <v>496</v>
      </c>
      <c r="Y52" s="22" t="s">
        <v>34</v>
      </c>
    </row>
    <row r="53" spans="1:25" x14ac:dyDescent="0.35">
      <c r="A53" s="6">
        <v>13</v>
      </c>
      <c r="B53" s="42">
        <v>10.2046771967214</v>
      </c>
      <c r="C53" s="43">
        <v>13.194139533312001</v>
      </c>
      <c r="D53" s="36">
        <v>408</v>
      </c>
      <c r="E53" s="37" t="s">
        <v>27</v>
      </c>
      <c r="F53" s="46">
        <v>374.74864573660301</v>
      </c>
      <c r="G53" s="47">
        <v>8.4442493013196795</v>
      </c>
      <c r="H53" s="14">
        <v>494</v>
      </c>
      <c r="I53" s="21" t="s">
        <v>27</v>
      </c>
      <c r="J53" s="46">
        <v>317.63286624685202</v>
      </c>
      <c r="K53" s="47">
        <v>10.555311626649599</v>
      </c>
      <c r="L53" s="14">
        <v>444</v>
      </c>
      <c r="M53" s="21" t="s">
        <v>27</v>
      </c>
      <c r="N53" s="46">
        <v>1201.3170875604001</v>
      </c>
      <c r="O53" s="47">
        <v>10.555311626649599</v>
      </c>
      <c r="P53" s="14">
        <v>453</v>
      </c>
      <c r="Q53" s="21" t="s">
        <v>27</v>
      </c>
      <c r="R53" s="46">
        <v>67.724281867414206</v>
      </c>
      <c r="S53" s="47">
        <v>122.88</v>
      </c>
      <c r="T53" s="14">
        <v>138</v>
      </c>
      <c r="U53" s="21" t="s">
        <v>27</v>
      </c>
      <c r="V53" s="46">
        <v>516.47086514924604</v>
      </c>
      <c r="W53" s="47">
        <v>8.4442493013196795</v>
      </c>
      <c r="X53" s="14">
        <v>489</v>
      </c>
      <c r="Y53" s="21" t="s">
        <v>34</v>
      </c>
    </row>
    <row r="54" spans="1:25" x14ac:dyDescent="0.35">
      <c r="A54" s="6">
        <v>14</v>
      </c>
      <c r="B54" s="42">
        <v>12.4708218403023</v>
      </c>
      <c r="C54" s="43">
        <v>62.914560000000002</v>
      </c>
      <c r="D54" s="36">
        <v>212</v>
      </c>
      <c r="E54" s="37" t="s">
        <v>27</v>
      </c>
      <c r="F54" s="48">
        <v>573.26671192799495</v>
      </c>
      <c r="G54" s="49">
        <v>8.4442493013196795</v>
      </c>
      <c r="H54" s="15">
        <v>491</v>
      </c>
      <c r="I54" s="22" t="s">
        <v>34</v>
      </c>
      <c r="J54" s="48">
        <v>310.78848678953398</v>
      </c>
      <c r="K54" s="49">
        <v>8.4442493013196795</v>
      </c>
      <c r="L54" s="15">
        <v>494</v>
      </c>
      <c r="M54" s="22" t="s">
        <v>34</v>
      </c>
      <c r="N54" s="48">
        <v>21286.6831722889</v>
      </c>
      <c r="O54" s="49">
        <v>6.7553994410557499</v>
      </c>
      <c r="P54" s="15">
        <v>499</v>
      </c>
      <c r="Q54" s="22" t="s">
        <v>34</v>
      </c>
      <c r="R54" s="48">
        <v>60.000565197066798</v>
      </c>
      <c r="S54" s="49">
        <v>98.304000000000002</v>
      </c>
      <c r="T54" s="15">
        <v>171</v>
      </c>
      <c r="U54" s="22" t="s">
        <v>27</v>
      </c>
      <c r="V54" s="48">
        <v>632.89618391597799</v>
      </c>
      <c r="W54" s="49">
        <v>8.4442493013196795</v>
      </c>
      <c r="X54" s="15">
        <v>489</v>
      </c>
      <c r="Y54" s="22" t="s">
        <v>34</v>
      </c>
    </row>
    <row r="55" spans="1:25" x14ac:dyDescent="0.35">
      <c r="A55" s="6">
        <v>15</v>
      </c>
      <c r="B55" s="42">
        <v>8.5961556678652506</v>
      </c>
      <c r="C55" s="43">
        <v>6.7553994410557499</v>
      </c>
      <c r="D55" s="36">
        <v>498</v>
      </c>
      <c r="E55" s="37" t="s">
        <v>27</v>
      </c>
      <c r="F55" s="46">
        <v>472.81771426390299</v>
      </c>
      <c r="G55" s="47">
        <v>8.4442493013196795</v>
      </c>
      <c r="H55" s="14">
        <v>492</v>
      </c>
      <c r="I55" s="21" t="s">
        <v>34</v>
      </c>
      <c r="J55" s="46">
        <v>459.07513435669199</v>
      </c>
      <c r="K55" s="47">
        <v>8.4442493013196795</v>
      </c>
      <c r="L55" s="14">
        <v>480</v>
      </c>
      <c r="M55" s="21" t="s">
        <v>27</v>
      </c>
      <c r="N55" s="46">
        <v>2714.3091373416</v>
      </c>
      <c r="O55" s="47">
        <v>8.4442493013196795</v>
      </c>
      <c r="P55" s="14">
        <v>492</v>
      </c>
      <c r="Q55" s="21" t="s">
        <v>34</v>
      </c>
      <c r="R55" s="46">
        <v>65.160826370860093</v>
      </c>
      <c r="S55" s="47">
        <v>78.643199999999993</v>
      </c>
      <c r="T55" s="14">
        <v>201</v>
      </c>
      <c r="U55" s="21" t="s">
        <v>27</v>
      </c>
      <c r="V55" s="46">
        <v>669.53331204346898</v>
      </c>
      <c r="W55" s="47">
        <v>8.4442493013196795</v>
      </c>
      <c r="X55" s="14">
        <v>493</v>
      </c>
      <c r="Y55" s="21" t="s">
        <v>34</v>
      </c>
    </row>
    <row r="56" spans="1:25" x14ac:dyDescent="0.35">
      <c r="A56" s="6">
        <v>16</v>
      </c>
      <c r="B56" s="42">
        <v>12.335872381538</v>
      </c>
      <c r="C56" s="43">
        <v>50.331648000000001</v>
      </c>
      <c r="D56" s="36">
        <v>257</v>
      </c>
      <c r="E56" s="37" t="s">
        <v>27</v>
      </c>
      <c r="F56" s="48">
        <v>506.87086496130098</v>
      </c>
      <c r="G56" s="49">
        <v>8.4442493013196795</v>
      </c>
      <c r="H56" s="15">
        <v>489</v>
      </c>
      <c r="I56" s="22" t="s">
        <v>34</v>
      </c>
      <c r="J56" s="48">
        <v>341.549452825066</v>
      </c>
      <c r="K56" s="49">
        <v>8.4442493013196795</v>
      </c>
      <c r="L56" s="15">
        <v>487</v>
      </c>
      <c r="M56" s="22" t="s">
        <v>34</v>
      </c>
      <c r="N56" s="48">
        <v>202.87811772958199</v>
      </c>
      <c r="O56" s="49">
        <v>10.555311626649599</v>
      </c>
      <c r="P56" s="15">
        <v>444</v>
      </c>
      <c r="Q56" s="22" t="s">
        <v>27</v>
      </c>
      <c r="R56" s="48">
        <v>69.508773070265505</v>
      </c>
      <c r="S56" s="49">
        <v>78.643199999999993</v>
      </c>
      <c r="T56" s="15">
        <v>203</v>
      </c>
      <c r="U56" s="22" t="s">
        <v>27</v>
      </c>
      <c r="V56" s="48">
        <v>448.72391215091801</v>
      </c>
      <c r="W56" s="49">
        <v>8.4442493013196795</v>
      </c>
      <c r="X56" s="15">
        <v>484</v>
      </c>
      <c r="Y56" s="22" t="s">
        <v>34</v>
      </c>
    </row>
    <row r="57" spans="1:25" x14ac:dyDescent="0.35">
      <c r="A57" s="6">
        <v>17</v>
      </c>
      <c r="B57" s="42">
        <v>9.3311383783549697</v>
      </c>
      <c r="C57" s="43">
        <v>25.769803776</v>
      </c>
      <c r="D57" s="36">
        <v>349</v>
      </c>
      <c r="E57" s="37" t="s">
        <v>27</v>
      </c>
      <c r="F57" s="46">
        <v>553.241699236709</v>
      </c>
      <c r="G57" s="47">
        <v>6.7553994410557499</v>
      </c>
      <c r="H57" s="14">
        <v>499</v>
      </c>
      <c r="I57" s="21" t="s">
        <v>27</v>
      </c>
      <c r="J57" s="46">
        <v>206.118459492683</v>
      </c>
      <c r="K57" s="47">
        <v>6.7553994410557499</v>
      </c>
      <c r="L57" s="14">
        <v>498</v>
      </c>
      <c r="M57" s="21" t="s">
        <v>34</v>
      </c>
      <c r="N57" s="46">
        <v>772.40003901699401</v>
      </c>
      <c r="O57" s="47">
        <v>8.4442493013196795</v>
      </c>
      <c r="P57" s="14">
        <v>478</v>
      </c>
      <c r="Q57" s="21" t="s">
        <v>27</v>
      </c>
      <c r="R57" s="46">
        <v>63.992036461093399</v>
      </c>
      <c r="S57" s="47">
        <v>153.6</v>
      </c>
      <c r="T57" s="14">
        <v>115</v>
      </c>
      <c r="U57" s="21" t="s">
        <v>27</v>
      </c>
      <c r="V57" s="46">
        <v>396.850206473892</v>
      </c>
      <c r="W57" s="47">
        <v>8.4442493013196795</v>
      </c>
      <c r="X57" s="14">
        <v>492</v>
      </c>
      <c r="Y57" s="21" t="s">
        <v>34</v>
      </c>
    </row>
    <row r="58" spans="1:25" x14ac:dyDescent="0.35">
      <c r="A58" s="6">
        <v>18</v>
      </c>
      <c r="B58" s="42">
        <v>10.7708641248293</v>
      </c>
      <c r="C58" s="43">
        <v>98.304000000000002</v>
      </c>
      <c r="D58" s="36">
        <v>152</v>
      </c>
      <c r="E58" s="37" t="s">
        <v>27</v>
      </c>
      <c r="F58" s="48">
        <v>428.66530941784299</v>
      </c>
      <c r="G58" s="49">
        <v>8.4442493013196795</v>
      </c>
      <c r="H58" s="15">
        <v>494</v>
      </c>
      <c r="I58" s="22" t="s">
        <v>34</v>
      </c>
      <c r="J58" s="48">
        <v>314.59139435215599</v>
      </c>
      <c r="K58" s="49">
        <v>10.555311626649599</v>
      </c>
      <c r="L58" s="15">
        <v>459</v>
      </c>
      <c r="M58" s="22" t="s">
        <v>27</v>
      </c>
      <c r="N58" s="48">
        <v>10636.9872280243</v>
      </c>
      <c r="O58" s="49">
        <v>8.4442493013196795</v>
      </c>
      <c r="P58" s="15">
        <v>480</v>
      </c>
      <c r="Q58" s="22" t="s">
        <v>27</v>
      </c>
      <c r="R58" s="48">
        <v>66.438681470101798</v>
      </c>
      <c r="S58" s="49">
        <v>40.265318399999998</v>
      </c>
      <c r="T58" s="15">
        <v>280</v>
      </c>
      <c r="U58" s="22" t="s">
        <v>27</v>
      </c>
      <c r="V58" s="48">
        <v>208.8296296794</v>
      </c>
      <c r="W58" s="49">
        <v>6.7553994410557499</v>
      </c>
      <c r="X58" s="15">
        <v>498</v>
      </c>
      <c r="Y58" s="22" t="s">
        <v>34</v>
      </c>
    </row>
    <row r="59" spans="1:25" x14ac:dyDescent="0.35">
      <c r="A59" s="6">
        <v>19</v>
      </c>
      <c r="B59" s="42">
        <v>9.8216790984635303</v>
      </c>
      <c r="C59" s="43">
        <v>300</v>
      </c>
      <c r="D59" s="36">
        <v>26</v>
      </c>
      <c r="E59" s="37" t="s">
        <v>27</v>
      </c>
      <c r="F59" s="46">
        <v>438.23438177171499</v>
      </c>
      <c r="G59" s="47">
        <v>8.4442493013196795</v>
      </c>
      <c r="H59" s="14">
        <v>481</v>
      </c>
      <c r="I59" s="21" t="s">
        <v>27</v>
      </c>
      <c r="J59" s="46">
        <v>594.64196293483894</v>
      </c>
      <c r="K59" s="47">
        <v>8.4442493013196795</v>
      </c>
      <c r="L59" s="14">
        <v>481</v>
      </c>
      <c r="M59" s="21" t="s">
        <v>27</v>
      </c>
      <c r="N59" s="46">
        <v>11723.994090616599</v>
      </c>
      <c r="O59" s="47">
        <v>8.4442493013196795</v>
      </c>
      <c r="P59" s="14">
        <v>470</v>
      </c>
      <c r="Q59" s="21" t="s">
        <v>27</v>
      </c>
      <c r="R59" s="46">
        <v>71.301433727518997</v>
      </c>
      <c r="S59" s="47">
        <v>16.49267441664</v>
      </c>
      <c r="T59" s="14">
        <v>395</v>
      </c>
      <c r="U59" s="21" t="s">
        <v>27</v>
      </c>
      <c r="V59" s="46">
        <v>437.49174467239698</v>
      </c>
      <c r="W59" s="47">
        <v>8.4442493013196795</v>
      </c>
      <c r="X59" s="14">
        <v>487</v>
      </c>
      <c r="Y59" s="21" t="s">
        <v>27</v>
      </c>
    </row>
    <row r="60" spans="1:25" ht="15" thickBot="1" x14ac:dyDescent="0.4">
      <c r="A60" s="6">
        <v>20</v>
      </c>
      <c r="B60" s="44">
        <v>8.8695351172988897</v>
      </c>
      <c r="C60" s="45">
        <v>62.914560000000002</v>
      </c>
      <c r="D60" s="38">
        <v>225</v>
      </c>
      <c r="E60" s="39" t="s">
        <v>27</v>
      </c>
      <c r="F60" s="50">
        <v>417.35140475389602</v>
      </c>
      <c r="G60" s="51">
        <v>8.4442493013196795</v>
      </c>
      <c r="H60" s="23">
        <v>490</v>
      </c>
      <c r="I60" s="24" t="s">
        <v>34</v>
      </c>
      <c r="J60" s="50">
        <v>337.71457667722098</v>
      </c>
      <c r="K60" s="51">
        <v>8.4442493013196795</v>
      </c>
      <c r="L60" s="23">
        <v>488</v>
      </c>
      <c r="M60" s="24" t="s">
        <v>27</v>
      </c>
      <c r="N60" s="50">
        <v>224.72720157500899</v>
      </c>
      <c r="O60" s="51">
        <v>8.4442493013196795</v>
      </c>
      <c r="P60" s="23">
        <v>489</v>
      </c>
      <c r="Q60" s="24" t="s">
        <v>27</v>
      </c>
      <c r="R60" s="50">
        <v>63.963278006821</v>
      </c>
      <c r="S60" s="51">
        <v>78.643199999999993</v>
      </c>
      <c r="T60" s="23">
        <v>181</v>
      </c>
      <c r="U60" s="24" t="s">
        <v>27</v>
      </c>
      <c r="V60" s="50">
        <v>419.85990512221701</v>
      </c>
      <c r="W60" s="51">
        <v>8.4442493013196795</v>
      </c>
      <c r="X60" s="23">
        <v>491</v>
      </c>
      <c r="Y60" s="24" t="s">
        <v>27</v>
      </c>
    </row>
  </sheetData>
  <mergeCells count="12">
    <mergeCell ref="B39:E39"/>
    <mergeCell ref="F39:I39"/>
    <mergeCell ref="J39:M39"/>
    <mergeCell ref="N39:Q39"/>
    <mergeCell ref="R39:U39"/>
    <mergeCell ref="V39:Y39"/>
    <mergeCell ref="B2:E2"/>
    <mergeCell ref="F2:I2"/>
    <mergeCell ref="J2:M2"/>
    <mergeCell ref="N2:Q2"/>
    <mergeCell ref="R2:U2"/>
    <mergeCell ref="V2:Y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1440-838C-4F5B-961C-3977D3F770C4}">
  <dimension ref="A1:G138"/>
  <sheetViews>
    <sheetView tabSelected="1" topLeftCell="A28" workbookViewId="0">
      <selection activeCell="I34" sqref="I34"/>
    </sheetView>
  </sheetViews>
  <sheetFormatPr baseColWidth="10" defaultRowHeight="14.5" x14ac:dyDescent="0.35"/>
  <cols>
    <col min="1" max="4" width="10.90625" style="6"/>
    <col min="5" max="5" width="11.453125" style="6" bestFit="1" customWidth="1"/>
    <col min="6" max="7" width="10.90625" style="6"/>
  </cols>
  <sheetData>
    <row r="1" spans="1:7" ht="15.5" x14ac:dyDescent="0.35">
      <c r="A1" s="32" t="s">
        <v>35</v>
      </c>
    </row>
    <row r="2" spans="1:7" s="31" customFormat="1" ht="15.5" x14ac:dyDescent="0.35">
      <c r="A2" s="52">
        <v>1</v>
      </c>
      <c r="B2" s="52"/>
      <c r="C2" s="52"/>
      <c r="D2" s="52"/>
      <c r="E2" s="52"/>
      <c r="F2" s="52">
        <v>3</v>
      </c>
      <c r="G2" s="52">
        <v>2</v>
      </c>
    </row>
    <row r="3" spans="1:7" x14ac:dyDescent="0.35">
      <c r="A3" s="33" t="s">
        <v>26</v>
      </c>
      <c r="B3" s="34" t="s">
        <v>28</v>
      </c>
      <c r="C3" s="34" t="s">
        <v>29</v>
      </c>
      <c r="D3" s="34" t="s">
        <v>30</v>
      </c>
      <c r="E3" s="34" t="s">
        <v>31</v>
      </c>
      <c r="F3" s="33" t="s">
        <v>32</v>
      </c>
      <c r="G3" s="33" t="s">
        <v>33</v>
      </c>
    </row>
    <row r="4" spans="1:7" x14ac:dyDescent="0.35">
      <c r="A4" s="6">
        <v>0.35112956811850699</v>
      </c>
      <c r="B4" s="6">
        <v>0.35023966352133801</v>
      </c>
      <c r="C4" s="6">
        <v>1.0453474311811199E-2</v>
      </c>
      <c r="D4" s="6">
        <v>419</v>
      </c>
      <c r="E4" s="6" t="s">
        <v>27</v>
      </c>
      <c r="F4" s="6">
        <v>8.3627794494489996E-3</v>
      </c>
      <c r="G4" s="6">
        <v>4.1405000000000001E-3</v>
      </c>
    </row>
    <row r="5" spans="1:7" x14ac:dyDescent="0.35">
      <c r="A5" s="6">
        <v>0.41547781915344001</v>
      </c>
      <c r="B5" s="6">
        <v>0.41547781915344001</v>
      </c>
      <c r="C5" s="6">
        <v>1.0453474311811199E-2</v>
      </c>
      <c r="D5" s="6">
        <v>417</v>
      </c>
      <c r="E5" s="6" t="s">
        <v>34</v>
      </c>
      <c r="F5" s="6">
        <v>8.3627794494489996E-3</v>
      </c>
      <c r="G5" s="6">
        <v>2.5008999999999999E-3</v>
      </c>
    </row>
    <row r="6" spans="1:7" x14ac:dyDescent="0.35">
      <c r="A6" s="6">
        <v>0.23367573601598099</v>
      </c>
      <c r="B6" s="6">
        <v>0.23367573601598099</v>
      </c>
      <c r="C6" s="6">
        <v>1.3066842889764001E-2</v>
      </c>
      <c r="D6" s="6">
        <v>415</v>
      </c>
      <c r="E6" s="6" t="s">
        <v>34</v>
      </c>
      <c r="F6" s="6">
        <v>8.3627794494489996E-3</v>
      </c>
      <c r="G6" s="6">
        <v>1.8856000000000001E-3</v>
      </c>
    </row>
    <row r="7" spans="1:7" x14ac:dyDescent="0.35">
      <c r="A7" s="6">
        <v>0.32818178056156699</v>
      </c>
      <c r="B7" s="6">
        <v>0.27475333864329299</v>
      </c>
      <c r="C7" s="6">
        <v>3.1901471898837998E-2</v>
      </c>
      <c r="D7" s="6">
        <v>379</v>
      </c>
      <c r="E7" s="6" t="s">
        <v>27</v>
      </c>
      <c r="F7" s="6">
        <v>8.3627794494489996E-3</v>
      </c>
      <c r="G7" s="6">
        <v>2.0476000000000001E-3</v>
      </c>
    </row>
    <row r="8" spans="1:7" x14ac:dyDescent="0.35">
      <c r="A8" s="6">
        <v>0.57988674186336397</v>
      </c>
      <c r="B8" s="6">
        <v>0.55082918669504999</v>
      </c>
      <c r="C8" s="6">
        <v>1.6333553612204999E-2</v>
      </c>
      <c r="D8" s="6">
        <v>398</v>
      </c>
      <c r="E8" s="6" t="s">
        <v>27</v>
      </c>
      <c r="F8" s="6">
        <v>8.3627794494489996E-3</v>
      </c>
      <c r="G8" s="6">
        <v>2.0033E-3</v>
      </c>
    </row>
    <row r="9" spans="1:7" x14ac:dyDescent="0.35">
      <c r="A9" s="6">
        <v>0.585782130218097</v>
      </c>
      <c r="B9" s="6">
        <v>0.585782130218097</v>
      </c>
      <c r="C9" s="6">
        <v>1.0453474311811199E-2</v>
      </c>
      <c r="D9" s="6">
        <v>419</v>
      </c>
      <c r="E9" s="6" t="s">
        <v>34</v>
      </c>
      <c r="F9" s="6">
        <v>8.3627794494489996E-3</v>
      </c>
      <c r="G9" s="6">
        <v>2.1193000000000002E-3</v>
      </c>
    </row>
    <row r="10" spans="1:7" x14ac:dyDescent="0.35">
      <c r="A10" s="6">
        <v>0.43406626335597298</v>
      </c>
      <c r="B10" s="6">
        <v>0.43406626335597298</v>
      </c>
      <c r="C10" s="6">
        <v>1.0453474311811199E-2</v>
      </c>
      <c r="D10" s="6">
        <v>419</v>
      </c>
      <c r="E10" s="6" t="s">
        <v>34</v>
      </c>
      <c r="F10" s="6">
        <v>8.3627794494489996E-3</v>
      </c>
      <c r="G10" s="6">
        <v>2.7036E-3</v>
      </c>
    </row>
    <row r="11" spans="1:7" x14ac:dyDescent="0.35">
      <c r="A11" s="6">
        <v>0.22878351933776001</v>
      </c>
      <c r="B11" s="6">
        <v>0.22878351933776001</v>
      </c>
      <c r="C11" s="6">
        <v>1.0453474311811199E-2</v>
      </c>
      <c r="D11" s="6">
        <v>420</v>
      </c>
      <c r="E11" s="6" t="s">
        <v>34</v>
      </c>
      <c r="F11" s="6">
        <v>8.3627794494489996E-3</v>
      </c>
      <c r="G11" s="6">
        <v>2.8739999999999998E-3</v>
      </c>
    </row>
    <row r="12" spans="1:7" x14ac:dyDescent="0.35">
      <c r="A12" s="6">
        <v>0.33034792405784102</v>
      </c>
      <c r="B12" s="6">
        <v>0.33034792405784102</v>
      </c>
      <c r="C12" s="6">
        <v>1.0453474311811199E-2</v>
      </c>
      <c r="D12" s="6">
        <v>417</v>
      </c>
      <c r="E12" s="6" t="s">
        <v>34</v>
      </c>
      <c r="F12" s="6">
        <v>8.3627794494489996E-3</v>
      </c>
      <c r="G12" s="6">
        <v>2.1397999999999999E-3</v>
      </c>
    </row>
    <row r="13" spans="1:7" x14ac:dyDescent="0.35">
      <c r="A13" s="6">
        <v>0.511453234867702</v>
      </c>
      <c r="B13" s="6">
        <v>0.511453234867702</v>
      </c>
      <c r="C13" s="6">
        <v>1.0453474311811199E-2</v>
      </c>
      <c r="D13" s="6">
        <v>423</v>
      </c>
      <c r="E13" s="6" t="s">
        <v>34</v>
      </c>
      <c r="F13" s="6">
        <v>8.3627794494489996E-3</v>
      </c>
      <c r="G13" s="6">
        <v>1.9141E-3</v>
      </c>
    </row>
    <row r="14" spans="1:7" x14ac:dyDescent="0.35">
      <c r="A14" s="6">
        <v>0.48256533266680701</v>
      </c>
      <c r="B14" s="6">
        <v>0.48256533266680701</v>
      </c>
      <c r="C14" s="6">
        <v>1.0453474311811199E-2</v>
      </c>
      <c r="D14" s="6">
        <v>424</v>
      </c>
      <c r="E14" s="6" t="s">
        <v>34</v>
      </c>
      <c r="F14" s="6">
        <v>8.3627794494489996E-3</v>
      </c>
      <c r="G14" s="6">
        <v>2.0005999999999999E-3</v>
      </c>
    </row>
    <row r="15" spans="1:7" x14ac:dyDescent="0.35">
      <c r="A15" s="6">
        <v>0.45990647048611599</v>
      </c>
      <c r="B15" s="6">
        <v>0.45990647048611599</v>
      </c>
      <c r="C15" s="6">
        <v>1.0453474311811199E-2</v>
      </c>
      <c r="D15" s="6">
        <v>424</v>
      </c>
      <c r="E15" s="6" t="s">
        <v>34</v>
      </c>
      <c r="F15" s="6">
        <v>8.3627794494489996E-3</v>
      </c>
      <c r="G15" s="6">
        <v>2.1094999999999998E-3</v>
      </c>
    </row>
    <row r="16" spans="1:7" x14ac:dyDescent="0.35">
      <c r="A16" s="6">
        <v>0.59758173405987902</v>
      </c>
      <c r="B16" s="6">
        <v>0.59758173405987902</v>
      </c>
      <c r="C16" s="6">
        <v>1.0453474311811199E-2</v>
      </c>
      <c r="D16" s="6">
        <v>422</v>
      </c>
      <c r="E16" s="6" t="s">
        <v>34</v>
      </c>
      <c r="F16" s="6">
        <v>8.3627794494489996E-3</v>
      </c>
      <c r="G16" s="6">
        <v>1.9770999999999999E-3</v>
      </c>
    </row>
    <row r="17" spans="1:7" x14ac:dyDescent="0.35">
      <c r="A17" s="6">
        <v>0.70362513659435999</v>
      </c>
      <c r="B17" s="6">
        <v>0.70362513659435999</v>
      </c>
      <c r="C17" s="6">
        <v>1.3066842889764001E-2</v>
      </c>
      <c r="D17" s="6">
        <v>411</v>
      </c>
      <c r="E17" s="6" t="s">
        <v>34</v>
      </c>
      <c r="F17" s="6">
        <v>8.3627794494489996E-3</v>
      </c>
      <c r="G17" s="6">
        <v>1.9199E-3</v>
      </c>
    </row>
    <row r="18" spans="1:7" x14ac:dyDescent="0.35">
      <c r="A18" s="6">
        <v>0.37636152215659402</v>
      </c>
      <c r="B18" s="6">
        <v>0.35424299655284203</v>
      </c>
      <c r="C18" s="6">
        <v>3.1901471898837998E-2</v>
      </c>
      <c r="D18" s="6">
        <v>377</v>
      </c>
      <c r="E18" s="6" t="s">
        <v>27</v>
      </c>
      <c r="F18" s="6">
        <v>8.3627794494489996E-3</v>
      </c>
      <c r="G18" s="6">
        <v>1.887E-3</v>
      </c>
    </row>
    <row r="19" spans="1:7" x14ac:dyDescent="0.35">
      <c r="A19" s="6">
        <v>0.50029584385283699</v>
      </c>
      <c r="B19" s="6">
        <v>0.49721815302543099</v>
      </c>
      <c r="C19" s="6">
        <v>1.3066842889764001E-2</v>
      </c>
      <c r="D19" s="6">
        <v>411</v>
      </c>
      <c r="E19" s="6" t="s">
        <v>27</v>
      </c>
      <c r="F19" s="6">
        <v>8.3627794494489996E-3</v>
      </c>
      <c r="G19" s="6">
        <v>2.3400999999999999E-3</v>
      </c>
    </row>
    <row r="20" spans="1:7" x14ac:dyDescent="0.35">
      <c r="A20" s="6">
        <v>0.30817663390570998</v>
      </c>
      <c r="B20" s="6">
        <v>0.30817663390570998</v>
      </c>
      <c r="C20" s="6">
        <v>1.0453474311811199E-2</v>
      </c>
      <c r="D20" s="6">
        <v>424</v>
      </c>
      <c r="E20" s="6" t="s">
        <v>34</v>
      </c>
      <c r="F20" s="6">
        <v>8.3627794494489996E-3</v>
      </c>
      <c r="G20" s="6">
        <v>2.2307E-3</v>
      </c>
    </row>
    <row r="21" spans="1:7" x14ac:dyDescent="0.35">
      <c r="A21" s="6">
        <v>0.55569585302102997</v>
      </c>
      <c r="B21" s="6">
        <v>0.55569585302102997</v>
      </c>
      <c r="C21" s="6">
        <v>1.0453474311811199E-2</v>
      </c>
      <c r="D21" s="6">
        <v>422</v>
      </c>
      <c r="E21" s="6" t="s">
        <v>34</v>
      </c>
      <c r="F21" s="6">
        <v>8.3627794494489996E-3</v>
      </c>
      <c r="G21" s="6">
        <v>1.8702E-3</v>
      </c>
    </row>
    <row r="22" spans="1:7" x14ac:dyDescent="0.35">
      <c r="A22" s="6">
        <v>0.62861871434425898</v>
      </c>
      <c r="B22" s="6">
        <v>0.62861871434425898</v>
      </c>
      <c r="C22" s="6">
        <v>1.0453474311811199E-2</v>
      </c>
      <c r="D22" s="6">
        <v>424</v>
      </c>
      <c r="E22" s="6" t="s">
        <v>34</v>
      </c>
      <c r="F22" s="6">
        <v>8.3627794494489996E-3</v>
      </c>
      <c r="G22" s="6">
        <v>1.8797E-3</v>
      </c>
    </row>
    <row r="23" spans="1:7" x14ac:dyDescent="0.35">
      <c r="A23" s="6">
        <v>0.51357595068235196</v>
      </c>
      <c r="B23" s="6">
        <v>0.48993378371063001</v>
      </c>
      <c r="C23" s="6">
        <v>3.1901471898837998E-2</v>
      </c>
      <c r="D23" s="6">
        <v>374</v>
      </c>
      <c r="E23" s="6" t="s">
        <v>27</v>
      </c>
      <c r="F23" s="6">
        <v>8.3627794494489996E-3</v>
      </c>
      <c r="G23" s="6">
        <v>2.0427000000000002E-3</v>
      </c>
    </row>
    <row r="24" spans="1:7" ht="15.5" x14ac:dyDescent="0.35">
      <c r="A24" s="32" t="s">
        <v>36</v>
      </c>
    </row>
    <row r="25" spans="1:7" s="31" customFormat="1" ht="15.5" x14ac:dyDescent="0.35">
      <c r="A25" s="52">
        <v>1</v>
      </c>
      <c r="B25" s="52"/>
      <c r="C25" s="52"/>
      <c r="D25" s="52"/>
      <c r="E25" s="52"/>
      <c r="F25" s="52">
        <v>3</v>
      </c>
      <c r="G25" s="52">
        <v>2</v>
      </c>
    </row>
    <row r="26" spans="1:7" x14ac:dyDescent="0.35">
      <c r="A26" s="33" t="s">
        <v>26</v>
      </c>
      <c r="B26" s="34" t="s">
        <v>28</v>
      </c>
      <c r="C26" s="34" t="s">
        <v>29</v>
      </c>
      <c r="D26" s="34" t="s">
        <v>30</v>
      </c>
      <c r="E26" s="34" t="s">
        <v>31</v>
      </c>
      <c r="F26" s="33" t="s">
        <v>32</v>
      </c>
      <c r="G26" s="33" t="s">
        <v>33</v>
      </c>
    </row>
    <row r="27" spans="1:7" x14ac:dyDescent="0.35">
      <c r="A27" s="6">
        <v>2.6885387697321601</v>
      </c>
      <c r="B27" s="6">
        <v>2.6885387697321601</v>
      </c>
      <c r="C27" s="6">
        <v>1.0453474311811199E-2</v>
      </c>
      <c r="D27" s="6">
        <v>423</v>
      </c>
      <c r="E27" s="6" t="s">
        <v>34</v>
      </c>
      <c r="F27" s="6">
        <v>8.3627794494489996E-3</v>
      </c>
      <c r="G27" s="6">
        <v>4.5966999999999996E-3</v>
      </c>
    </row>
    <row r="28" spans="1:7" x14ac:dyDescent="0.35">
      <c r="A28" s="6">
        <v>6.8949037727571501</v>
      </c>
      <c r="B28" s="6">
        <v>6.8949037727571501</v>
      </c>
      <c r="C28" s="6">
        <v>2.55211775190704E-2</v>
      </c>
      <c r="D28" s="6">
        <v>381</v>
      </c>
      <c r="E28" s="6" t="s">
        <v>34</v>
      </c>
      <c r="F28" s="6">
        <v>8.3627794494489996E-3</v>
      </c>
      <c r="G28" s="6">
        <v>2.2853999999999999E-3</v>
      </c>
    </row>
    <row r="29" spans="1:7" x14ac:dyDescent="0.35">
      <c r="A29" s="6">
        <v>6.2094031737002799</v>
      </c>
      <c r="B29" s="6">
        <v>6.2094031737002799</v>
      </c>
      <c r="C29" s="6">
        <v>1.6333553612204999E-2</v>
      </c>
      <c r="D29" s="6">
        <v>402</v>
      </c>
      <c r="E29" s="6" t="s">
        <v>34</v>
      </c>
      <c r="F29" s="6">
        <v>8.3627794494489996E-3</v>
      </c>
      <c r="G29" s="6">
        <v>2.457E-3</v>
      </c>
    </row>
    <row r="30" spans="1:7" x14ac:dyDescent="0.35">
      <c r="A30" s="6">
        <v>12.012708650972501</v>
      </c>
      <c r="B30" s="6">
        <v>12.012708650972501</v>
      </c>
      <c r="C30" s="6">
        <v>1.0453474311811199E-2</v>
      </c>
      <c r="D30" s="6">
        <v>417</v>
      </c>
      <c r="E30" s="6" t="s">
        <v>34</v>
      </c>
      <c r="F30" s="6">
        <v>8.3627794494489996E-3</v>
      </c>
      <c r="G30" s="6">
        <v>2.2485000000000001E-3</v>
      </c>
    </row>
    <row r="31" spans="1:7" x14ac:dyDescent="0.35">
      <c r="A31" s="6">
        <v>3.8047731926209298</v>
      </c>
      <c r="B31" s="6">
        <v>3.8047731926209298</v>
      </c>
      <c r="C31" s="6">
        <v>1.6333553612204999E-2</v>
      </c>
      <c r="D31" s="6">
        <v>403</v>
      </c>
      <c r="E31" s="6" t="s">
        <v>34</v>
      </c>
      <c r="F31" s="6">
        <v>8.3627794494489996E-3</v>
      </c>
      <c r="G31" s="6">
        <v>3.1606E-3</v>
      </c>
    </row>
    <row r="32" spans="1:7" x14ac:dyDescent="0.35">
      <c r="A32" s="6">
        <v>9.5737903894531993</v>
      </c>
      <c r="B32" s="6">
        <v>9.5737903894531993</v>
      </c>
      <c r="C32" s="6">
        <v>1.6333553612204999E-2</v>
      </c>
      <c r="D32" s="6">
        <v>402</v>
      </c>
      <c r="E32" s="6" t="s">
        <v>34</v>
      </c>
      <c r="F32" s="6">
        <v>8.3627794494489996E-3</v>
      </c>
      <c r="G32" s="6">
        <v>2.4072E-3</v>
      </c>
    </row>
    <row r="33" spans="1:7" x14ac:dyDescent="0.35">
      <c r="A33" s="6">
        <v>21.918863580651301</v>
      </c>
      <c r="B33" s="6">
        <v>21.918863580651301</v>
      </c>
      <c r="C33" s="6">
        <v>1.0453474311811199E-2</v>
      </c>
      <c r="D33" s="6">
        <v>419</v>
      </c>
      <c r="E33" s="6" t="s">
        <v>34</v>
      </c>
      <c r="F33" s="6">
        <v>8.3627794494489996E-3</v>
      </c>
      <c r="G33" s="6">
        <v>2.2252999999999999E-3</v>
      </c>
    </row>
    <row r="34" spans="1:7" x14ac:dyDescent="0.35">
      <c r="A34" s="6">
        <v>3.9143629963045901</v>
      </c>
      <c r="B34" s="6">
        <v>3.9143629963045901</v>
      </c>
      <c r="C34" s="6">
        <v>2.55211775190704E-2</v>
      </c>
      <c r="D34" s="6">
        <v>381</v>
      </c>
      <c r="E34" s="6" t="s">
        <v>34</v>
      </c>
      <c r="F34" s="6">
        <v>8.3627794494489996E-3</v>
      </c>
      <c r="G34" s="6">
        <v>2.2331E-3</v>
      </c>
    </row>
    <row r="35" spans="1:7" x14ac:dyDescent="0.35">
      <c r="A35" s="6">
        <v>4.4991227587379301</v>
      </c>
      <c r="B35" s="6">
        <v>4.4991227587379301</v>
      </c>
      <c r="C35" s="6">
        <v>1.6333553612204999E-2</v>
      </c>
      <c r="D35" s="6">
        <v>406</v>
      </c>
      <c r="E35" s="6" t="s">
        <v>34</v>
      </c>
      <c r="F35" s="6">
        <v>8.3627794494489996E-3</v>
      </c>
      <c r="G35" s="6">
        <v>2.7637E-3</v>
      </c>
    </row>
    <row r="36" spans="1:7" x14ac:dyDescent="0.35">
      <c r="A36" s="6">
        <v>3.2073747495025899</v>
      </c>
      <c r="B36" s="6">
        <v>3.2073747495025899</v>
      </c>
      <c r="C36" s="6">
        <v>1.0453474311811199E-2</v>
      </c>
      <c r="D36" s="6">
        <v>421</v>
      </c>
      <c r="E36" s="6" t="s">
        <v>34</v>
      </c>
      <c r="F36" s="6">
        <v>8.3627794494489996E-3</v>
      </c>
      <c r="G36" s="6">
        <v>2.5339E-3</v>
      </c>
    </row>
    <row r="37" spans="1:7" x14ac:dyDescent="0.35">
      <c r="A37" s="6">
        <v>12.988623462398399</v>
      </c>
      <c r="B37" s="6">
        <v>12.988623462398399</v>
      </c>
      <c r="C37" s="6">
        <v>1.0453474311811199E-2</v>
      </c>
      <c r="D37" s="6">
        <v>421</v>
      </c>
      <c r="E37" s="6" t="s">
        <v>34</v>
      </c>
      <c r="F37" s="6">
        <v>8.3627794494489996E-3</v>
      </c>
      <c r="G37" s="6">
        <v>2.3582999999999998E-3</v>
      </c>
    </row>
    <row r="38" spans="1:7" x14ac:dyDescent="0.35">
      <c r="A38" s="6">
        <v>14.8064425920675</v>
      </c>
      <c r="B38" s="6">
        <v>14.8064425920675</v>
      </c>
      <c r="C38" s="6">
        <v>1.3066842889764001E-2</v>
      </c>
      <c r="D38" s="6">
        <v>414</v>
      </c>
      <c r="E38" s="6" t="s">
        <v>34</v>
      </c>
      <c r="F38" s="6">
        <v>8.3627794494489996E-3</v>
      </c>
      <c r="G38" s="6">
        <v>2.2637E-3</v>
      </c>
    </row>
    <row r="39" spans="1:7" x14ac:dyDescent="0.35">
      <c r="A39" s="6">
        <v>12.2374446103917</v>
      </c>
      <c r="B39" s="6">
        <v>12.219432548738</v>
      </c>
      <c r="C39" s="6">
        <v>3.9876839873547502E-2</v>
      </c>
      <c r="D39" s="6">
        <v>368</v>
      </c>
      <c r="E39" s="6" t="s">
        <v>27</v>
      </c>
      <c r="F39" s="6">
        <v>8.3627794494489996E-3</v>
      </c>
      <c r="G39" s="6">
        <v>2.4853000000000002E-3</v>
      </c>
    </row>
    <row r="40" spans="1:7" x14ac:dyDescent="0.35">
      <c r="A40" s="6">
        <v>33.446726958039399</v>
      </c>
      <c r="B40" s="6">
        <v>33.446726958039399</v>
      </c>
      <c r="C40" s="6">
        <v>1.6333553612204999E-2</v>
      </c>
      <c r="D40" s="6">
        <v>404</v>
      </c>
      <c r="E40" s="6" t="s">
        <v>34</v>
      </c>
      <c r="F40" s="6">
        <v>8.3627794494489996E-3</v>
      </c>
      <c r="G40" s="6">
        <v>2.2447999999999999E-3</v>
      </c>
    </row>
    <row r="41" spans="1:7" x14ac:dyDescent="0.35">
      <c r="A41" s="6">
        <v>10.53139232845</v>
      </c>
      <c r="B41" s="6">
        <v>10.53139232845</v>
      </c>
      <c r="C41" s="6">
        <v>9.7355566097528198E-2</v>
      </c>
      <c r="D41" s="6">
        <v>334</v>
      </c>
      <c r="E41" s="6" t="s">
        <v>34</v>
      </c>
      <c r="F41" s="6">
        <v>8.3627794494489996E-3</v>
      </c>
      <c r="G41" s="6">
        <v>2.4718000000000001E-3</v>
      </c>
    </row>
    <row r="42" spans="1:7" x14ac:dyDescent="0.35">
      <c r="A42" s="6">
        <v>14.215448337058101</v>
      </c>
      <c r="B42" s="6">
        <v>14.215448337058101</v>
      </c>
      <c r="C42" s="6">
        <v>1.0453474311811199E-2</v>
      </c>
      <c r="D42" s="6">
        <v>424</v>
      </c>
      <c r="E42" s="6" t="s">
        <v>34</v>
      </c>
      <c r="F42" s="6">
        <v>8.3627794494489996E-3</v>
      </c>
      <c r="G42" s="6">
        <v>2.3067000000000001E-3</v>
      </c>
    </row>
    <row r="43" spans="1:7" x14ac:dyDescent="0.35">
      <c r="A43" s="6">
        <v>9.8627070825199805</v>
      </c>
      <c r="B43" s="6">
        <v>9.8627070825199805</v>
      </c>
      <c r="C43" s="6">
        <v>2.04169420152563E-2</v>
      </c>
      <c r="D43" s="6">
        <v>394</v>
      </c>
      <c r="E43" s="6" t="s">
        <v>34</v>
      </c>
      <c r="F43" s="6">
        <v>8.3627794494489996E-3</v>
      </c>
      <c r="G43" s="6">
        <v>2.9082000000000001E-3</v>
      </c>
    </row>
    <row r="44" spans="1:7" x14ac:dyDescent="0.35">
      <c r="A44" s="6">
        <v>8.4823986166563401</v>
      </c>
      <c r="B44" s="6">
        <v>8.4823986166563401</v>
      </c>
      <c r="C44" s="6">
        <v>2.04169420152563E-2</v>
      </c>
      <c r="D44" s="6">
        <v>389</v>
      </c>
      <c r="E44" s="6" t="s">
        <v>34</v>
      </c>
      <c r="F44" s="6">
        <v>8.3627794494489996E-3</v>
      </c>
      <c r="G44" s="6">
        <v>2.189E-3</v>
      </c>
    </row>
    <row r="45" spans="1:7" x14ac:dyDescent="0.35">
      <c r="A45" s="6">
        <v>9.9868868040974199</v>
      </c>
      <c r="B45" s="6">
        <v>9.9868868040974199</v>
      </c>
      <c r="C45" s="6">
        <v>2.04169420152563E-2</v>
      </c>
      <c r="D45" s="6">
        <v>396</v>
      </c>
      <c r="E45" s="6" t="s">
        <v>34</v>
      </c>
      <c r="F45" s="6">
        <v>8.3627794494489996E-3</v>
      </c>
      <c r="G45" s="6">
        <v>2.1906999999999999E-3</v>
      </c>
    </row>
    <row r="46" spans="1:7" x14ac:dyDescent="0.35">
      <c r="A46" s="6">
        <v>5.2228452858092496</v>
      </c>
      <c r="B46" s="6">
        <v>5.2228452858092496</v>
      </c>
      <c r="C46" s="6">
        <v>7.7884452878022495E-2</v>
      </c>
      <c r="D46" s="6">
        <v>343</v>
      </c>
      <c r="E46" s="6" t="s">
        <v>34</v>
      </c>
      <c r="F46" s="6">
        <v>8.3627794494489996E-3</v>
      </c>
      <c r="G46" s="6">
        <v>2.2242E-3</v>
      </c>
    </row>
    <row r="47" spans="1:7" ht="15.5" x14ac:dyDescent="0.35">
      <c r="A47" s="32" t="s">
        <v>37</v>
      </c>
    </row>
    <row r="48" spans="1:7" s="31" customFormat="1" ht="15.5" x14ac:dyDescent="0.35">
      <c r="A48" s="52">
        <v>1</v>
      </c>
      <c r="B48" s="52"/>
      <c r="C48" s="52"/>
      <c r="D48" s="52"/>
      <c r="E48" s="52"/>
      <c r="F48" s="52">
        <v>3</v>
      </c>
      <c r="G48" s="52">
        <v>2</v>
      </c>
    </row>
    <row r="49" spans="1:7" x14ac:dyDescent="0.35">
      <c r="A49" s="33" t="s">
        <v>26</v>
      </c>
      <c r="B49" s="34" t="s">
        <v>28</v>
      </c>
      <c r="C49" s="34" t="s">
        <v>29</v>
      </c>
      <c r="D49" s="34" t="s">
        <v>30</v>
      </c>
      <c r="E49" s="34" t="s">
        <v>31</v>
      </c>
      <c r="F49" s="33" t="s">
        <v>32</v>
      </c>
      <c r="G49" s="33" t="s">
        <v>33</v>
      </c>
    </row>
    <row r="50" spans="1:7" x14ac:dyDescent="0.35">
      <c r="A50" s="6">
        <v>12.421600876483801</v>
      </c>
      <c r="B50" s="6">
        <v>12.421600876483801</v>
      </c>
      <c r="C50" s="6">
        <v>0.237684487542793</v>
      </c>
      <c r="D50" s="6">
        <v>295</v>
      </c>
      <c r="E50" s="6" t="s">
        <v>34</v>
      </c>
      <c r="F50" s="6">
        <v>8.3627794494489996E-3</v>
      </c>
      <c r="G50" s="6">
        <v>4.2469999999999999E-3</v>
      </c>
    </row>
    <row r="51" spans="1:7" x14ac:dyDescent="0.35">
      <c r="A51" s="6">
        <v>13.135990367855999</v>
      </c>
      <c r="B51" s="6">
        <v>13.135990367855999</v>
      </c>
      <c r="C51" s="6">
        <v>3.1901471898837998E-2</v>
      </c>
      <c r="D51" s="6">
        <v>374</v>
      </c>
      <c r="E51" s="6" t="s">
        <v>34</v>
      </c>
      <c r="F51" s="6">
        <v>8.3627794494489996E-3</v>
      </c>
      <c r="G51" s="6">
        <v>3.4109000000000001E-3</v>
      </c>
    </row>
    <row r="52" spans="1:7" x14ac:dyDescent="0.35">
      <c r="A52" s="6">
        <v>16.5529968041301</v>
      </c>
      <c r="B52" s="6">
        <v>16.5529968041301</v>
      </c>
      <c r="C52" s="6">
        <v>1.0453474311811199E-2</v>
      </c>
      <c r="D52" s="6">
        <v>422</v>
      </c>
      <c r="E52" s="6" t="s">
        <v>34</v>
      </c>
      <c r="F52" s="6">
        <v>8.3627794494489996E-3</v>
      </c>
      <c r="G52" s="6">
        <v>2.9315999999999999E-3</v>
      </c>
    </row>
    <row r="53" spans="1:7" x14ac:dyDescent="0.35">
      <c r="A53" s="6">
        <v>13.0456192840144</v>
      </c>
      <c r="B53" s="6">
        <v>13.0456192840144</v>
      </c>
      <c r="C53" s="6">
        <v>1.0453474311811199E-2</v>
      </c>
      <c r="D53" s="6">
        <v>419</v>
      </c>
      <c r="E53" s="6" t="s">
        <v>34</v>
      </c>
      <c r="F53" s="6">
        <v>8.3627794494489996E-3</v>
      </c>
      <c r="G53" s="6">
        <v>3.0163E-3</v>
      </c>
    </row>
    <row r="54" spans="1:7" x14ac:dyDescent="0.35">
      <c r="A54" s="6">
        <v>29.545388653152798</v>
      </c>
      <c r="B54" s="6">
        <v>29.545388653152798</v>
      </c>
      <c r="C54" s="6">
        <v>1.3066842889764001E-2</v>
      </c>
      <c r="D54" s="6">
        <v>411</v>
      </c>
      <c r="E54" s="6" t="s">
        <v>34</v>
      </c>
      <c r="F54" s="6">
        <v>8.3627794494489996E-3</v>
      </c>
      <c r="G54" s="6">
        <v>2.7877000000000002E-3</v>
      </c>
    </row>
    <row r="55" spans="1:7" x14ac:dyDescent="0.35">
      <c r="A55" s="6">
        <v>11.8706987523818</v>
      </c>
      <c r="B55" s="6">
        <v>11.8706987523818</v>
      </c>
      <c r="C55" s="6">
        <v>6.2307562302417997E-2</v>
      </c>
      <c r="D55" s="6">
        <v>352</v>
      </c>
      <c r="E55" s="6" t="s">
        <v>34</v>
      </c>
      <c r="F55" s="6">
        <v>8.3627794494489996E-3</v>
      </c>
      <c r="G55" s="6">
        <v>3.4088999999999999E-3</v>
      </c>
    </row>
    <row r="56" spans="1:7" x14ac:dyDescent="0.35">
      <c r="A56" s="6">
        <v>24.978483688553101</v>
      </c>
      <c r="B56" s="6">
        <v>24.978483688553101</v>
      </c>
      <c r="C56" s="6">
        <v>2.04169420152563E-2</v>
      </c>
      <c r="D56" s="6">
        <v>392</v>
      </c>
      <c r="E56" s="6" t="s">
        <v>34</v>
      </c>
      <c r="F56" s="6">
        <v>8.3627794494489996E-3</v>
      </c>
      <c r="G56" s="6">
        <v>3.4299E-3</v>
      </c>
    </row>
    <row r="57" spans="1:7" x14ac:dyDescent="0.35">
      <c r="A57" s="6">
        <v>21.897732811138599</v>
      </c>
      <c r="B57" s="6">
        <v>21.897732811138599</v>
      </c>
      <c r="C57" s="6">
        <v>1.3066842889764001E-2</v>
      </c>
      <c r="D57" s="6">
        <v>412</v>
      </c>
      <c r="E57" s="6" t="s">
        <v>34</v>
      </c>
      <c r="F57" s="6">
        <v>8.3627794494489996E-3</v>
      </c>
      <c r="G57" s="6">
        <v>2.8300999999999999E-3</v>
      </c>
    </row>
    <row r="58" spans="1:7" x14ac:dyDescent="0.35">
      <c r="A58" s="6">
        <v>19.917078680764799</v>
      </c>
      <c r="B58" s="6">
        <v>19.917078680764799</v>
      </c>
      <c r="C58" s="6">
        <v>1.6333553612204999E-2</v>
      </c>
      <c r="D58" s="6">
        <v>403</v>
      </c>
      <c r="E58" s="6" t="s">
        <v>34</v>
      </c>
      <c r="F58" s="6">
        <v>8.3627794494489996E-3</v>
      </c>
      <c r="G58" s="6">
        <v>2.777E-3</v>
      </c>
    </row>
    <row r="59" spans="1:7" x14ac:dyDescent="0.35">
      <c r="A59" s="6">
        <v>17.1792035272547</v>
      </c>
      <c r="B59" s="6">
        <v>17.1792035272547</v>
      </c>
      <c r="C59" s="6">
        <v>1.3066842889764001E-2</v>
      </c>
      <c r="D59" s="6">
        <v>414</v>
      </c>
      <c r="E59" s="6" t="s">
        <v>34</v>
      </c>
      <c r="F59" s="6">
        <v>8.3627794494489996E-3</v>
      </c>
      <c r="G59" s="6">
        <v>3.8452E-3</v>
      </c>
    </row>
    <row r="60" spans="1:7" x14ac:dyDescent="0.35">
      <c r="A60" s="6">
        <v>23.4824524117819</v>
      </c>
      <c r="B60" s="6">
        <v>23.4824524117819</v>
      </c>
      <c r="C60" s="6">
        <v>2.55211775190704E-2</v>
      </c>
      <c r="D60" s="6">
        <v>384</v>
      </c>
      <c r="E60" s="6" t="s">
        <v>34</v>
      </c>
      <c r="F60" s="6">
        <v>8.3627794494489996E-3</v>
      </c>
      <c r="G60" s="6">
        <v>2.7185E-3</v>
      </c>
    </row>
    <row r="61" spans="1:7" x14ac:dyDescent="0.35">
      <c r="A61" s="6">
        <v>3.3381881871916699</v>
      </c>
      <c r="B61" s="6">
        <v>3.3381881871916699</v>
      </c>
      <c r="C61" s="6">
        <v>1.6333553612204999E-2</v>
      </c>
      <c r="D61" s="6">
        <v>401</v>
      </c>
      <c r="E61" s="6" t="s">
        <v>34</v>
      </c>
      <c r="F61" s="6">
        <v>8.3627794494489996E-3</v>
      </c>
      <c r="G61" s="6">
        <v>3.3955000000000001E-3</v>
      </c>
    </row>
    <row r="62" spans="1:7" x14ac:dyDescent="0.35">
      <c r="A62" s="6">
        <v>17.098563202507702</v>
      </c>
      <c r="B62" s="6">
        <v>17.098563202507702</v>
      </c>
      <c r="C62" s="6">
        <v>4.9846049841934401E-2</v>
      </c>
      <c r="D62" s="6">
        <v>360</v>
      </c>
      <c r="E62" s="6" t="s">
        <v>34</v>
      </c>
      <c r="F62" s="6">
        <v>8.3627794494489996E-3</v>
      </c>
      <c r="G62" s="6">
        <v>3.1145000000000001E-3</v>
      </c>
    </row>
    <row r="63" spans="1:7" x14ac:dyDescent="0.35">
      <c r="A63" s="6">
        <v>27.220617935082299</v>
      </c>
      <c r="B63" s="6">
        <v>27.220617935082299</v>
      </c>
      <c r="C63" s="6">
        <v>1.6333553612204999E-2</v>
      </c>
      <c r="D63" s="6">
        <v>402</v>
      </c>
      <c r="E63" s="6" t="s">
        <v>34</v>
      </c>
      <c r="F63" s="6">
        <v>8.3627794494489996E-3</v>
      </c>
      <c r="G63" s="6">
        <v>3.0558E-3</v>
      </c>
    </row>
    <row r="64" spans="1:7" x14ac:dyDescent="0.35">
      <c r="A64" s="6">
        <v>7.07396820846553</v>
      </c>
      <c r="B64" s="6">
        <v>7.07396820846553</v>
      </c>
      <c r="C64" s="6">
        <v>1.0453474311811199E-2</v>
      </c>
      <c r="D64" s="6">
        <v>420</v>
      </c>
      <c r="E64" s="6" t="s">
        <v>34</v>
      </c>
      <c r="F64" s="6">
        <v>8.3627794494489996E-3</v>
      </c>
      <c r="G64" s="6">
        <v>2.8728E-3</v>
      </c>
    </row>
    <row r="65" spans="1:7" x14ac:dyDescent="0.35">
      <c r="A65" s="6">
        <v>24.761037048419499</v>
      </c>
      <c r="B65" s="6">
        <v>24.761037048419499</v>
      </c>
      <c r="C65" s="6">
        <v>4.9846049841934401E-2</v>
      </c>
      <c r="D65" s="6">
        <v>356</v>
      </c>
      <c r="E65" s="6" t="s">
        <v>34</v>
      </c>
      <c r="F65" s="6">
        <v>8.3627794494489996E-3</v>
      </c>
      <c r="G65" s="6">
        <v>3.1177000000000002E-3</v>
      </c>
    </row>
    <row r="66" spans="1:7" x14ac:dyDescent="0.35">
      <c r="A66" s="6">
        <v>34.327727139233801</v>
      </c>
      <c r="B66" s="6">
        <v>34.327727139233801</v>
      </c>
      <c r="C66" s="6">
        <v>1.0453474311811199E-2</v>
      </c>
      <c r="D66" s="6">
        <v>420</v>
      </c>
      <c r="E66" s="6" t="s">
        <v>34</v>
      </c>
      <c r="F66" s="6">
        <v>8.3627794494489996E-3</v>
      </c>
      <c r="G66" s="6">
        <v>3.0959E-3</v>
      </c>
    </row>
    <row r="67" spans="1:7" x14ac:dyDescent="0.35">
      <c r="A67" s="6">
        <v>8.5193311431806809</v>
      </c>
      <c r="B67" s="6">
        <v>8.5193311431806809</v>
      </c>
      <c r="C67" s="6">
        <v>1.3066842889764001E-2</v>
      </c>
      <c r="D67" s="6">
        <v>415</v>
      </c>
      <c r="E67" s="6" t="s">
        <v>34</v>
      </c>
      <c r="F67" s="6">
        <v>8.3627794494489996E-3</v>
      </c>
      <c r="G67" s="6">
        <v>2.9037999999999998E-3</v>
      </c>
    </row>
    <row r="68" spans="1:7" x14ac:dyDescent="0.35">
      <c r="A68" s="6">
        <v>12.429803295176701</v>
      </c>
      <c r="B68" s="6">
        <v>12.429803295176701</v>
      </c>
      <c r="C68" s="6">
        <v>3.1901471898837998E-2</v>
      </c>
      <c r="D68" s="6">
        <v>377</v>
      </c>
      <c r="E68" s="6" t="s">
        <v>34</v>
      </c>
      <c r="F68" s="6">
        <v>8.3627794494489996E-3</v>
      </c>
      <c r="G68" s="6">
        <v>3.4702999999999999E-3</v>
      </c>
    </row>
    <row r="69" spans="1:7" x14ac:dyDescent="0.35">
      <c r="A69" s="6">
        <v>10.778708052882401</v>
      </c>
      <c r="B69" s="6">
        <v>10.778708052882401</v>
      </c>
      <c r="C69" s="6">
        <v>1.0453474311811199E-2</v>
      </c>
      <c r="D69" s="6">
        <v>423</v>
      </c>
      <c r="E69" s="6" t="s">
        <v>34</v>
      </c>
      <c r="F69" s="6">
        <v>8.3627794494489996E-3</v>
      </c>
      <c r="G69" s="6">
        <v>2.7881999999999998E-3</v>
      </c>
    </row>
    <row r="70" spans="1:7" ht="15.5" x14ac:dyDescent="0.35">
      <c r="A70" s="32" t="s">
        <v>38</v>
      </c>
    </row>
    <row r="71" spans="1:7" s="31" customFormat="1" ht="15.5" x14ac:dyDescent="0.35">
      <c r="A71" s="52">
        <v>1</v>
      </c>
      <c r="B71" s="52"/>
      <c r="C71" s="52"/>
      <c r="D71" s="52"/>
      <c r="E71" s="52"/>
      <c r="F71" s="52">
        <v>3</v>
      </c>
      <c r="G71" s="52">
        <v>2</v>
      </c>
    </row>
    <row r="72" spans="1:7" x14ac:dyDescent="0.35">
      <c r="A72" s="33" t="s">
        <v>26</v>
      </c>
      <c r="B72" s="34" t="s">
        <v>28</v>
      </c>
      <c r="C72" s="34" t="s">
        <v>29</v>
      </c>
      <c r="D72" s="34" t="s">
        <v>30</v>
      </c>
      <c r="E72" s="34" t="s">
        <v>31</v>
      </c>
      <c r="F72" s="33" t="s">
        <v>32</v>
      </c>
      <c r="G72" s="33" t="s">
        <v>33</v>
      </c>
    </row>
    <row r="73" spans="1:7" x14ac:dyDescent="0.35">
      <c r="A73" s="6">
        <v>0.38966974047442099</v>
      </c>
      <c r="B73" s="6">
        <v>9.2856287266090298E-2</v>
      </c>
      <c r="C73" s="6">
        <v>0.46422751473201801</v>
      </c>
      <c r="D73" s="6">
        <v>263</v>
      </c>
      <c r="E73" s="6" t="s">
        <v>27</v>
      </c>
      <c r="F73" s="6">
        <v>8.3627794494489996E-3</v>
      </c>
      <c r="G73" s="6">
        <v>3.3137000000000002E-3</v>
      </c>
    </row>
    <row r="74" spans="1:7" x14ac:dyDescent="0.35">
      <c r="A74" s="6">
        <v>7.1185993952143201E-2</v>
      </c>
      <c r="B74" s="6">
        <v>7.1185993952143201E-2</v>
      </c>
      <c r="C74" s="6">
        <v>1.0453474311811199E-2</v>
      </c>
      <c r="D74" s="6">
        <v>424</v>
      </c>
      <c r="E74" s="6" t="s">
        <v>34</v>
      </c>
      <c r="F74" s="6">
        <v>8.3627794494489996E-3</v>
      </c>
      <c r="G74" s="6">
        <v>2.2964000000000001E-3</v>
      </c>
    </row>
    <row r="75" spans="1:7" x14ac:dyDescent="0.35">
      <c r="A75" s="6">
        <v>1.7668252522929299E-2</v>
      </c>
      <c r="B75" s="6">
        <v>1.7668252522929299E-2</v>
      </c>
      <c r="C75" s="6">
        <v>1.0453474311811199E-2</v>
      </c>
      <c r="D75" s="6">
        <v>419</v>
      </c>
      <c r="E75" s="6" t="s">
        <v>34</v>
      </c>
      <c r="F75" s="6">
        <v>8.3627794494489996E-3</v>
      </c>
      <c r="G75" s="6">
        <v>2.2599E-3</v>
      </c>
    </row>
    <row r="76" spans="1:7" x14ac:dyDescent="0.35">
      <c r="A76" s="6">
        <v>2.8225766389562201E-2</v>
      </c>
      <c r="B76" s="6">
        <v>2.8225766389562201E-2</v>
      </c>
      <c r="C76" s="6">
        <v>1.6333553612204999E-2</v>
      </c>
      <c r="D76" s="6">
        <v>400</v>
      </c>
      <c r="E76" s="6" t="s">
        <v>34</v>
      </c>
      <c r="F76" s="6">
        <v>8.3627794494489996E-3</v>
      </c>
      <c r="G76" s="6">
        <v>2.2280999999999998E-3</v>
      </c>
    </row>
    <row r="77" spans="1:7" x14ac:dyDescent="0.35">
      <c r="A77" s="6">
        <v>3.7948880244554402</v>
      </c>
      <c r="B77" s="6">
        <v>3.79142827014581</v>
      </c>
      <c r="C77" s="6">
        <v>3.9876839873547502E-2</v>
      </c>
      <c r="D77" s="6">
        <v>366</v>
      </c>
      <c r="E77" s="6" t="s">
        <v>27</v>
      </c>
      <c r="F77" s="6">
        <v>8.3627794494489996E-3</v>
      </c>
      <c r="G77" s="6">
        <v>2.5888E-3</v>
      </c>
    </row>
    <row r="78" spans="1:7" x14ac:dyDescent="0.35">
      <c r="A78" s="6">
        <v>1.4049108746861201</v>
      </c>
      <c r="B78" s="6">
        <v>0.82792373983478296</v>
      </c>
      <c r="C78" s="6">
        <v>10.555311626649599</v>
      </c>
      <c r="D78" s="6">
        <v>137</v>
      </c>
      <c r="E78" s="6" t="s">
        <v>27</v>
      </c>
      <c r="F78" s="6">
        <v>8.3627794494489996E-3</v>
      </c>
      <c r="G78" s="6">
        <v>2.2867999999999999E-3</v>
      </c>
    </row>
    <row r="79" spans="1:7" x14ac:dyDescent="0.35">
      <c r="A79" s="6">
        <v>0.29024004123718899</v>
      </c>
      <c r="B79" s="6">
        <v>0.290239970994006</v>
      </c>
      <c r="C79" s="6">
        <v>2.04169420152563E-2</v>
      </c>
      <c r="D79" s="6">
        <v>390</v>
      </c>
      <c r="E79" s="6" t="s">
        <v>27</v>
      </c>
      <c r="F79" s="6">
        <v>8.3627794494489996E-3</v>
      </c>
      <c r="G79" s="6">
        <v>2.3216999999999999E-3</v>
      </c>
    </row>
    <row r="80" spans="1:7" x14ac:dyDescent="0.35">
      <c r="A80" s="6">
        <v>0.461096461457009</v>
      </c>
      <c r="B80" s="6">
        <v>0.46109393445362001</v>
      </c>
      <c r="C80" s="6">
        <v>6.2307562302417997E-2</v>
      </c>
      <c r="D80" s="6">
        <v>352</v>
      </c>
      <c r="E80" s="6" t="s">
        <v>27</v>
      </c>
      <c r="F80" s="6">
        <v>8.3627794494489996E-3</v>
      </c>
      <c r="G80" s="6">
        <v>2.3812999999999998E-3</v>
      </c>
    </row>
    <row r="81" spans="1:7" x14ac:dyDescent="0.35">
      <c r="A81" s="6">
        <v>0.219737334099908</v>
      </c>
      <c r="B81" s="6">
        <v>0.219737323418421</v>
      </c>
      <c r="C81" s="6">
        <v>1.6333553612204999E-2</v>
      </c>
      <c r="D81" s="6">
        <v>402</v>
      </c>
      <c r="E81" s="6" t="s">
        <v>27</v>
      </c>
      <c r="F81" s="6">
        <v>8.3627794494489996E-3</v>
      </c>
      <c r="G81" s="6">
        <v>2.1627999999999999E-3</v>
      </c>
    </row>
    <row r="82" spans="1:7" x14ac:dyDescent="0.35">
      <c r="A82" s="6">
        <v>0.79270230331841096</v>
      </c>
      <c r="B82" s="6">
        <v>0.79270230331841096</v>
      </c>
      <c r="C82" s="6">
        <v>3.1901471898837998E-2</v>
      </c>
      <c r="D82" s="6">
        <v>375</v>
      </c>
      <c r="E82" s="6" t="s">
        <v>34</v>
      </c>
      <c r="F82" s="6">
        <v>8.3627794494489996E-3</v>
      </c>
      <c r="G82" s="6">
        <v>2.5360000000000001E-3</v>
      </c>
    </row>
    <row r="83" spans="1:7" x14ac:dyDescent="0.35">
      <c r="A83" s="6">
        <v>2.40517487188625</v>
      </c>
      <c r="B83" s="6">
        <v>2.38679902721125</v>
      </c>
      <c r="C83" s="6">
        <v>1.3066842889764001E-2</v>
      </c>
      <c r="D83" s="6">
        <v>412</v>
      </c>
      <c r="E83" s="6" t="s">
        <v>27</v>
      </c>
      <c r="F83" s="6">
        <v>8.3627794494489996E-3</v>
      </c>
      <c r="G83" s="6">
        <v>2.9175E-3</v>
      </c>
    </row>
    <row r="84" spans="1:7" x14ac:dyDescent="0.35">
      <c r="A84" s="6">
        <v>0.36323167988406502</v>
      </c>
      <c r="B84" s="6">
        <v>0.363231090601778</v>
      </c>
      <c r="C84" s="6">
        <v>1.0453474311811199E-2</v>
      </c>
      <c r="D84" s="6">
        <v>418</v>
      </c>
      <c r="E84" s="6" t="s">
        <v>27</v>
      </c>
      <c r="F84" s="6">
        <v>8.3627794494489996E-3</v>
      </c>
      <c r="G84" s="6">
        <v>2.3433E-3</v>
      </c>
    </row>
    <row r="85" spans="1:7" x14ac:dyDescent="0.35">
      <c r="A85" s="6">
        <v>2.91493921025489E-2</v>
      </c>
      <c r="B85" s="6">
        <v>2.91493921025489E-2</v>
      </c>
      <c r="C85" s="6">
        <v>1.6333553612204999E-2</v>
      </c>
      <c r="D85" s="6">
        <v>405</v>
      </c>
      <c r="E85" s="6" t="s">
        <v>34</v>
      </c>
      <c r="F85" s="6">
        <v>8.3627794494489996E-3</v>
      </c>
      <c r="G85" s="6">
        <v>2.0958999999999999E-3</v>
      </c>
    </row>
    <row r="86" spans="1:7" x14ac:dyDescent="0.35">
      <c r="A86" s="6">
        <v>6.1552130865852303E-2</v>
      </c>
      <c r="B86" s="6">
        <v>2.9881107594525901E-2</v>
      </c>
      <c r="C86" s="6">
        <v>1.0453474311811199E-2</v>
      </c>
      <c r="D86" s="6">
        <v>419</v>
      </c>
      <c r="E86" s="6" t="s">
        <v>27</v>
      </c>
      <c r="F86" s="6">
        <v>8.3627794494489996E-3</v>
      </c>
      <c r="G86" s="6">
        <v>2.2162000000000002E-3</v>
      </c>
    </row>
    <row r="87" spans="1:7" x14ac:dyDescent="0.35">
      <c r="A87" s="6">
        <v>0.478840168839612</v>
      </c>
      <c r="B87" s="6">
        <v>0.478840168839612</v>
      </c>
      <c r="C87" s="6">
        <v>1.6333553612204999E-2</v>
      </c>
      <c r="D87" s="6">
        <v>406</v>
      </c>
      <c r="E87" s="6" t="s">
        <v>34</v>
      </c>
      <c r="F87" s="6">
        <v>8.3627794494489996E-3</v>
      </c>
      <c r="G87" s="6">
        <v>2.3156000000000001E-3</v>
      </c>
    </row>
    <row r="88" spans="1:7" x14ac:dyDescent="0.35">
      <c r="A88" s="6">
        <v>1.25229671209713E-2</v>
      </c>
      <c r="B88" s="6">
        <v>8.3473045663525394E-3</v>
      </c>
      <c r="C88" s="6">
        <v>2.55211775190704E-2</v>
      </c>
      <c r="D88" s="6">
        <v>383</v>
      </c>
      <c r="E88" s="6" t="s">
        <v>27</v>
      </c>
      <c r="F88" s="6">
        <v>8.3627794494489996E-3</v>
      </c>
      <c r="G88" s="6">
        <v>2.3817999999999999E-3</v>
      </c>
    </row>
    <row r="89" spans="1:7" x14ac:dyDescent="0.35">
      <c r="A89" s="6">
        <v>0.43836673333792497</v>
      </c>
      <c r="B89" s="6">
        <v>0.24274230057354701</v>
      </c>
      <c r="C89" s="6">
        <v>2.2136092888451402</v>
      </c>
      <c r="D89" s="6">
        <v>204</v>
      </c>
      <c r="E89" s="6" t="s">
        <v>27</v>
      </c>
      <c r="F89" s="6">
        <v>8.3627794494489996E-3</v>
      </c>
      <c r="G89" s="6">
        <v>2.7501000000000001E-3</v>
      </c>
    </row>
    <row r="90" spans="1:7" x14ac:dyDescent="0.35">
      <c r="A90" s="6">
        <v>7.4887518750958799</v>
      </c>
      <c r="B90" s="6">
        <v>7.4887518750958799</v>
      </c>
      <c r="C90" s="6">
        <v>1.0453474311811199E-2</v>
      </c>
      <c r="D90" s="6">
        <v>423</v>
      </c>
      <c r="E90" s="6" t="s">
        <v>34</v>
      </c>
      <c r="F90" s="6">
        <v>8.3627794494489996E-3</v>
      </c>
      <c r="G90" s="6">
        <v>2.4325000000000002E-3</v>
      </c>
    </row>
    <row r="91" spans="1:7" x14ac:dyDescent="0.35">
      <c r="A91" s="6">
        <v>0.24405797189210901</v>
      </c>
      <c r="B91" s="6">
        <v>0.23854978912368399</v>
      </c>
      <c r="C91" s="6">
        <v>2.55211775190704E-2</v>
      </c>
      <c r="D91" s="6">
        <v>387</v>
      </c>
      <c r="E91" s="6" t="s">
        <v>27</v>
      </c>
      <c r="F91" s="6">
        <v>8.3627794494489996E-3</v>
      </c>
      <c r="G91" s="6">
        <v>2.3751000000000002E-3</v>
      </c>
    </row>
    <row r="92" spans="1:7" x14ac:dyDescent="0.35">
      <c r="A92" s="6">
        <v>0.76287863750316498</v>
      </c>
      <c r="B92" s="6">
        <v>0.76287863750316498</v>
      </c>
      <c r="C92" s="6">
        <v>1.6333553612204999E-2</v>
      </c>
      <c r="D92" s="6">
        <v>402</v>
      </c>
      <c r="E92" s="6" t="s">
        <v>34</v>
      </c>
      <c r="F92" s="6">
        <v>8.3627794494489996E-3</v>
      </c>
      <c r="G92" s="6">
        <v>2.1155000000000002E-3</v>
      </c>
    </row>
    <row r="93" spans="1:7" ht="15.5" x14ac:dyDescent="0.35">
      <c r="A93" s="32" t="s">
        <v>39</v>
      </c>
    </row>
    <row r="94" spans="1:7" s="31" customFormat="1" ht="15.5" x14ac:dyDescent="0.35">
      <c r="A94" s="52">
        <v>1</v>
      </c>
      <c r="B94" s="52"/>
      <c r="C94" s="52"/>
      <c r="D94" s="52"/>
      <c r="E94" s="52"/>
      <c r="F94" s="52">
        <v>3</v>
      </c>
      <c r="G94" s="52">
        <v>2</v>
      </c>
    </row>
    <row r="95" spans="1:7" x14ac:dyDescent="0.35">
      <c r="A95" s="33" t="s">
        <v>26</v>
      </c>
      <c r="B95" s="34" t="s">
        <v>28</v>
      </c>
      <c r="C95" s="34" t="s">
        <v>29</v>
      </c>
      <c r="D95" s="34" t="s">
        <v>30</v>
      </c>
      <c r="E95" s="34" t="s">
        <v>31</v>
      </c>
      <c r="F95" s="33" t="s">
        <v>32</v>
      </c>
      <c r="G95" s="33" t="s">
        <v>33</v>
      </c>
    </row>
    <row r="96" spans="1:7" x14ac:dyDescent="0.35">
      <c r="A96" s="6">
        <v>6.1077324994465503</v>
      </c>
      <c r="B96" s="6">
        <v>6.1077324994465503</v>
      </c>
      <c r="C96" s="6">
        <v>1.3066842889764001E-2</v>
      </c>
      <c r="D96" s="6">
        <v>414</v>
      </c>
      <c r="E96" s="6" t="s">
        <v>34</v>
      </c>
      <c r="F96" s="6">
        <v>8.3627794494489996E-3</v>
      </c>
      <c r="G96" s="6">
        <v>4.8450000000000003E-3</v>
      </c>
    </row>
    <row r="97" spans="1:7" x14ac:dyDescent="0.35">
      <c r="A97" s="6">
        <v>5.5211908759402997</v>
      </c>
      <c r="B97" s="6">
        <v>5.5211908759402997</v>
      </c>
      <c r="C97" s="6">
        <v>1.0453474311811199E-2</v>
      </c>
      <c r="D97" s="6">
        <v>418</v>
      </c>
      <c r="E97" s="6" t="s">
        <v>34</v>
      </c>
      <c r="F97" s="6">
        <v>8.3627794494489996E-3</v>
      </c>
      <c r="G97" s="6">
        <v>3.6091000000000001E-3</v>
      </c>
    </row>
    <row r="98" spans="1:7" x14ac:dyDescent="0.35">
      <c r="A98" s="6">
        <v>5.2830056609337497</v>
      </c>
      <c r="B98" s="6">
        <v>5.2830056609337497</v>
      </c>
      <c r="C98" s="6">
        <v>1.0453474311811199E-2</v>
      </c>
      <c r="D98" s="6">
        <v>418</v>
      </c>
      <c r="E98" s="6" t="s">
        <v>34</v>
      </c>
      <c r="F98" s="6">
        <v>8.3627794494489996E-3</v>
      </c>
      <c r="G98" s="6">
        <v>3.4497999999999998E-3</v>
      </c>
    </row>
    <row r="99" spans="1:7" x14ac:dyDescent="0.35">
      <c r="A99" s="6">
        <v>4.5031915389445798</v>
      </c>
      <c r="B99" s="6">
        <v>4.5031915389445798</v>
      </c>
      <c r="C99" s="6">
        <v>3.9876839873547502E-2</v>
      </c>
      <c r="D99" s="6">
        <v>370</v>
      </c>
      <c r="E99" s="6" t="s">
        <v>34</v>
      </c>
      <c r="F99" s="6">
        <v>8.3627794494489996E-3</v>
      </c>
      <c r="G99" s="6">
        <v>3.591E-3</v>
      </c>
    </row>
    <row r="100" spans="1:7" x14ac:dyDescent="0.35">
      <c r="A100" s="6">
        <v>5.0592089324645002</v>
      </c>
      <c r="B100" s="6">
        <v>5.0592089324645002</v>
      </c>
      <c r="C100" s="6">
        <v>1.0453474311811199E-2</v>
      </c>
      <c r="D100" s="6">
        <v>420</v>
      </c>
      <c r="E100" s="6" t="s">
        <v>34</v>
      </c>
      <c r="F100" s="6">
        <v>8.3627794494489996E-3</v>
      </c>
      <c r="G100" s="6">
        <v>3.6903999999999999E-3</v>
      </c>
    </row>
    <row r="101" spans="1:7" x14ac:dyDescent="0.35">
      <c r="A101" s="6">
        <v>6.84453490820054</v>
      </c>
      <c r="B101" s="6">
        <v>6.84453490820054</v>
      </c>
      <c r="C101" s="6">
        <v>1.3066842889764001E-2</v>
      </c>
      <c r="D101" s="6">
        <v>413</v>
      </c>
      <c r="E101" s="6" t="s">
        <v>34</v>
      </c>
      <c r="F101" s="6">
        <v>8.3627794494489996E-3</v>
      </c>
      <c r="G101" s="6">
        <v>4.2313999999999997E-3</v>
      </c>
    </row>
    <row r="102" spans="1:7" x14ac:dyDescent="0.35">
      <c r="A102" s="6">
        <v>4.5876788587246002</v>
      </c>
      <c r="B102" s="6">
        <v>4.5876788587246002</v>
      </c>
      <c r="C102" s="6">
        <v>1.0453474311811199E-2</v>
      </c>
      <c r="D102" s="6">
        <v>422</v>
      </c>
      <c r="E102" s="6" t="s">
        <v>34</v>
      </c>
      <c r="F102" s="6">
        <v>8.3627794494489996E-3</v>
      </c>
      <c r="G102" s="6">
        <v>3.6505999999999999E-3</v>
      </c>
    </row>
    <row r="103" spans="1:7" x14ac:dyDescent="0.35">
      <c r="A103" s="6">
        <v>5.1067993461679198</v>
      </c>
      <c r="B103" s="6">
        <v>5.1067993461679198</v>
      </c>
      <c r="C103" s="6">
        <v>1.3066842889764001E-2</v>
      </c>
      <c r="D103" s="6">
        <v>415</v>
      </c>
      <c r="E103" s="6" t="s">
        <v>34</v>
      </c>
      <c r="F103" s="6">
        <v>8.3627794494489996E-3</v>
      </c>
      <c r="G103" s="6">
        <v>3.5233999999999999E-3</v>
      </c>
    </row>
    <row r="104" spans="1:7" x14ac:dyDescent="0.35">
      <c r="A104" s="6">
        <v>5.4693847293574303</v>
      </c>
      <c r="B104" s="6">
        <v>5.4693847293574303</v>
      </c>
      <c r="C104" s="6">
        <v>2.55211775190704E-2</v>
      </c>
      <c r="D104" s="6">
        <v>383</v>
      </c>
      <c r="E104" s="6" t="s">
        <v>34</v>
      </c>
      <c r="F104" s="6">
        <v>8.3627794494489996E-3</v>
      </c>
      <c r="G104" s="6">
        <v>3.9984E-3</v>
      </c>
    </row>
    <row r="105" spans="1:7" x14ac:dyDescent="0.35">
      <c r="A105" s="6">
        <v>4.2823192366789096</v>
      </c>
      <c r="B105" s="6">
        <v>4.2823192366789096</v>
      </c>
      <c r="C105" s="6">
        <v>1.3066842889764001E-2</v>
      </c>
      <c r="D105" s="6">
        <v>407</v>
      </c>
      <c r="E105" s="6" t="s">
        <v>34</v>
      </c>
      <c r="F105" s="6">
        <v>8.3627794494489996E-3</v>
      </c>
      <c r="G105" s="6">
        <v>3.9826000000000002E-3</v>
      </c>
    </row>
    <row r="106" spans="1:7" x14ac:dyDescent="0.35">
      <c r="A106" s="6">
        <v>4.7539900640720498</v>
      </c>
      <c r="B106" s="6">
        <v>4.7539900640720498</v>
      </c>
      <c r="C106" s="6">
        <v>3.1901471898837998E-2</v>
      </c>
      <c r="D106" s="6">
        <v>374</v>
      </c>
      <c r="E106" s="6" t="s">
        <v>34</v>
      </c>
      <c r="F106" s="6">
        <v>8.3627794494489996E-3</v>
      </c>
      <c r="G106" s="6">
        <v>3.5309999999999999E-3</v>
      </c>
    </row>
    <row r="107" spans="1:7" x14ac:dyDescent="0.35">
      <c r="A107" s="6">
        <v>2.9633491431280201</v>
      </c>
      <c r="B107" s="6">
        <v>2.9633491431280201</v>
      </c>
      <c r="C107" s="6">
        <v>1.6333553612204999E-2</v>
      </c>
      <c r="D107" s="6">
        <v>403</v>
      </c>
      <c r="E107" s="6" t="s">
        <v>34</v>
      </c>
      <c r="F107" s="6">
        <v>8.3627794494489996E-3</v>
      </c>
      <c r="G107" s="6">
        <v>3.5406999999999999E-3</v>
      </c>
    </row>
    <row r="108" spans="1:7" x14ac:dyDescent="0.35">
      <c r="A108" s="6">
        <v>5.03697550684433</v>
      </c>
      <c r="B108" s="6">
        <v>5.03697550684433</v>
      </c>
      <c r="C108" s="6">
        <v>2.55211775190704E-2</v>
      </c>
      <c r="D108" s="6">
        <v>383</v>
      </c>
      <c r="E108" s="6" t="s">
        <v>34</v>
      </c>
      <c r="F108" s="6">
        <v>8.3627794494489996E-3</v>
      </c>
      <c r="G108" s="6">
        <v>3.6621000000000002E-3</v>
      </c>
    </row>
    <row r="109" spans="1:7" x14ac:dyDescent="0.35">
      <c r="A109" s="6">
        <v>7.9450169234564099</v>
      </c>
      <c r="B109" s="6">
        <v>7.9450169234564099</v>
      </c>
      <c r="C109" s="6">
        <v>1.6333553612204999E-2</v>
      </c>
      <c r="D109" s="6">
        <v>401</v>
      </c>
      <c r="E109" s="6" t="s">
        <v>34</v>
      </c>
      <c r="F109" s="6">
        <v>8.3627794494489996E-3</v>
      </c>
      <c r="G109" s="6">
        <v>4.1955999999999999E-3</v>
      </c>
    </row>
    <row r="110" spans="1:7" x14ac:dyDescent="0.35">
      <c r="A110" s="6">
        <v>6.0512838475948296</v>
      </c>
      <c r="B110" s="6">
        <v>6.0512838475948296</v>
      </c>
      <c r="C110" s="6">
        <v>3.9876839873547502E-2</v>
      </c>
      <c r="D110" s="6">
        <v>366</v>
      </c>
      <c r="E110" s="6" t="s">
        <v>34</v>
      </c>
      <c r="F110" s="6">
        <v>8.3627794494489996E-3</v>
      </c>
      <c r="G110" s="6">
        <v>3.3965000000000002E-3</v>
      </c>
    </row>
    <row r="111" spans="1:7" x14ac:dyDescent="0.35">
      <c r="A111" s="6">
        <v>4.5356603948645899</v>
      </c>
      <c r="B111" s="6">
        <v>4.5356603948645899</v>
      </c>
      <c r="C111" s="6">
        <v>3.9876839873547502E-2</v>
      </c>
      <c r="D111" s="6">
        <v>367</v>
      </c>
      <c r="E111" s="6" t="s">
        <v>34</v>
      </c>
      <c r="F111" s="6">
        <v>8.3627794494489996E-3</v>
      </c>
      <c r="G111" s="6">
        <v>3.4404000000000001E-3</v>
      </c>
    </row>
    <row r="112" spans="1:7" x14ac:dyDescent="0.35">
      <c r="A112" s="6">
        <v>6.8075499871311402</v>
      </c>
      <c r="B112" s="6">
        <v>6.8075499871311402</v>
      </c>
      <c r="C112" s="6">
        <v>1.6333553612204999E-2</v>
      </c>
      <c r="D112" s="6">
        <v>406</v>
      </c>
      <c r="E112" s="6" t="s">
        <v>34</v>
      </c>
      <c r="F112" s="6">
        <v>8.3627794494489996E-3</v>
      </c>
      <c r="G112" s="6">
        <v>3.6181E-3</v>
      </c>
    </row>
    <row r="113" spans="1:7" x14ac:dyDescent="0.35">
      <c r="A113" s="6">
        <v>4.7598130693233296</v>
      </c>
      <c r="B113" s="6">
        <v>4.7598130693233296</v>
      </c>
      <c r="C113" s="6">
        <v>3.1901471898837998E-2</v>
      </c>
      <c r="D113" s="6">
        <v>374</v>
      </c>
      <c r="E113" s="6" t="s">
        <v>34</v>
      </c>
      <c r="F113" s="6">
        <v>8.3627794494489996E-3</v>
      </c>
      <c r="G113" s="6">
        <v>4.4282999999999996E-3</v>
      </c>
    </row>
    <row r="114" spans="1:7" x14ac:dyDescent="0.35">
      <c r="A114" s="6">
        <v>6.3170069137394496</v>
      </c>
      <c r="B114" s="6">
        <v>6.3170069137394496</v>
      </c>
      <c r="C114" s="6">
        <v>1.0453474311811199E-2</v>
      </c>
      <c r="D114" s="6">
        <v>419</v>
      </c>
      <c r="E114" s="6" t="s">
        <v>34</v>
      </c>
      <c r="F114" s="6">
        <v>8.3627794494489996E-3</v>
      </c>
      <c r="G114" s="6">
        <v>3.7445999999999998E-3</v>
      </c>
    </row>
    <row r="115" spans="1:7" x14ac:dyDescent="0.35">
      <c r="A115" s="6">
        <v>6.2784039417109296</v>
      </c>
      <c r="B115" s="6">
        <v>6.2784039417109296</v>
      </c>
      <c r="C115" s="6">
        <v>2.04169420152563E-2</v>
      </c>
      <c r="D115" s="6">
        <v>396</v>
      </c>
      <c r="E115" s="6" t="s">
        <v>34</v>
      </c>
      <c r="F115" s="6">
        <v>8.3627794494489996E-3</v>
      </c>
      <c r="G115" s="6">
        <v>3.4390000000000002E-3</v>
      </c>
    </row>
    <row r="116" spans="1:7" ht="15.5" x14ac:dyDescent="0.35">
      <c r="A116" s="32" t="s">
        <v>40</v>
      </c>
    </row>
    <row r="117" spans="1:7" s="31" customFormat="1" ht="15.5" x14ac:dyDescent="0.35">
      <c r="A117" s="52">
        <v>1</v>
      </c>
      <c r="B117" s="52"/>
      <c r="C117" s="52"/>
      <c r="D117" s="52"/>
      <c r="E117" s="52"/>
      <c r="F117" s="52">
        <v>3</v>
      </c>
      <c r="G117" s="52">
        <v>2</v>
      </c>
    </row>
    <row r="118" spans="1:7" x14ac:dyDescent="0.35">
      <c r="A118" s="33" t="s">
        <v>26</v>
      </c>
      <c r="B118" s="34" t="s">
        <v>28</v>
      </c>
      <c r="C118" s="34" t="s">
        <v>29</v>
      </c>
      <c r="D118" s="34" t="s">
        <v>30</v>
      </c>
      <c r="E118" s="34" t="s">
        <v>31</v>
      </c>
      <c r="F118" s="33" t="s">
        <v>32</v>
      </c>
      <c r="G118" s="33" t="s">
        <v>33</v>
      </c>
    </row>
    <row r="119" spans="1:7" x14ac:dyDescent="0.35">
      <c r="A119" s="6">
        <v>5.6732131413477402</v>
      </c>
      <c r="B119" s="6">
        <v>5.6732131413477402</v>
      </c>
      <c r="C119" s="6">
        <v>1.0453474311811199E-2</v>
      </c>
      <c r="D119" s="6">
        <v>424</v>
      </c>
      <c r="E119" s="6" t="s">
        <v>34</v>
      </c>
      <c r="F119" s="6">
        <v>8.3627794494489996E-3</v>
      </c>
      <c r="G119" s="6">
        <v>3.7081000000000002E-3</v>
      </c>
    </row>
    <row r="120" spans="1:7" x14ac:dyDescent="0.35">
      <c r="A120" s="6">
        <v>8.4033848038909706</v>
      </c>
      <c r="B120" s="6">
        <v>8.4033848038909706</v>
      </c>
      <c r="C120" s="6">
        <v>1.6333553612204999E-2</v>
      </c>
      <c r="D120" s="6">
        <v>399</v>
      </c>
      <c r="E120" s="6" t="s">
        <v>34</v>
      </c>
      <c r="F120" s="6">
        <v>8.3627794494489996E-3</v>
      </c>
      <c r="G120" s="6">
        <v>2.2541000000000002E-3</v>
      </c>
    </row>
    <row r="121" spans="1:7" x14ac:dyDescent="0.35">
      <c r="A121" s="6">
        <v>3.27334478655172</v>
      </c>
      <c r="B121" s="6">
        <v>3.27334478655172</v>
      </c>
      <c r="C121" s="6">
        <v>2.04169420152563E-2</v>
      </c>
      <c r="D121" s="6">
        <v>393</v>
      </c>
      <c r="E121" s="6" t="s">
        <v>34</v>
      </c>
      <c r="F121" s="6">
        <v>8.3627794494489996E-3</v>
      </c>
      <c r="G121" s="6">
        <v>2.1862000000000001E-3</v>
      </c>
    </row>
    <row r="122" spans="1:7" x14ac:dyDescent="0.35">
      <c r="A122" s="6">
        <v>3.1562806402028998</v>
      </c>
      <c r="B122" s="6">
        <v>3.1562806402028998</v>
      </c>
      <c r="C122" s="6">
        <v>1.6333553612204999E-2</v>
      </c>
      <c r="D122" s="6">
        <v>400</v>
      </c>
      <c r="E122" s="6" t="s">
        <v>34</v>
      </c>
      <c r="F122" s="6">
        <v>8.3627794494489996E-3</v>
      </c>
      <c r="G122" s="6">
        <v>2.0942000000000001E-3</v>
      </c>
    </row>
    <row r="123" spans="1:7" x14ac:dyDescent="0.35">
      <c r="A123" s="6">
        <v>1.9190381754988199</v>
      </c>
      <c r="B123" s="6">
        <v>1.9190381754988199</v>
      </c>
      <c r="C123" s="6">
        <v>1.0453474311811199E-2</v>
      </c>
      <c r="D123" s="6">
        <v>424</v>
      </c>
      <c r="E123" s="6" t="s">
        <v>34</v>
      </c>
      <c r="F123" s="6">
        <v>8.3627794494489996E-3</v>
      </c>
      <c r="G123" s="6">
        <v>2.6519999999999998E-3</v>
      </c>
    </row>
    <row r="124" spans="1:7" x14ac:dyDescent="0.35">
      <c r="A124" s="6">
        <v>8.3972282147029098</v>
      </c>
      <c r="B124" s="6">
        <v>8.3972282147029098</v>
      </c>
      <c r="C124" s="6">
        <v>4.9846049841934401E-2</v>
      </c>
      <c r="D124" s="6">
        <v>354</v>
      </c>
      <c r="E124" s="6" t="s">
        <v>34</v>
      </c>
      <c r="F124" s="6">
        <v>8.3627794494489996E-3</v>
      </c>
      <c r="G124" s="6">
        <v>2.4654E-3</v>
      </c>
    </row>
    <row r="125" spans="1:7" x14ac:dyDescent="0.35">
      <c r="A125" s="6">
        <v>3.6589583881865102</v>
      </c>
      <c r="B125" s="6">
        <v>3.6589583881865102</v>
      </c>
      <c r="C125" s="6">
        <v>1.6333553612204999E-2</v>
      </c>
      <c r="D125" s="6">
        <v>402</v>
      </c>
      <c r="E125" s="6" t="s">
        <v>34</v>
      </c>
      <c r="F125" s="6">
        <v>8.3627794494489996E-3</v>
      </c>
      <c r="G125" s="6">
        <v>2.3E-3</v>
      </c>
    </row>
    <row r="126" spans="1:7" x14ac:dyDescent="0.35">
      <c r="A126" s="6">
        <v>3.1958220065144198</v>
      </c>
      <c r="B126" s="6">
        <v>3.1958220065144198</v>
      </c>
      <c r="C126" s="6">
        <v>1.6333553612204999E-2</v>
      </c>
      <c r="D126" s="6">
        <v>400</v>
      </c>
      <c r="E126" s="6" t="s">
        <v>34</v>
      </c>
      <c r="F126" s="6">
        <v>8.3627794494489996E-3</v>
      </c>
      <c r="G126" s="6">
        <v>2.2060000000000001E-3</v>
      </c>
    </row>
    <row r="127" spans="1:7" x14ac:dyDescent="0.35">
      <c r="A127" s="6">
        <v>7.2177937848048197</v>
      </c>
      <c r="B127" s="6">
        <v>7.2177937848048197</v>
      </c>
      <c r="C127" s="6">
        <v>1.3066842889764001E-2</v>
      </c>
      <c r="D127" s="6">
        <v>408</v>
      </c>
      <c r="E127" s="6" t="s">
        <v>34</v>
      </c>
      <c r="F127" s="6">
        <v>8.3627794494489996E-3</v>
      </c>
      <c r="G127" s="6">
        <v>2.2128999999999998E-3</v>
      </c>
    </row>
    <row r="128" spans="1:7" x14ac:dyDescent="0.35">
      <c r="A128" s="6">
        <v>11.2354466850463</v>
      </c>
      <c r="B128" s="6">
        <v>11.2354466850463</v>
      </c>
      <c r="C128" s="6">
        <v>2.04169420152563E-2</v>
      </c>
      <c r="D128" s="6">
        <v>389</v>
      </c>
      <c r="E128" s="6" t="s">
        <v>34</v>
      </c>
      <c r="F128" s="6">
        <v>8.3627794494489996E-3</v>
      </c>
      <c r="G128" s="6">
        <v>2.2282000000000001E-3</v>
      </c>
    </row>
    <row r="129" spans="1:7" x14ac:dyDescent="0.35">
      <c r="A129" s="6">
        <v>5.9587248068894096</v>
      </c>
      <c r="B129" s="6">
        <v>5.9587248068894096</v>
      </c>
      <c r="C129" s="6">
        <v>2.55211775190704E-2</v>
      </c>
      <c r="D129" s="6">
        <v>388</v>
      </c>
      <c r="E129" s="6" t="s">
        <v>34</v>
      </c>
      <c r="F129" s="6">
        <v>8.3627794494489996E-3</v>
      </c>
      <c r="G129" s="6">
        <v>2.1218999999999999E-3</v>
      </c>
    </row>
    <row r="130" spans="1:7" x14ac:dyDescent="0.35">
      <c r="A130" s="6">
        <v>10.1820548254592</v>
      </c>
      <c r="B130" s="6">
        <v>10.1820548254592</v>
      </c>
      <c r="C130" s="6">
        <v>2.04169420152563E-2</v>
      </c>
      <c r="D130" s="6">
        <v>397</v>
      </c>
      <c r="E130" s="6" t="s">
        <v>34</v>
      </c>
      <c r="F130" s="6">
        <v>8.3627794494489996E-3</v>
      </c>
      <c r="G130" s="6">
        <v>3.3525999999999999E-3</v>
      </c>
    </row>
    <row r="131" spans="1:7" x14ac:dyDescent="0.35">
      <c r="A131" s="6">
        <v>2.8143722892422298</v>
      </c>
      <c r="B131" s="6">
        <v>2.8143722892422298</v>
      </c>
      <c r="C131" s="6">
        <v>1.0453474311811199E-2</v>
      </c>
      <c r="D131" s="6">
        <v>420</v>
      </c>
      <c r="E131" s="6" t="s">
        <v>34</v>
      </c>
      <c r="F131" s="6">
        <v>8.3627794494489996E-3</v>
      </c>
      <c r="G131" s="6">
        <v>2.4978000000000001E-3</v>
      </c>
    </row>
    <row r="132" spans="1:7" x14ac:dyDescent="0.35">
      <c r="A132" s="6">
        <v>6.6680526379384499</v>
      </c>
      <c r="B132" s="6">
        <v>6.6680526379384499</v>
      </c>
      <c r="C132" s="6">
        <v>1.0453474311811199E-2</v>
      </c>
      <c r="D132" s="6">
        <v>421</v>
      </c>
      <c r="E132" s="6" t="s">
        <v>34</v>
      </c>
      <c r="F132" s="6">
        <v>8.3627794494489996E-3</v>
      </c>
      <c r="G132" s="6">
        <v>2.1632999999999999E-3</v>
      </c>
    </row>
    <row r="133" spans="1:7" x14ac:dyDescent="0.35">
      <c r="A133" s="6">
        <v>7.0718457738280804</v>
      </c>
      <c r="B133" s="6">
        <v>7.07093653186738</v>
      </c>
      <c r="C133" s="6">
        <v>7.7884452878022495E-2</v>
      </c>
      <c r="D133" s="6">
        <v>335</v>
      </c>
      <c r="E133" s="6" t="s">
        <v>27</v>
      </c>
      <c r="F133" s="6">
        <v>8.3627794494489996E-3</v>
      </c>
      <c r="G133" s="6">
        <v>2.1928E-3</v>
      </c>
    </row>
    <row r="134" spans="1:7" x14ac:dyDescent="0.35">
      <c r="A134" s="6">
        <v>10.5891507621615</v>
      </c>
      <c r="B134" s="6">
        <v>10.5891507621615</v>
      </c>
      <c r="C134" s="6">
        <v>1.6333553612204999E-2</v>
      </c>
      <c r="D134" s="6">
        <v>404</v>
      </c>
      <c r="E134" s="6" t="s">
        <v>34</v>
      </c>
      <c r="F134" s="6">
        <v>8.3627794494489996E-3</v>
      </c>
      <c r="G134" s="6">
        <v>2.2912000000000002E-3</v>
      </c>
    </row>
    <row r="135" spans="1:7" x14ac:dyDescent="0.35">
      <c r="A135" s="6">
        <v>4.5764706268594999</v>
      </c>
      <c r="B135" s="6">
        <v>4.5764706268594999</v>
      </c>
      <c r="C135" s="6">
        <v>3.1901471898837998E-2</v>
      </c>
      <c r="D135" s="6">
        <v>374</v>
      </c>
      <c r="E135" s="6" t="s">
        <v>34</v>
      </c>
      <c r="F135" s="6">
        <v>8.3627794494489996E-3</v>
      </c>
      <c r="G135" s="6">
        <v>2.238E-3</v>
      </c>
    </row>
    <row r="136" spans="1:7" x14ac:dyDescent="0.35">
      <c r="A136" s="6">
        <v>3.0002213286376298</v>
      </c>
      <c r="B136" s="6">
        <v>3.0002213286376298</v>
      </c>
      <c r="C136" s="6">
        <v>1.6333553612204999E-2</v>
      </c>
      <c r="D136" s="6">
        <v>406</v>
      </c>
      <c r="E136" s="6" t="s">
        <v>34</v>
      </c>
      <c r="F136" s="6">
        <v>8.3627794494489996E-3</v>
      </c>
      <c r="G136" s="6">
        <v>3.1630999999999999E-3</v>
      </c>
    </row>
    <row r="137" spans="1:7" x14ac:dyDescent="0.35">
      <c r="A137" s="6">
        <v>8.39618962577776</v>
      </c>
      <c r="B137" s="6">
        <v>8.39618962577776</v>
      </c>
      <c r="C137" s="6">
        <v>1.0453474311811199E-2</v>
      </c>
      <c r="D137" s="6">
        <v>420</v>
      </c>
      <c r="E137" s="6" t="s">
        <v>34</v>
      </c>
      <c r="F137" s="6">
        <v>8.3627794494489996E-3</v>
      </c>
      <c r="G137" s="6">
        <v>2.2212999999999998E-3</v>
      </c>
    </row>
    <row r="138" spans="1:7" x14ac:dyDescent="0.35">
      <c r="A138" s="6">
        <v>6.39165184469514</v>
      </c>
      <c r="B138" s="6">
        <v>6.39165184469514</v>
      </c>
      <c r="C138" s="6">
        <v>4.9846049841934401E-2</v>
      </c>
      <c r="D138" s="6">
        <v>358</v>
      </c>
      <c r="E138" s="6" t="s">
        <v>34</v>
      </c>
      <c r="F138" s="6">
        <v>8.3627794494489996E-3</v>
      </c>
      <c r="G138" s="6">
        <v>2.1597000000000001E-3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7ED0-2031-4C55-87FB-E5C311FFC103}">
  <dimension ref="A1:G132"/>
  <sheetViews>
    <sheetView topLeftCell="A111" workbookViewId="0">
      <selection activeCell="J116" sqref="J116"/>
    </sheetView>
  </sheetViews>
  <sheetFormatPr baseColWidth="10" defaultRowHeight="14.5" x14ac:dyDescent="0.35"/>
  <cols>
    <col min="1" max="7" width="10.90625" style="6"/>
  </cols>
  <sheetData>
    <row r="1" spans="1:7" s="6" customFormat="1" ht="15.5" x14ac:dyDescent="0.35">
      <c r="A1" s="32" t="s">
        <v>42</v>
      </c>
      <c r="B1" s="32"/>
      <c r="C1" s="32"/>
    </row>
    <row r="2" spans="1:7" s="6" customFormat="1" x14ac:dyDescent="0.35">
      <c r="A2" s="33" t="s">
        <v>26</v>
      </c>
      <c r="B2" s="33" t="s">
        <v>33</v>
      </c>
      <c r="C2" s="33" t="s">
        <v>32</v>
      </c>
      <c r="D2" s="34" t="s">
        <v>28</v>
      </c>
      <c r="E2" s="34" t="s">
        <v>29</v>
      </c>
      <c r="F2" s="34" t="s">
        <v>30</v>
      </c>
      <c r="G2" s="34" t="s">
        <v>31</v>
      </c>
    </row>
    <row r="3" spans="1:7" x14ac:dyDescent="0.35">
      <c r="A3" s="6">
        <v>21.000113679224601</v>
      </c>
      <c r="B3" s="6">
        <v>3.6351E-3</v>
      </c>
      <c r="C3" s="6">
        <v>5.4043195528446004</v>
      </c>
      <c r="D3" s="6">
        <v>11.901160819202399</v>
      </c>
      <c r="E3" s="6">
        <v>62.914560000000002</v>
      </c>
      <c r="F3" s="6">
        <v>220</v>
      </c>
      <c r="G3" s="6" t="s">
        <v>27</v>
      </c>
    </row>
    <row r="4" spans="1:7" x14ac:dyDescent="0.35">
      <c r="A4" s="6">
        <v>17.201826904066898</v>
      </c>
      <c r="B4" s="6">
        <v>3.2954E-3</v>
      </c>
      <c r="C4" s="6">
        <v>5.4043195528446004</v>
      </c>
      <c r="D4" s="6">
        <v>12.8873944930478</v>
      </c>
      <c r="E4" s="6">
        <v>240</v>
      </c>
      <c r="F4" s="6">
        <v>57</v>
      </c>
      <c r="G4" s="6" t="s">
        <v>27</v>
      </c>
    </row>
    <row r="5" spans="1:7" x14ac:dyDescent="0.35">
      <c r="A5" s="6">
        <v>13.3384115325977</v>
      </c>
      <c r="B5" s="6">
        <v>2.7458999999999999E-3</v>
      </c>
      <c r="C5" s="6">
        <v>5.4043195528446004</v>
      </c>
      <c r="D5" s="6">
        <v>10.0560336922661</v>
      </c>
      <c r="E5" s="6">
        <v>10.555311626649599</v>
      </c>
      <c r="F5" s="6">
        <v>441</v>
      </c>
      <c r="G5" s="6" t="s">
        <v>27</v>
      </c>
    </row>
    <row r="6" spans="1:7" x14ac:dyDescent="0.35">
      <c r="A6" s="6">
        <v>19.646153655615201</v>
      </c>
      <c r="B6" s="6">
        <v>2.4510000000000001E-3</v>
      </c>
      <c r="C6" s="6">
        <v>5.4043195528446004</v>
      </c>
      <c r="D6" s="6">
        <v>8.2139333142272797</v>
      </c>
      <c r="E6" s="6">
        <v>25.769803776</v>
      </c>
      <c r="F6" s="6">
        <v>348</v>
      </c>
      <c r="G6" s="6" t="s">
        <v>27</v>
      </c>
    </row>
    <row r="7" spans="1:7" x14ac:dyDescent="0.35">
      <c r="A7" s="6">
        <v>13.2189844769432</v>
      </c>
      <c r="B7" s="6">
        <v>2.5379999999999999E-3</v>
      </c>
      <c r="C7" s="6">
        <v>5.4043195528446004</v>
      </c>
      <c r="D7" s="6">
        <v>9.8957104029210505</v>
      </c>
      <c r="E7" s="6">
        <v>78.643199999999993</v>
      </c>
      <c r="F7" s="6">
        <v>198</v>
      </c>
      <c r="G7" s="6" t="s">
        <v>27</v>
      </c>
    </row>
    <row r="8" spans="1:7" x14ac:dyDescent="0.35">
      <c r="A8" s="6">
        <v>8.7683182355495095</v>
      </c>
      <c r="B8" s="6">
        <v>3.0565000000000002E-3</v>
      </c>
      <c r="C8" s="6">
        <v>5.4043195528446004</v>
      </c>
      <c r="D8" s="6">
        <v>8.7384145521545307</v>
      </c>
      <c r="E8" s="6">
        <v>6.7553994410557499</v>
      </c>
      <c r="F8" s="6">
        <v>500</v>
      </c>
      <c r="G8" s="6" t="s">
        <v>27</v>
      </c>
    </row>
    <row r="9" spans="1:7" x14ac:dyDescent="0.35">
      <c r="A9" s="6">
        <v>19.313434383748699</v>
      </c>
      <c r="B9" s="6">
        <v>2.8950999999999998E-3</v>
      </c>
      <c r="C9" s="6">
        <v>5.4043195528446004</v>
      </c>
      <c r="D9" s="6">
        <v>7.1440274891400399</v>
      </c>
      <c r="E9" s="6">
        <v>20.6158430208</v>
      </c>
      <c r="F9" s="6">
        <v>364</v>
      </c>
      <c r="G9" s="6" t="s">
        <v>27</v>
      </c>
    </row>
    <row r="10" spans="1:7" x14ac:dyDescent="0.35">
      <c r="A10" s="6">
        <v>19.835639608724001</v>
      </c>
      <c r="B10" s="6">
        <v>2.5959999999999998E-3</v>
      </c>
      <c r="C10" s="6">
        <v>5.4043195528446004</v>
      </c>
      <c r="D10" s="6">
        <v>10.016289460615001</v>
      </c>
      <c r="E10" s="6">
        <v>13.194139533312001</v>
      </c>
      <c r="F10" s="6">
        <v>425</v>
      </c>
      <c r="G10" s="6" t="s">
        <v>27</v>
      </c>
    </row>
    <row r="11" spans="1:7" x14ac:dyDescent="0.35">
      <c r="A11" s="6">
        <v>17.5915379926094</v>
      </c>
      <c r="B11" s="6">
        <v>2.4528000000000002E-3</v>
      </c>
      <c r="C11" s="6">
        <v>5.4043195528446004</v>
      </c>
      <c r="D11" s="6">
        <v>9.1158172081710998</v>
      </c>
      <c r="E11" s="6">
        <v>16.49267441664</v>
      </c>
      <c r="F11" s="6">
        <v>400</v>
      </c>
      <c r="G11" s="6" t="s">
        <v>27</v>
      </c>
    </row>
    <row r="12" spans="1:7" x14ac:dyDescent="0.35">
      <c r="A12" s="6">
        <v>12.091695463433201</v>
      </c>
      <c r="B12" s="6">
        <v>2.4716E-3</v>
      </c>
      <c r="C12" s="6">
        <v>5.4043195528446004</v>
      </c>
      <c r="D12" s="6">
        <v>10.5379137273267</v>
      </c>
      <c r="E12" s="6">
        <v>25.769803776</v>
      </c>
      <c r="F12" s="6">
        <v>329</v>
      </c>
      <c r="G12" s="6" t="s">
        <v>27</v>
      </c>
    </row>
    <row r="13" spans="1:7" x14ac:dyDescent="0.35">
      <c r="A13" s="6">
        <v>10.0786840656514</v>
      </c>
      <c r="B13" s="6">
        <v>3.5744000000000001E-3</v>
      </c>
      <c r="C13" s="6">
        <v>5.4043195528446004</v>
      </c>
      <c r="D13" s="6">
        <v>7.3471871054946902</v>
      </c>
      <c r="E13" s="6">
        <v>8.4442493013196795</v>
      </c>
      <c r="F13" s="6">
        <v>467</v>
      </c>
      <c r="G13" s="6" t="s">
        <v>27</v>
      </c>
    </row>
    <row r="14" spans="1:7" x14ac:dyDescent="0.35">
      <c r="A14" s="6">
        <v>14.719680088306299</v>
      </c>
      <c r="B14" s="6">
        <v>3.8094000000000001E-3</v>
      </c>
      <c r="C14" s="6">
        <v>5.4043195528446004</v>
      </c>
      <c r="D14" s="6">
        <v>11.3751103098563</v>
      </c>
      <c r="E14" s="6">
        <v>78.643199999999993</v>
      </c>
      <c r="F14" s="6">
        <v>192</v>
      </c>
      <c r="G14" s="6" t="s">
        <v>27</v>
      </c>
    </row>
    <row r="15" spans="1:7" x14ac:dyDescent="0.35">
      <c r="A15" s="6">
        <v>16.213530304866701</v>
      </c>
      <c r="B15" s="6">
        <v>3.4309000000000002E-3</v>
      </c>
      <c r="C15" s="6">
        <v>5.4043195528446004</v>
      </c>
      <c r="D15" s="6">
        <v>10.2046771967214</v>
      </c>
      <c r="E15" s="6">
        <v>13.194139533312001</v>
      </c>
      <c r="F15" s="6">
        <v>408</v>
      </c>
      <c r="G15" s="6" t="s">
        <v>27</v>
      </c>
    </row>
    <row r="16" spans="1:7" x14ac:dyDescent="0.35">
      <c r="A16" s="6">
        <v>19.080325269724799</v>
      </c>
      <c r="B16" s="6">
        <v>2.9761000000000002E-3</v>
      </c>
      <c r="C16" s="6">
        <v>5.4043195528446004</v>
      </c>
      <c r="D16" s="6">
        <v>12.4708218403023</v>
      </c>
      <c r="E16" s="6">
        <v>62.914560000000002</v>
      </c>
      <c r="F16" s="6">
        <v>212</v>
      </c>
      <c r="G16" s="6" t="s">
        <v>27</v>
      </c>
    </row>
    <row r="17" spans="1:7" x14ac:dyDescent="0.35">
      <c r="A17" s="6">
        <v>10.1712584905812</v>
      </c>
      <c r="B17" s="6">
        <v>2.5498999999999999E-3</v>
      </c>
      <c r="C17" s="6">
        <v>5.4043195528446004</v>
      </c>
      <c r="D17" s="6">
        <v>8.5961556678652506</v>
      </c>
      <c r="E17" s="6">
        <v>6.7553994410557499</v>
      </c>
      <c r="F17" s="6">
        <v>498</v>
      </c>
      <c r="G17" s="6" t="s">
        <v>27</v>
      </c>
    </row>
    <row r="18" spans="1:7" x14ac:dyDescent="0.35">
      <c r="A18" s="6">
        <v>18.2202701556315</v>
      </c>
      <c r="B18" s="6">
        <v>3.8777E-3</v>
      </c>
      <c r="C18" s="6">
        <v>5.4043195528446004</v>
      </c>
      <c r="D18" s="6">
        <v>12.335872381538</v>
      </c>
      <c r="E18" s="6">
        <v>50.331648000000001</v>
      </c>
      <c r="F18" s="6">
        <v>257</v>
      </c>
      <c r="G18" s="6" t="s">
        <v>27</v>
      </c>
    </row>
    <row r="19" spans="1:7" x14ac:dyDescent="0.35">
      <c r="A19" s="6">
        <v>13.2806958170244</v>
      </c>
      <c r="B19" s="6">
        <v>4.0356999999999997E-3</v>
      </c>
      <c r="C19" s="6">
        <v>5.4043195528446004</v>
      </c>
      <c r="D19" s="6">
        <v>9.3311383783549697</v>
      </c>
      <c r="E19" s="6">
        <v>25.769803776</v>
      </c>
      <c r="F19" s="6">
        <v>349</v>
      </c>
      <c r="G19" s="6" t="s">
        <v>27</v>
      </c>
    </row>
    <row r="20" spans="1:7" x14ac:dyDescent="0.35">
      <c r="A20" s="6">
        <v>16.9059590590327</v>
      </c>
      <c r="B20" s="6">
        <v>2.7079999999999999E-3</v>
      </c>
      <c r="C20" s="6">
        <v>5.4043195528446004</v>
      </c>
      <c r="D20" s="6">
        <v>10.7708641248293</v>
      </c>
      <c r="E20" s="6">
        <v>98.304000000000002</v>
      </c>
      <c r="F20" s="6">
        <v>152</v>
      </c>
      <c r="G20" s="6" t="s">
        <v>27</v>
      </c>
    </row>
    <row r="21" spans="1:7" x14ac:dyDescent="0.35">
      <c r="A21" s="6">
        <v>25.167293084938901</v>
      </c>
      <c r="B21" s="6">
        <v>2.4853000000000002E-3</v>
      </c>
      <c r="C21" s="6">
        <v>5.4043195528446004</v>
      </c>
      <c r="D21" s="6">
        <v>9.8216790984635303</v>
      </c>
      <c r="E21" s="6">
        <v>300</v>
      </c>
      <c r="F21" s="6">
        <v>26</v>
      </c>
      <c r="G21" s="6" t="s">
        <v>27</v>
      </c>
    </row>
    <row r="22" spans="1:7" x14ac:dyDescent="0.35">
      <c r="A22" s="6">
        <v>21.7461022696641</v>
      </c>
      <c r="B22" s="6">
        <v>2.5313000000000002E-3</v>
      </c>
      <c r="C22" s="6">
        <v>5.4043195528446004</v>
      </c>
      <c r="D22" s="6">
        <v>8.8695351172988897</v>
      </c>
      <c r="E22" s="6">
        <v>62.914560000000002</v>
      </c>
      <c r="F22" s="6">
        <v>225</v>
      </c>
      <c r="G22" s="6" t="s">
        <v>27</v>
      </c>
    </row>
    <row r="23" spans="1:7" s="6" customFormat="1" ht="15.5" x14ac:dyDescent="0.35">
      <c r="A23" s="32" t="s">
        <v>41</v>
      </c>
      <c r="B23" s="32"/>
      <c r="C23" s="32"/>
    </row>
    <row r="24" spans="1:7" s="6" customFormat="1" x14ac:dyDescent="0.35">
      <c r="A24" s="33" t="s">
        <v>26</v>
      </c>
      <c r="B24" s="33" t="s">
        <v>33</v>
      </c>
      <c r="C24" s="33" t="s">
        <v>32</v>
      </c>
      <c r="D24" s="34" t="s">
        <v>28</v>
      </c>
      <c r="E24" s="34" t="s">
        <v>29</v>
      </c>
      <c r="F24" s="34" t="s">
        <v>30</v>
      </c>
      <c r="G24" s="34" t="s">
        <v>31</v>
      </c>
    </row>
    <row r="25" spans="1:7" x14ac:dyDescent="0.35">
      <c r="A25" s="6">
        <v>361.219263971842</v>
      </c>
      <c r="B25" s="6">
        <v>4.9113000000000004E-3</v>
      </c>
      <c r="C25" s="6">
        <v>5.4043195528446004</v>
      </c>
      <c r="D25" s="6">
        <v>351.52646429073599</v>
      </c>
      <c r="E25" s="6">
        <v>10.555311626649599</v>
      </c>
      <c r="F25" s="6">
        <v>464</v>
      </c>
      <c r="G25" s="6" t="s">
        <v>27</v>
      </c>
    </row>
    <row r="26" spans="1:7" x14ac:dyDescent="0.35">
      <c r="A26" s="6">
        <v>712.90560771157095</v>
      </c>
      <c r="B26" s="6">
        <v>3.6963E-3</v>
      </c>
      <c r="C26" s="6">
        <v>5.4043195528446004</v>
      </c>
      <c r="D26" s="6">
        <v>712.90560771157095</v>
      </c>
      <c r="E26" s="6">
        <v>6.7553994410557499</v>
      </c>
      <c r="F26" s="6">
        <v>498</v>
      </c>
      <c r="G26" s="6" t="s">
        <v>34</v>
      </c>
    </row>
    <row r="27" spans="1:7" x14ac:dyDescent="0.35">
      <c r="A27" s="6">
        <v>419.77180462312299</v>
      </c>
      <c r="B27" s="6">
        <v>4.1146000000000004E-3</v>
      </c>
      <c r="C27" s="6">
        <v>5.4043195528446004</v>
      </c>
      <c r="D27" s="6">
        <v>406.47490284692901</v>
      </c>
      <c r="E27" s="6">
        <v>8.4442493013196795</v>
      </c>
      <c r="F27" s="6">
        <v>477</v>
      </c>
      <c r="G27" s="6" t="s">
        <v>27</v>
      </c>
    </row>
    <row r="28" spans="1:7" x14ac:dyDescent="0.35">
      <c r="A28" s="6">
        <v>618.38510795454795</v>
      </c>
      <c r="B28" s="6">
        <v>3.6584999999999999E-3</v>
      </c>
      <c r="C28" s="6">
        <v>5.4043195528446004</v>
      </c>
      <c r="D28" s="6">
        <v>618.38510795454795</v>
      </c>
      <c r="E28" s="6">
        <v>6.7553994410557499</v>
      </c>
      <c r="F28" s="6">
        <v>496</v>
      </c>
      <c r="G28" s="6" t="s">
        <v>34</v>
      </c>
    </row>
    <row r="29" spans="1:7" x14ac:dyDescent="0.35">
      <c r="A29" s="6">
        <v>514.06730599856098</v>
      </c>
      <c r="B29" s="6">
        <v>3.7566000000000001E-3</v>
      </c>
      <c r="C29" s="6">
        <v>5.4043195528446004</v>
      </c>
      <c r="D29" s="6">
        <v>514.06730599856098</v>
      </c>
      <c r="E29" s="6">
        <v>8.4442493013196795</v>
      </c>
      <c r="F29" s="6">
        <v>492</v>
      </c>
      <c r="G29" s="6" t="s">
        <v>34</v>
      </c>
    </row>
    <row r="30" spans="1:7" x14ac:dyDescent="0.35">
      <c r="A30" s="6">
        <v>386.20464316410198</v>
      </c>
      <c r="B30" s="6">
        <v>3.5980000000000001E-3</v>
      </c>
      <c r="C30" s="6">
        <v>5.4043195528446004</v>
      </c>
      <c r="D30" s="6">
        <v>383.32848954811197</v>
      </c>
      <c r="E30" s="6">
        <v>8.4442493013196795</v>
      </c>
      <c r="F30" s="6">
        <v>475</v>
      </c>
      <c r="G30" s="6" t="s">
        <v>27</v>
      </c>
    </row>
    <row r="31" spans="1:7" x14ac:dyDescent="0.35">
      <c r="A31" s="6">
        <v>459.76561172680499</v>
      </c>
      <c r="B31" s="6">
        <v>4.3942E-3</v>
      </c>
      <c r="C31" s="6">
        <v>5.4043195528446004</v>
      </c>
      <c r="D31" s="6">
        <v>458.87108636293601</v>
      </c>
      <c r="E31" s="6">
        <v>8.4442493013196795</v>
      </c>
      <c r="F31" s="6">
        <v>493</v>
      </c>
      <c r="G31" s="6" t="s">
        <v>27</v>
      </c>
    </row>
    <row r="32" spans="1:7" x14ac:dyDescent="0.35">
      <c r="A32" s="6">
        <v>718.35499648344296</v>
      </c>
      <c r="B32" s="6">
        <v>3.7176000000000002E-3</v>
      </c>
      <c r="C32" s="6">
        <v>5.4043195528446004</v>
      </c>
      <c r="D32" s="6">
        <v>718.35499648344296</v>
      </c>
      <c r="E32" s="6">
        <v>8.4442493013196795</v>
      </c>
      <c r="F32" s="6">
        <v>484</v>
      </c>
      <c r="G32" s="6" t="s">
        <v>34</v>
      </c>
    </row>
    <row r="33" spans="1:7" x14ac:dyDescent="0.35">
      <c r="A33" s="6">
        <v>636.74967713050296</v>
      </c>
      <c r="B33" s="6">
        <v>4.0822000000000002E-3</v>
      </c>
      <c r="C33" s="6">
        <v>5.4043195528446004</v>
      </c>
      <c r="D33" s="6">
        <v>636.74967713050296</v>
      </c>
      <c r="E33" s="6">
        <v>6.7553994410557499</v>
      </c>
      <c r="F33" s="6">
        <v>498</v>
      </c>
      <c r="G33" s="6" t="s">
        <v>34</v>
      </c>
    </row>
    <row r="34" spans="1:7" x14ac:dyDescent="0.35">
      <c r="A34" s="6">
        <v>380.16972779020199</v>
      </c>
      <c r="B34" s="6">
        <v>3.9237999999999999E-3</v>
      </c>
      <c r="C34" s="6">
        <v>5.4043195528446004</v>
      </c>
      <c r="D34" s="6">
        <v>380.16972779020199</v>
      </c>
      <c r="E34" s="6">
        <v>6.7553994410557499</v>
      </c>
      <c r="F34" s="6">
        <v>498</v>
      </c>
      <c r="G34" s="6" t="s">
        <v>34</v>
      </c>
    </row>
    <row r="35" spans="1:7" x14ac:dyDescent="0.35">
      <c r="A35" s="6">
        <v>523.35609071557201</v>
      </c>
      <c r="B35" s="6">
        <v>3.6589999999999999E-3</v>
      </c>
      <c r="C35" s="6">
        <v>5.4043195528446004</v>
      </c>
      <c r="D35" s="6">
        <v>523.35609071557201</v>
      </c>
      <c r="E35" s="6">
        <v>8.4442493013196795</v>
      </c>
      <c r="F35" s="6">
        <v>494</v>
      </c>
      <c r="G35" s="6" t="s">
        <v>34</v>
      </c>
    </row>
    <row r="36" spans="1:7" x14ac:dyDescent="0.35">
      <c r="A36" s="6">
        <v>406.19526488642299</v>
      </c>
      <c r="B36" s="6">
        <v>3.6151999999999998E-3</v>
      </c>
      <c r="C36" s="6">
        <v>5.4043195528446004</v>
      </c>
      <c r="D36" s="6">
        <v>406.19526488642299</v>
      </c>
      <c r="E36" s="6">
        <v>6.7553994410557499</v>
      </c>
      <c r="F36" s="6">
        <v>499</v>
      </c>
      <c r="G36" s="6" t="s">
        <v>34</v>
      </c>
    </row>
    <row r="37" spans="1:7" x14ac:dyDescent="0.35">
      <c r="A37" s="6">
        <v>375.29530755088803</v>
      </c>
      <c r="B37" s="6">
        <v>4.1142000000000001E-3</v>
      </c>
      <c r="C37" s="6">
        <v>5.4043195528446004</v>
      </c>
      <c r="D37" s="6">
        <v>374.74864573660301</v>
      </c>
      <c r="E37" s="6">
        <v>8.4442493013196795</v>
      </c>
      <c r="F37" s="6">
        <v>494</v>
      </c>
      <c r="G37" s="6" t="s">
        <v>27</v>
      </c>
    </row>
    <row r="38" spans="1:7" x14ac:dyDescent="0.35">
      <c r="A38" s="6">
        <v>573.26671192799495</v>
      </c>
      <c r="B38" s="6">
        <v>4.2643000000000004E-3</v>
      </c>
      <c r="C38" s="6">
        <v>5.4043195528446004</v>
      </c>
      <c r="D38" s="6">
        <v>573.26671192799495</v>
      </c>
      <c r="E38" s="6">
        <v>8.4442493013196795</v>
      </c>
      <c r="F38" s="6">
        <v>491</v>
      </c>
      <c r="G38" s="6" t="s">
        <v>34</v>
      </c>
    </row>
    <row r="39" spans="1:7" x14ac:dyDescent="0.35">
      <c r="A39" s="6">
        <v>472.81771426390299</v>
      </c>
      <c r="B39" s="6">
        <v>3.5661E-3</v>
      </c>
      <c r="C39" s="6">
        <v>5.4043195528446004</v>
      </c>
      <c r="D39" s="6">
        <v>472.81771426390299</v>
      </c>
      <c r="E39" s="6">
        <v>8.4442493013196795</v>
      </c>
      <c r="F39" s="6">
        <v>492</v>
      </c>
      <c r="G39" s="6" t="s">
        <v>34</v>
      </c>
    </row>
    <row r="40" spans="1:7" x14ac:dyDescent="0.35">
      <c r="A40" s="6">
        <v>506.87086496130098</v>
      </c>
      <c r="B40" s="6">
        <v>3.4746E-3</v>
      </c>
      <c r="C40" s="6">
        <v>5.4043195528446004</v>
      </c>
      <c r="D40" s="6">
        <v>506.87086496130098</v>
      </c>
      <c r="E40" s="6">
        <v>8.4442493013196795</v>
      </c>
      <c r="F40" s="6">
        <v>489</v>
      </c>
      <c r="G40" s="6" t="s">
        <v>34</v>
      </c>
    </row>
    <row r="41" spans="1:7" x14ac:dyDescent="0.35">
      <c r="A41" s="6">
        <v>555.35422112022502</v>
      </c>
      <c r="B41" s="6">
        <v>4.0084999999999999E-3</v>
      </c>
      <c r="C41" s="6">
        <v>5.4043195528446004</v>
      </c>
      <c r="D41" s="6">
        <v>553.241699236709</v>
      </c>
      <c r="E41" s="6">
        <v>6.7553994410557499</v>
      </c>
      <c r="F41" s="6">
        <v>499</v>
      </c>
      <c r="G41" s="6" t="s">
        <v>27</v>
      </c>
    </row>
    <row r="42" spans="1:7" x14ac:dyDescent="0.35">
      <c r="A42" s="6">
        <v>428.66530941784299</v>
      </c>
      <c r="B42" s="6">
        <v>4.1751999999999996E-3</v>
      </c>
      <c r="C42" s="6">
        <v>5.4043195528446004</v>
      </c>
      <c r="D42" s="6">
        <v>428.66530941784299</v>
      </c>
      <c r="E42" s="6">
        <v>8.4442493013196795</v>
      </c>
      <c r="F42" s="6">
        <v>494</v>
      </c>
      <c r="G42" s="6" t="s">
        <v>34</v>
      </c>
    </row>
    <row r="43" spans="1:7" x14ac:dyDescent="0.35">
      <c r="A43" s="6">
        <v>448.79716313492702</v>
      </c>
      <c r="B43" s="6">
        <v>3.5829E-3</v>
      </c>
      <c r="C43" s="6">
        <v>5.4043195528446004</v>
      </c>
      <c r="D43" s="6">
        <v>438.23438177171499</v>
      </c>
      <c r="E43" s="6">
        <v>8.4442493013196795</v>
      </c>
      <c r="F43" s="6">
        <v>481</v>
      </c>
      <c r="G43" s="6" t="s">
        <v>27</v>
      </c>
    </row>
    <row r="44" spans="1:7" x14ac:dyDescent="0.35">
      <c r="A44" s="6">
        <v>417.35140475389602</v>
      </c>
      <c r="B44" s="6">
        <v>3.4919999999999999E-3</v>
      </c>
      <c r="C44" s="6">
        <v>5.4043195528446004</v>
      </c>
      <c r="D44" s="6">
        <v>417.35140475389602</v>
      </c>
      <c r="E44" s="6">
        <v>8.4442493013196795</v>
      </c>
      <c r="F44" s="6">
        <v>490</v>
      </c>
      <c r="G44" s="6" t="s">
        <v>34</v>
      </c>
    </row>
    <row r="45" spans="1:7" s="6" customFormat="1" ht="15.5" x14ac:dyDescent="0.35">
      <c r="A45" s="32" t="s">
        <v>43</v>
      </c>
      <c r="B45" s="32"/>
      <c r="C45" s="32"/>
    </row>
    <row r="46" spans="1:7" s="6" customFormat="1" x14ac:dyDescent="0.35">
      <c r="A46" s="33" t="s">
        <v>26</v>
      </c>
      <c r="B46" s="33" t="s">
        <v>33</v>
      </c>
      <c r="C46" s="33" t="s">
        <v>32</v>
      </c>
      <c r="D46" s="34" t="s">
        <v>28</v>
      </c>
      <c r="E46" s="34" t="s">
        <v>29</v>
      </c>
      <c r="F46" s="34" t="s">
        <v>30</v>
      </c>
      <c r="G46" s="34" t="s">
        <v>31</v>
      </c>
    </row>
    <row r="47" spans="1:7" x14ac:dyDescent="0.35">
      <c r="A47" s="6">
        <v>312.21561195695801</v>
      </c>
      <c r="B47" s="6">
        <v>7.1076999999999998E-3</v>
      </c>
      <c r="C47" s="6">
        <v>5.4043195528446004</v>
      </c>
      <c r="D47" s="6">
        <v>312.21561195695801</v>
      </c>
      <c r="E47" s="6">
        <v>6.7553994410557499</v>
      </c>
      <c r="F47" s="6">
        <v>498</v>
      </c>
      <c r="G47" s="6" t="s">
        <v>34</v>
      </c>
    </row>
    <row r="48" spans="1:7" x14ac:dyDescent="0.35">
      <c r="A48" s="6">
        <v>225.77499281924801</v>
      </c>
      <c r="B48" s="6">
        <v>6.2359E-3</v>
      </c>
      <c r="C48" s="6">
        <v>5.4043195528446004</v>
      </c>
      <c r="D48" s="6">
        <v>224.19250540537899</v>
      </c>
      <c r="E48" s="6">
        <v>8.4442493013196795</v>
      </c>
      <c r="F48" s="6">
        <v>481</v>
      </c>
      <c r="G48" s="6" t="s">
        <v>27</v>
      </c>
    </row>
    <row r="49" spans="1:7" x14ac:dyDescent="0.35">
      <c r="A49" s="6">
        <v>193.92602274348801</v>
      </c>
      <c r="B49" s="6">
        <v>6.4530999999999998E-3</v>
      </c>
      <c r="C49" s="6">
        <v>5.4043195528446004</v>
      </c>
      <c r="D49" s="6">
        <v>168.85854015012899</v>
      </c>
      <c r="E49" s="6">
        <v>10.555311626649599</v>
      </c>
      <c r="F49" s="6">
        <v>438</v>
      </c>
      <c r="G49" s="6" t="s">
        <v>27</v>
      </c>
    </row>
    <row r="50" spans="1:7" x14ac:dyDescent="0.35">
      <c r="A50" s="6">
        <v>613.84123557953603</v>
      </c>
      <c r="B50" s="6">
        <v>6.1333999999999998E-3</v>
      </c>
      <c r="C50" s="6">
        <v>5.4043195528446004</v>
      </c>
      <c r="D50" s="6">
        <v>613.84123557953603</v>
      </c>
      <c r="E50" s="6">
        <v>8.4442493013196795</v>
      </c>
      <c r="F50" s="6">
        <v>493</v>
      </c>
      <c r="G50" s="6" t="s">
        <v>34</v>
      </c>
    </row>
    <row r="51" spans="1:7" x14ac:dyDescent="0.35">
      <c r="A51" s="6">
        <v>238.72838045589401</v>
      </c>
      <c r="B51" s="6">
        <v>6.7838000000000004E-3</v>
      </c>
      <c r="C51" s="6">
        <v>5.4043195528446004</v>
      </c>
      <c r="D51" s="6">
        <v>238.72838045589401</v>
      </c>
      <c r="E51" s="6">
        <v>8.4442493013196795</v>
      </c>
      <c r="F51" s="6">
        <v>484</v>
      </c>
      <c r="G51" s="6" t="s">
        <v>34</v>
      </c>
    </row>
    <row r="52" spans="1:7" x14ac:dyDescent="0.35">
      <c r="A52" s="6">
        <v>300.21449132709199</v>
      </c>
      <c r="B52" s="6">
        <v>7.6712000000000004E-3</v>
      </c>
      <c r="C52" s="6">
        <v>5.4043195528446004</v>
      </c>
      <c r="D52" s="6">
        <v>300.21449132709199</v>
      </c>
      <c r="E52" s="6">
        <v>6.7553994410557499</v>
      </c>
      <c r="F52" s="6">
        <v>498</v>
      </c>
      <c r="G52" s="6" t="s">
        <v>34</v>
      </c>
    </row>
    <row r="53" spans="1:7" x14ac:dyDescent="0.35">
      <c r="A53" s="6">
        <v>334.89901376983801</v>
      </c>
      <c r="B53" s="6">
        <v>6.2198000000000002E-3</v>
      </c>
      <c r="C53" s="6">
        <v>5.4043195528446004</v>
      </c>
      <c r="D53" s="6">
        <v>324.109262692279</v>
      </c>
      <c r="E53" s="6">
        <v>8.4442493013196795</v>
      </c>
      <c r="F53" s="6">
        <v>492</v>
      </c>
      <c r="G53" s="6" t="s">
        <v>27</v>
      </c>
    </row>
    <row r="54" spans="1:7" x14ac:dyDescent="0.35">
      <c r="A54" s="6">
        <v>267.78585526820899</v>
      </c>
      <c r="B54" s="6">
        <v>6.9020000000000001E-3</v>
      </c>
      <c r="C54" s="6">
        <v>5.4043195528446004</v>
      </c>
      <c r="D54" s="6">
        <v>257.96900019699899</v>
      </c>
      <c r="E54" s="6">
        <v>8.4442493013196795</v>
      </c>
      <c r="F54" s="6">
        <v>479</v>
      </c>
      <c r="G54" s="6" t="s">
        <v>27</v>
      </c>
    </row>
    <row r="55" spans="1:7" x14ac:dyDescent="0.35">
      <c r="A55" s="6">
        <v>446.56129062619902</v>
      </c>
      <c r="B55" s="6">
        <v>6.3001999999999997E-3</v>
      </c>
      <c r="C55" s="6">
        <v>5.4043195528446004</v>
      </c>
      <c r="D55" s="6">
        <v>446.56129062619902</v>
      </c>
      <c r="E55" s="6">
        <v>6.7553994410557499</v>
      </c>
      <c r="F55" s="6">
        <v>500</v>
      </c>
      <c r="G55" s="6" t="s">
        <v>34</v>
      </c>
    </row>
    <row r="56" spans="1:7" x14ac:dyDescent="0.35">
      <c r="A56" s="6">
        <v>332.69617237345801</v>
      </c>
      <c r="B56" s="6">
        <v>6.4800999999999999E-3</v>
      </c>
      <c r="C56" s="6">
        <v>5.4043195528446004</v>
      </c>
      <c r="D56" s="6">
        <v>325.37153213867799</v>
      </c>
      <c r="E56" s="6">
        <v>10.555311626649599</v>
      </c>
      <c r="F56" s="6">
        <v>462</v>
      </c>
      <c r="G56" s="6" t="s">
        <v>27</v>
      </c>
    </row>
    <row r="57" spans="1:7" x14ac:dyDescent="0.35">
      <c r="A57" s="6">
        <v>203.94016182048</v>
      </c>
      <c r="B57" s="6">
        <v>5.9941999999999999E-3</v>
      </c>
      <c r="C57" s="6">
        <v>5.4043195528446004</v>
      </c>
      <c r="D57" s="6">
        <v>203.94016182048</v>
      </c>
      <c r="E57" s="6">
        <v>6.7553994410557499</v>
      </c>
      <c r="F57" s="6">
        <v>499</v>
      </c>
      <c r="G57" s="6" t="s">
        <v>34</v>
      </c>
    </row>
    <row r="58" spans="1:7" x14ac:dyDescent="0.35">
      <c r="A58" s="6">
        <v>231.407444851409</v>
      </c>
      <c r="B58" s="6">
        <v>6.3336E-3</v>
      </c>
      <c r="C58" s="6">
        <v>5.4043195528446004</v>
      </c>
      <c r="D58" s="6">
        <v>225.31626535163301</v>
      </c>
      <c r="E58" s="6">
        <v>8.4442493013196795</v>
      </c>
      <c r="F58" s="6">
        <v>466</v>
      </c>
      <c r="G58" s="6" t="s">
        <v>27</v>
      </c>
    </row>
    <row r="59" spans="1:7" x14ac:dyDescent="0.35">
      <c r="A59" s="6">
        <v>353.27810018237102</v>
      </c>
      <c r="B59" s="6">
        <v>6.6124E-3</v>
      </c>
      <c r="C59" s="6">
        <v>5.4043195528446004</v>
      </c>
      <c r="D59" s="6">
        <v>317.63286624685202</v>
      </c>
      <c r="E59" s="6">
        <v>10.555311626649599</v>
      </c>
      <c r="F59" s="6">
        <v>444</v>
      </c>
      <c r="G59" s="6" t="s">
        <v>27</v>
      </c>
    </row>
    <row r="60" spans="1:7" x14ac:dyDescent="0.35">
      <c r="A60" s="6">
        <v>310.78848678953398</v>
      </c>
      <c r="B60" s="6">
        <v>6.5306000000000001E-3</v>
      </c>
      <c r="C60" s="6">
        <v>5.4043195528446004</v>
      </c>
      <c r="D60" s="6">
        <v>310.78848678953398</v>
      </c>
      <c r="E60" s="6">
        <v>8.4442493013196795</v>
      </c>
      <c r="F60" s="6">
        <v>494</v>
      </c>
      <c r="G60" s="6" t="s">
        <v>34</v>
      </c>
    </row>
    <row r="61" spans="1:7" x14ac:dyDescent="0.35">
      <c r="A61" s="6">
        <v>467.94282272783602</v>
      </c>
      <c r="B61" s="6">
        <v>6.3245999999999997E-3</v>
      </c>
      <c r="C61" s="6">
        <v>5.4043195528446004</v>
      </c>
      <c r="D61" s="6">
        <v>459.07513435669199</v>
      </c>
      <c r="E61" s="6">
        <v>8.4442493013196795</v>
      </c>
      <c r="F61" s="6">
        <v>480</v>
      </c>
      <c r="G61" s="6" t="s">
        <v>27</v>
      </c>
    </row>
    <row r="62" spans="1:7" x14ac:dyDescent="0.35">
      <c r="A62" s="6">
        <v>341.549452825066</v>
      </c>
      <c r="B62" s="6">
        <v>6.8100000000000001E-3</v>
      </c>
      <c r="C62" s="6">
        <v>5.4043195528446004</v>
      </c>
      <c r="D62" s="6">
        <v>341.549452825066</v>
      </c>
      <c r="E62" s="6">
        <v>8.4442493013196795</v>
      </c>
      <c r="F62" s="6">
        <v>487</v>
      </c>
      <c r="G62" s="6" t="s">
        <v>34</v>
      </c>
    </row>
    <row r="63" spans="1:7" x14ac:dyDescent="0.35">
      <c r="A63" s="6">
        <v>206.118459492683</v>
      </c>
      <c r="B63" s="6">
        <v>6.0038000000000001E-3</v>
      </c>
      <c r="C63" s="6">
        <v>5.4043195528446004</v>
      </c>
      <c r="D63" s="6">
        <v>206.118459492683</v>
      </c>
      <c r="E63" s="6">
        <v>6.7553994410557499</v>
      </c>
      <c r="F63" s="6">
        <v>498</v>
      </c>
      <c r="G63" s="6" t="s">
        <v>34</v>
      </c>
    </row>
    <row r="64" spans="1:7" x14ac:dyDescent="0.35">
      <c r="A64" s="6">
        <v>320.577399699762</v>
      </c>
      <c r="B64" s="6">
        <v>6.9008999999999997E-3</v>
      </c>
      <c r="C64" s="6">
        <v>5.4043195528446004</v>
      </c>
      <c r="D64" s="6">
        <v>314.59139435215599</v>
      </c>
      <c r="E64" s="6">
        <v>10.555311626649599</v>
      </c>
      <c r="F64" s="6">
        <v>459</v>
      </c>
      <c r="G64" s="6" t="s">
        <v>27</v>
      </c>
    </row>
    <row r="65" spans="1:7" x14ac:dyDescent="0.35">
      <c r="A65" s="6">
        <v>615.54875283664796</v>
      </c>
      <c r="B65" s="6">
        <v>6.0409000000000001E-3</v>
      </c>
      <c r="C65" s="6">
        <v>5.4043195528446004</v>
      </c>
      <c r="D65" s="6">
        <v>594.64196293483894</v>
      </c>
      <c r="E65" s="6">
        <v>8.4442493013196795</v>
      </c>
      <c r="F65" s="6">
        <v>481</v>
      </c>
      <c r="G65" s="6" t="s">
        <v>27</v>
      </c>
    </row>
    <row r="66" spans="1:7" x14ac:dyDescent="0.35">
      <c r="A66" s="6">
        <v>352.11553723616601</v>
      </c>
      <c r="B66" s="6">
        <v>6.4551000000000001E-3</v>
      </c>
      <c r="C66" s="6">
        <v>5.4043195528446004</v>
      </c>
      <c r="D66" s="6">
        <v>337.71457667722098</v>
      </c>
      <c r="E66" s="6">
        <v>8.4442493013196795</v>
      </c>
      <c r="F66" s="6">
        <v>488</v>
      </c>
      <c r="G66" s="6" t="s">
        <v>27</v>
      </c>
    </row>
    <row r="67" spans="1:7" s="6" customFormat="1" ht="15.5" x14ac:dyDescent="0.35">
      <c r="A67" s="32" t="s">
        <v>44</v>
      </c>
      <c r="B67" s="32"/>
      <c r="C67" s="32"/>
    </row>
    <row r="68" spans="1:7" s="6" customFormat="1" x14ac:dyDescent="0.35">
      <c r="A68" s="33" t="s">
        <v>26</v>
      </c>
      <c r="B68" s="33" t="s">
        <v>33</v>
      </c>
      <c r="C68" s="33" t="s">
        <v>32</v>
      </c>
      <c r="D68" s="34" t="s">
        <v>28</v>
      </c>
      <c r="E68" s="34" t="s">
        <v>29</v>
      </c>
      <c r="F68" s="34" t="s">
        <v>30</v>
      </c>
      <c r="G68" s="34" t="s">
        <v>31</v>
      </c>
    </row>
    <row r="69" spans="1:7" x14ac:dyDescent="0.35">
      <c r="A69" s="6">
        <v>3064.7300781807198</v>
      </c>
      <c r="B69" s="6">
        <v>5.9002000000000004E-3</v>
      </c>
      <c r="C69" s="6">
        <v>5.4043195528446004</v>
      </c>
      <c r="D69" s="6">
        <v>3064.7300781807198</v>
      </c>
      <c r="E69" s="6">
        <v>6.7553994410557499</v>
      </c>
      <c r="F69" s="6">
        <v>498</v>
      </c>
      <c r="G69" s="6" t="s">
        <v>34</v>
      </c>
    </row>
    <row r="70" spans="1:7" x14ac:dyDescent="0.35">
      <c r="A70" s="6">
        <v>2752.6545190095599</v>
      </c>
      <c r="B70" s="6">
        <v>3.9053999999999998E-3</v>
      </c>
      <c r="C70" s="6">
        <v>5.4043195528446004</v>
      </c>
      <c r="D70" s="6">
        <v>2752.6545190095599</v>
      </c>
      <c r="E70" s="6">
        <v>6.7553994410557499</v>
      </c>
      <c r="F70" s="6">
        <v>499</v>
      </c>
      <c r="G70" s="6" t="s">
        <v>34</v>
      </c>
    </row>
    <row r="71" spans="1:7" x14ac:dyDescent="0.35">
      <c r="A71" s="6">
        <v>127.589066995053</v>
      </c>
      <c r="B71" s="6">
        <v>3.9319999999999997E-3</v>
      </c>
      <c r="C71" s="6">
        <v>5.4043195528446004</v>
      </c>
      <c r="D71" s="6">
        <v>127.589054779196</v>
      </c>
      <c r="E71" s="6">
        <v>8.4442493013196795</v>
      </c>
      <c r="F71" s="6">
        <v>491</v>
      </c>
      <c r="G71" s="6" t="s">
        <v>27</v>
      </c>
    </row>
    <row r="72" spans="1:7" x14ac:dyDescent="0.35">
      <c r="A72" s="6">
        <v>21583.286056015801</v>
      </c>
      <c r="B72" s="6">
        <v>4.1786000000000002E-3</v>
      </c>
      <c r="C72" s="6">
        <v>5.4043195528446004</v>
      </c>
      <c r="D72" s="6">
        <v>21583.286056015801</v>
      </c>
      <c r="E72" s="6">
        <v>6.7553994410557499</v>
      </c>
      <c r="F72" s="6">
        <v>499</v>
      </c>
      <c r="G72" s="6" t="s">
        <v>34</v>
      </c>
    </row>
    <row r="73" spans="1:7" x14ac:dyDescent="0.35">
      <c r="A73" s="6">
        <v>455.942499614356</v>
      </c>
      <c r="B73" s="6">
        <v>3.6721000000000002E-3</v>
      </c>
      <c r="C73" s="6">
        <v>5.4043195528446004</v>
      </c>
      <c r="D73" s="6">
        <v>455.942499614356</v>
      </c>
      <c r="E73" s="6">
        <v>8.4442493013196795</v>
      </c>
      <c r="F73" s="6">
        <v>494</v>
      </c>
      <c r="G73" s="6" t="s">
        <v>34</v>
      </c>
    </row>
    <row r="74" spans="1:7" x14ac:dyDescent="0.35">
      <c r="A74" s="6">
        <v>4567.4698751302103</v>
      </c>
      <c r="B74" s="6">
        <v>3.6828E-3</v>
      </c>
      <c r="C74" s="6">
        <v>5.4043195528446004</v>
      </c>
      <c r="D74" s="6">
        <v>4567.4698751302103</v>
      </c>
      <c r="E74" s="6">
        <v>6.7553994410557499</v>
      </c>
      <c r="F74" s="6">
        <v>500</v>
      </c>
      <c r="G74" s="6" t="s">
        <v>34</v>
      </c>
    </row>
    <row r="75" spans="1:7" x14ac:dyDescent="0.35">
      <c r="A75" s="6">
        <v>2734.2572651699302</v>
      </c>
      <c r="B75" s="6">
        <v>3.4891000000000002E-3</v>
      </c>
      <c r="C75" s="6">
        <v>5.4043195528446004</v>
      </c>
      <c r="D75" s="6">
        <v>2734.2572651699302</v>
      </c>
      <c r="E75" s="6">
        <v>6.7553994410557499</v>
      </c>
      <c r="F75" s="6">
        <v>501</v>
      </c>
      <c r="G75" s="6" t="s">
        <v>34</v>
      </c>
    </row>
    <row r="76" spans="1:7" x14ac:dyDescent="0.35">
      <c r="A76" s="6">
        <v>1604.7806623619001</v>
      </c>
      <c r="B76" s="6">
        <v>3.5325999999999999E-3</v>
      </c>
      <c r="C76" s="6">
        <v>5.4043195528446004</v>
      </c>
      <c r="D76" s="6">
        <v>1604.60231724402</v>
      </c>
      <c r="E76" s="6">
        <v>10.555311626649599</v>
      </c>
      <c r="F76" s="6">
        <v>465</v>
      </c>
      <c r="G76" s="6" t="s">
        <v>27</v>
      </c>
    </row>
    <row r="77" spans="1:7" x14ac:dyDescent="0.35">
      <c r="A77" s="6">
        <v>1282.09240088314</v>
      </c>
      <c r="B77" s="6">
        <v>4.1761999999999997E-3</v>
      </c>
      <c r="C77" s="6">
        <v>5.4043195528446004</v>
      </c>
      <c r="D77" s="6">
        <v>1281.7482827625599</v>
      </c>
      <c r="E77" s="6">
        <v>8.4442493013196795</v>
      </c>
      <c r="F77" s="6">
        <v>488</v>
      </c>
      <c r="G77" s="6" t="s">
        <v>27</v>
      </c>
    </row>
    <row r="78" spans="1:7" x14ac:dyDescent="0.35">
      <c r="A78" s="6">
        <v>7534.3514529816302</v>
      </c>
      <c r="B78" s="6">
        <v>3.4867000000000001E-3</v>
      </c>
      <c r="C78" s="6">
        <v>5.4043195528446004</v>
      </c>
      <c r="D78" s="6">
        <v>7533.5603278445697</v>
      </c>
      <c r="E78" s="6">
        <v>10.555311626649599</v>
      </c>
      <c r="F78" s="6">
        <v>455</v>
      </c>
      <c r="G78" s="6" t="s">
        <v>27</v>
      </c>
    </row>
    <row r="79" spans="1:7" x14ac:dyDescent="0.35">
      <c r="A79" s="6">
        <v>438.544572820182</v>
      </c>
      <c r="B79" s="6">
        <v>3.6242000000000002E-3</v>
      </c>
      <c r="C79" s="6">
        <v>5.4043195528446004</v>
      </c>
      <c r="D79" s="6">
        <v>417.92585766335702</v>
      </c>
      <c r="E79" s="6">
        <v>8.4442493013196795</v>
      </c>
      <c r="F79" s="6">
        <v>488</v>
      </c>
      <c r="G79" s="6" t="s">
        <v>27</v>
      </c>
    </row>
    <row r="80" spans="1:7" x14ac:dyDescent="0.35">
      <c r="A80" s="6">
        <v>37182.067807248503</v>
      </c>
      <c r="B80" s="6">
        <v>3.6448000000000001E-3</v>
      </c>
      <c r="C80" s="6">
        <v>5.4043195528446004</v>
      </c>
      <c r="D80" s="6">
        <v>37182.067807248503</v>
      </c>
      <c r="E80" s="6">
        <v>8.4442493013196795</v>
      </c>
      <c r="F80" s="6">
        <v>493</v>
      </c>
      <c r="G80" s="6" t="s">
        <v>34</v>
      </c>
    </row>
    <row r="81" spans="1:7" x14ac:dyDescent="0.35">
      <c r="A81" s="6">
        <v>1201.34542028184</v>
      </c>
      <c r="B81" s="6">
        <v>4.1241999999999997E-3</v>
      </c>
      <c r="C81" s="6">
        <v>5.4043195528446004</v>
      </c>
      <c r="D81" s="6">
        <v>1201.3170875604001</v>
      </c>
      <c r="E81" s="6">
        <v>10.555311626649599</v>
      </c>
      <c r="F81" s="6">
        <v>453</v>
      </c>
      <c r="G81" s="6" t="s">
        <v>27</v>
      </c>
    </row>
    <row r="82" spans="1:7" x14ac:dyDescent="0.35">
      <c r="A82" s="6">
        <v>21286.6831722889</v>
      </c>
      <c r="B82" s="6">
        <v>3.6350000000000002E-3</v>
      </c>
      <c r="C82" s="6">
        <v>5.4043195528446004</v>
      </c>
      <c r="D82" s="6">
        <v>21286.6831722889</v>
      </c>
      <c r="E82" s="6">
        <v>6.7553994410557499</v>
      </c>
      <c r="F82" s="6">
        <v>499</v>
      </c>
      <c r="G82" s="6" t="s">
        <v>34</v>
      </c>
    </row>
    <row r="83" spans="1:7" x14ac:dyDescent="0.35">
      <c r="A83" s="6">
        <v>2714.3091373416</v>
      </c>
      <c r="B83" s="6">
        <v>3.3985E-3</v>
      </c>
      <c r="C83" s="6">
        <v>5.4043195528446004</v>
      </c>
      <c r="D83" s="6">
        <v>2714.3091373416</v>
      </c>
      <c r="E83" s="6">
        <v>8.4442493013196795</v>
      </c>
      <c r="F83" s="6">
        <v>492</v>
      </c>
      <c r="G83" s="6" t="s">
        <v>34</v>
      </c>
    </row>
    <row r="84" spans="1:7" x14ac:dyDescent="0.35">
      <c r="A84" s="6">
        <v>214.53908886974099</v>
      </c>
      <c r="B84" s="6">
        <v>3.6933000000000001E-3</v>
      </c>
      <c r="C84" s="6">
        <v>5.4043195528446004</v>
      </c>
      <c r="D84" s="6">
        <v>202.87811772958199</v>
      </c>
      <c r="E84" s="6">
        <v>10.555311626649599</v>
      </c>
      <c r="F84" s="6">
        <v>444</v>
      </c>
      <c r="G84" s="6" t="s">
        <v>27</v>
      </c>
    </row>
    <row r="85" spans="1:7" x14ac:dyDescent="0.35">
      <c r="A85" s="6">
        <v>774.07954698697301</v>
      </c>
      <c r="B85" s="6">
        <v>3.9772999999999996E-3</v>
      </c>
      <c r="C85" s="6">
        <v>5.4043195528446004</v>
      </c>
      <c r="D85" s="6">
        <v>772.40003901699401</v>
      </c>
      <c r="E85" s="6">
        <v>8.4442493013196795</v>
      </c>
      <c r="F85" s="6">
        <v>478</v>
      </c>
      <c r="G85" s="6" t="s">
        <v>27</v>
      </c>
    </row>
    <row r="86" spans="1:7" x14ac:dyDescent="0.35">
      <c r="A86" s="6">
        <v>10637.337742216099</v>
      </c>
      <c r="B86" s="6">
        <v>3.6928E-3</v>
      </c>
      <c r="C86" s="6">
        <v>5.4043195528446004</v>
      </c>
      <c r="D86" s="6">
        <v>10636.9872280243</v>
      </c>
      <c r="E86" s="6">
        <v>8.4442493013196795</v>
      </c>
      <c r="F86" s="6">
        <v>480</v>
      </c>
      <c r="G86" s="6" t="s">
        <v>27</v>
      </c>
    </row>
    <row r="87" spans="1:7" x14ac:dyDescent="0.35">
      <c r="A87" s="6">
        <v>11732.9795007632</v>
      </c>
      <c r="B87" s="6">
        <v>3.4088E-3</v>
      </c>
      <c r="C87" s="6">
        <v>5.4043195528446004</v>
      </c>
      <c r="D87" s="6">
        <v>11723.994090616599</v>
      </c>
      <c r="E87" s="6">
        <v>8.4442493013196795</v>
      </c>
      <c r="F87" s="6">
        <v>470</v>
      </c>
      <c r="G87" s="6" t="s">
        <v>27</v>
      </c>
    </row>
    <row r="88" spans="1:7" x14ac:dyDescent="0.35">
      <c r="A88" s="6">
        <v>225.00481879734201</v>
      </c>
      <c r="B88" s="6">
        <v>3.643E-3</v>
      </c>
      <c r="C88" s="6">
        <v>5.4043195528446004</v>
      </c>
      <c r="D88" s="6">
        <v>224.72720157500899</v>
      </c>
      <c r="E88" s="6">
        <v>8.4442493013196795</v>
      </c>
      <c r="F88" s="6">
        <v>489</v>
      </c>
      <c r="G88" s="6" t="s">
        <v>27</v>
      </c>
    </row>
    <row r="89" spans="1:7" s="6" customFormat="1" ht="15.5" x14ac:dyDescent="0.35">
      <c r="A89" s="32" t="s">
        <v>45</v>
      </c>
      <c r="B89" s="32"/>
      <c r="C89" s="32"/>
    </row>
    <row r="90" spans="1:7" s="6" customFormat="1" x14ac:dyDescent="0.35">
      <c r="A90" s="33" t="s">
        <v>26</v>
      </c>
      <c r="B90" s="33" t="s">
        <v>33</v>
      </c>
      <c r="C90" s="33" t="s">
        <v>32</v>
      </c>
      <c r="D90" s="34" t="s">
        <v>28</v>
      </c>
      <c r="E90" s="34" t="s">
        <v>29</v>
      </c>
      <c r="F90" s="34" t="s">
        <v>30</v>
      </c>
      <c r="G90" s="34" t="s">
        <v>31</v>
      </c>
    </row>
    <row r="91" spans="1:7" x14ac:dyDescent="0.35">
      <c r="A91" s="6">
        <v>81.373174551524002</v>
      </c>
      <c r="B91" s="6">
        <v>1.0314800000000001E-2</v>
      </c>
      <c r="C91" s="6">
        <v>5.4043195528446004</v>
      </c>
      <c r="D91" s="6">
        <v>61.402346764641599</v>
      </c>
      <c r="E91" s="6">
        <v>8.4442493013196795</v>
      </c>
      <c r="F91" s="6">
        <v>477</v>
      </c>
      <c r="G91" s="6" t="s">
        <v>27</v>
      </c>
    </row>
    <row r="92" spans="1:7" x14ac:dyDescent="0.35">
      <c r="A92" s="6">
        <v>72.639187107328397</v>
      </c>
      <c r="B92" s="6">
        <v>9.4392E-3</v>
      </c>
      <c r="C92" s="6">
        <v>5.4043195528446004</v>
      </c>
      <c r="D92" s="6">
        <v>65.635445450918795</v>
      </c>
      <c r="E92" s="6">
        <v>20.6158430208</v>
      </c>
      <c r="F92" s="6">
        <v>378</v>
      </c>
      <c r="G92" s="6" t="s">
        <v>27</v>
      </c>
    </row>
    <row r="93" spans="1:7" x14ac:dyDescent="0.35">
      <c r="A93" s="6">
        <v>75.101456130147199</v>
      </c>
      <c r="B93" s="6">
        <v>9.4477999999999993E-3</v>
      </c>
      <c r="C93" s="6">
        <v>5.4043195528446004</v>
      </c>
      <c r="D93" s="6">
        <v>64.982454237961505</v>
      </c>
      <c r="E93" s="6">
        <v>10.555311626649599</v>
      </c>
      <c r="F93" s="6">
        <v>440</v>
      </c>
      <c r="G93" s="6" t="s">
        <v>27</v>
      </c>
    </row>
    <row r="94" spans="1:7" x14ac:dyDescent="0.35">
      <c r="A94" s="6">
        <v>81.206676447558806</v>
      </c>
      <c r="B94" s="6">
        <v>9.4479000000000004E-3</v>
      </c>
      <c r="C94" s="6">
        <v>5.4043195528446004</v>
      </c>
      <c r="D94" s="6">
        <v>67.809238032218403</v>
      </c>
      <c r="E94" s="6">
        <v>10.555311626649599</v>
      </c>
      <c r="F94" s="6">
        <v>437</v>
      </c>
      <c r="G94" s="6" t="s">
        <v>27</v>
      </c>
    </row>
    <row r="95" spans="1:7" x14ac:dyDescent="0.35">
      <c r="A95" s="6">
        <v>77.668519149960602</v>
      </c>
      <c r="B95" s="6">
        <v>9.1176999999999994E-3</v>
      </c>
      <c r="C95" s="6">
        <v>5.4043195528446004</v>
      </c>
      <c r="D95" s="6">
        <v>62.564821619548603</v>
      </c>
      <c r="E95" s="6">
        <v>122.88</v>
      </c>
      <c r="F95" s="6">
        <v>135</v>
      </c>
      <c r="G95" s="6" t="s">
        <v>27</v>
      </c>
    </row>
    <row r="96" spans="1:7" x14ac:dyDescent="0.35">
      <c r="A96" s="6">
        <v>81.533277593349993</v>
      </c>
      <c r="B96" s="6">
        <v>9.7383000000000001E-3</v>
      </c>
      <c r="C96" s="6">
        <v>5.4043195528446004</v>
      </c>
      <c r="D96" s="6">
        <v>70.546542141374601</v>
      </c>
      <c r="E96" s="6">
        <v>153.6</v>
      </c>
      <c r="F96" s="6">
        <v>90</v>
      </c>
      <c r="G96" s="6" t="s">
        <v>27</v>
      </c>
    </row>
    <row r="97" spans="1:7" x14ac:dyDescent="0.35">
      <c r="A97" s="6">
        <v>72.604291006863804</v>
      </c>
      <c r="B97" s="6">
        <v>9.0890999999999993E-3</v>
      </c>
      <c r="C97" s="6">
        <v>5.4043195528446004</v>
      </c>
      <c r="D97" s="6">
        <v>62.702004398764501</v>
      </c>
      <c r="E97" s="6">
        <v>10.555311626649599</v>
      </c>
      <c r="F97" s="6">
        <v>453</v>
      </c>
      <c r="G97" s="6" t="s">
        <v>27</v>
      </c>
    </row>
    <row r="98" spans="1:7" x14ac:dyDescent="0.35">
      <c r="A98" s="6">
        <v>89.8459877095449</v>
      </c>
      <c r="B98" s="6">
        <v>9.6970000000000008E-3</v>
      </c>
      <c r="C98" s="6">
        <v>5.4043195528446004</v>
      </c>
      <c r="D98" s="6">
        <v>69.696234507036706</v>
      </c>
      <c r="E98" s="6">
        <v>98.304000000000002</v>
      </c>
      <c r="F98" s="6">
        <v>160</v>
      </c>
      <c r="G98" s="6" t="s">
        <v>27</v>
      </c>
    </row>
    <row r="99" spans="1:7" x14ac:dyDescent="0.35">
      <c r="A99" s="6">
        <v>81.235646480551097</v>
      </c>
      <c r="B99" s="6">
        <v>9.7610000000000006E-3</v>
      </c>
      <c r="C99" s="6">
        <v>5.4043195528446004</v>
      </c>
      <c r="D99" s="6">
        <v>65.243072298439301</v>
      </c>
      <c r="E99" s="6">
        <v>240</v>
      </c>
      <c r="F99" s="6">
        <v>56</v>
      </c>
      <c r="G99" s="6" t="s">
        <v>27</v>
      </c>
    </row>
    <row r="100" spans="1:7" x14ac:dyDescent="0.35">
      <c r="A100" s="6">
        <v>78.070203944441602</v>
      </c>
      <c r="B100" s="6">
        <v>8.6776000000000006E-3</v>
      </c>
      <c r="C100" s="6">
        <v>5.4043195528446004</v>
      </c>
      <c r="D100" s="6">
        <v>63.045707609410698</v>
      </c>
      <c r="E100" s="6">
        <v>122.88</v>
      </c>
      <c r="F100" s="6">
        <v>123</v>
      </c>
      <c r="G100" s="6" t="s">
        <v>27</v>
      </c>
    </row>
    <row r="101" spans="1:7" x14ac:dyDescent="0.35">
      <c r="A101" s="6">
        <v>73.947715321459</v>
      </c>
      <c r="B101" s="6">
        <v>1.02334E-2</v>
      </c>
      <c r="C101" s="6">
        <v>5.4043195528446004</v>
      </c>
      <c r="D101" s="6">
        <v>63.000345845563999</v>
      </c>
      <c r="E101" s="6">
        <v>153.6</v>
      </c>
      <c r="F101" s="6">
        <v>99</v>
      </c>
      <c r="G101" s="6" t="s">
        <v>27</v>
      </c>
    </row>
    <row r="102" spans="1:7" x14ac:dyDescent="0.35">
      <c r="A102" s="6">
        <v>70.555612400827499</v>
      </c>
      <c r="B102" s="6">
        <v>8.7869999999999997E-3</v>
      </c>
      <c r="C102" s="6">
        <v>5.4043195528446004</v>
      </c>
      <c r="D102" s="6">
        <v>59.029165287340099</v>
      </c>
      <c r="E102" s="6">
        <v>10.555311626649599</v>
      </c>
      <c r="F102" s="6">
        <v>455</v>
      </c>
      <c r="G102" s="6" t="s">
        <v>27</v>
      </c>
    </row>
    <row r="103" spans="1:7" x14ac:dyDescent="0.35">
      <c r="A103" s="6">
        <v>80.304296063836802</v>
      </c>
      <c r="B103" s="6">
        <v>9.4039999999999992E-3</v>
      </c>
      <c r="C103" s="6">
        <v>5.4043195528446004</v>
      </c>
      <c r="D103" s="6">
        <v>67.724281867414206</v>
      </c>
      <c r="E103" s="6">
        <v>122.88</v>
      </c>
      <c r="F103" s="6">
        <v>138</v>
      </c>
      <c r="G103" s="6" t="s">
        <v>27</v>
      </c>
    </row>
    <row r="104" spans="1:7" x14ac:dyDescent="0.35">
      <c r="A104" s="6">
        <v>67.5015645660377</v>
      </c>
      <c r="B104" s="6">
        <v>9.7441000000000003E-3</v>
      </c>
      <c r="C104" s="6">
        <v>5.4043195528446004</v>
      </c>
      <c r="D104" s="6">
        <v>60.000565197066798</v>
      </c>
      <c r="E104" s="6">
        <v>98.304000000000002</v>
      </c>
      <c r="F104" s="6">
        <v>171</v>
      </c>
      <c r="G104" s="6" t="s">
        <v>27</v>
      </c>
    </row>
    <row r="105" spans="1:7" x14ac:dyDescent="0.35">
      <c r="A105" s="6">
        <v>76.866049582493403</v>
      </c>
      <c r="B105" s="6">
        <v>9.4114000000000003E-3</v>
      </c>
      <c r="C105" s="6">
        <v>5.4043195528446004</v>
      </c>
      <c r="D105" s="6">
        <v>65.160826370860093</v>
      </c>
      <c r="E105" s="6">
        <v>78.643199999999993</v>
      </c>
      <c r="F105" s="6">
        <v>201</v>
      </c>
      <c r="G105" s="6" t="s">
        <v>27</v>
      </c>
    </row>
    <row r="106" spans="1:7" x14ac:dyDescent="0.35">
      <c r="A106" s="6">
        <v>75.568483161065402</v>
      </c>
      <c r="B106" s="6">
        <v>1.00541E-2</v>
      </c>
      <c r="C106" s="6">
        <v>5.4043195528446004</v>
      </c>
      <c r="D106" s="6">
        <v>69.508773070265505</v>
      </c>
      <c r="E106" s="6">
        <v>78.643199999999993</v>
      </c>
      <c r="F106" s="6">
        <v>203</v>
      </c>
      <c r="G106" s="6" t="s">
        <v>27</v>
      </c>
    </row>
    <row r="107" spans="1:7" x14ac:dyDescent="0.35">
      <c r="A107" s="6">
        <v>93.081811623297995</v>
      </c>
      <c r="B107" s="6">
        <v>8.7258000000000006E-3</v>
      </c>
      <c r="C107" s="6">
        <v>5.4043195528446004</v>
      </c>
      <c r="D107" s="6">
        <v>63.992036461093399</v>
      </c>
      <c r="E107" s="6">
        <v>153.6</v>
      </c>
      <c r="F107" s="6">
        <v>115</v>
      </c>
      <c r="G107" s="6" t="s">
        <v>27</v>
      </c>
    </row>
    <row r="108" spans="1:7" x14ac:dyDescent="0.35">
      <c r="A108" s="6">
        <v>81.400577216283097</v>
      </c>
      <c r="B108" s="6">
        <v>9.8337000000000008E-3</v>
      </c>
      <c r="C108" s="6">
        <v>5.4043195528446004</v>
      </c>
      <c r="D108" s="6">
        <v>66.438681470101798</v>
      </c>
      <c r="E108" s="6">
        <v>40.265318399999998</v>
      </c>
      <c r="F108" s="6">
        <v>280</v>
      </c>
      <c r="G108" s="6" t="s">
        <v>27</v>
      </c>
    </row>
    <row r="109" spans="1:7" x14ac:dyDescent="0.35">
      <c r="A109" s="6">
        <v>79.918392317421706</v>
      </c>
      <c r="B109" s="6">
        <v>9.9693999999999998E-3</v>
      </c>
      <c r="C109" s="6">
        <v>5.4043195528446004</v>
      </c>
      <c r="D109" s="6">
        <v>71.301433727518997</v>
      </c>
      <c r="E109" s="6">
        <v>16.49267441664</v>
      </c>
      <c r="F109" s="6">
        <v>395</v>
      </c>
      <c r="G109" s="6" t="s">
        <v>27</v>
      </c>
    </row>
    <row r="110" spans="1:7" x14ac:dyDescent="0.35">
      <c r="A110" s="6">
        <v>79.292661501383606</v>
      </c>
      <c r="B110" s="6">
        <v>8.8845E-3</v>
      </c>
      <c r="C110" s="6">
        <v>5.4043195528446004</v>
      </c>
      <c r="D110" s="6">
        <v>63.963278006821</v>
      </c>
      <c r="E110" s="6">
        <v>78.643199999999993</v>
      </c>
      <c r="F110" s="6">
        <v>181</v>
      </c>
      <c r="G110" s="6" t="s">
        <v>27</v>
      </c>
    </row>
    <row r="111" spans="1:7" s="6" customFormat="1" ht="15.5" x14ac:dyDescent="0.35">
      <c r="A111" s="32" t="s">
        <v>46</v>
      </c>
      <c r="B111" s="32"/>
      <c r="C111" s="32"/>
    </row>
    <row r="112" spans="1:7" s="6" customFormat="1" x14ac:dyDescent="0.35">
      <c r="A112" s="33" t="s">
        <v>26</v>
      </c>
      <c r="B112" s="33" t="s">
        <v>33</v>
      </c>
      <c r="C112" s="33" t="s">
        <v>32</v>
      </c>
      <c r="D112" s="34" t="s">
        <v>28</v>
      </c>
      <c r="E112" s="34" t="s">
        <v>29</v>
      </c>
      <c r="F112" s="34" t="s">
        <v>30</v>
      </c>
      <c r="G112" s="34" t="s">
        <v>31</v>
      </c>
    </row>
    <row r="113" spans="1:7" x14ac:dyDescent="0.35">
      <c r="A113" s="6">
        <v>377.46622571775498</v>
      </c>
      <c r="B113" s="6">
        <v>4.9163000000000002E-3</v>
      </c>
      <c r="C113" s="6">
        <v>5.4043195528446004</v>
      </c>
      <c r="D113" s="6">
        <v>366.25223673749798</v>
      </c>
      <c r="E113" s="6">
        <v>10.555311626649599</v>
      </c>
      <c r="F113" s="6">
        <v>455</v>
      </c>
      <c r="G113" s="6" t="s">
        <v>27</v>
      </c>
    </row>
    <row r="114" spans="1:7" x14ac:dyDescent="0.35">
      <c r="A114" s="6">
        <v>414.02273126340299</v>
      </c>
      <c r="B114" s="6">
        <v>3.5377E-3</v>
      </c>
      <c r="C114" s="6">
        <v>5.4043195528446004</v>
      </c>
      <c r="D114" s="6">
        <v>408.40686905134299</v>
      </c>
      <c r="E114" s="6">
        <v>8.4442493013196795</v>
      </c>
      <c r="F114" s="6">
        <v>467</v>
      </c>
      <c r="G114" s="6" t="s">
        <v>27</v>
      </c>
    </row>
    <row r="115" spans="1:7" x14ac:dyDescent="0.35">
      <c r="A115" s="6">
        <v>417.867486959926</v>
      </c>
      <c r="B115" s="6">
        <v>3.5019000000000001E-3</v>
      </c>
      <c r="C115" s="6">
        <v>5.4043195528446004</v>
      </c>
      <c r="D115" s="6">
        <v>402.30123616744203</v>
      </c>
      <c r="E115" s="6">
        <v>8.4442493013196795</v>
      </c>
      <c r="F115" s="6">
        <v>471</v>
      </c>
      <c r="G115" s="6" t="s">
        <v>27</v>
      </c>
    </row>
    <row r="116" spans="1:7" x14ac:dyDescent="0.35">
      <c r="A116" s="6">
        <v>449.45084510900801</v>
      </c>
      <c r="B116" s="6">
        <v>3.7621999999999998E-3</v>
      </c>
      <c r="C116" s="6">
        <v>5.4043195528446004</v>
      </c>
      <c r="D116" s="6">
        <v>449.45084510900801</v>
      </c>
      <c r="E116" s="6">
        <v>6.7553994410557499</v>
      </c>
      <c r="F116" s="6">
        <v>499</v>
      </c>
      <c r="G116" s="6" t="s">
        <v>34</v>
      </c>
    </row>
    <row r="117" spans="1:7" x14ac:dyDescent="0.35">
      <c r="A117" s="6">
        <v>643.70010583816099</v>
      </c>
      <c r="B117" s="6">
        <v>3.9537000000000001E-3</v>
      </c>
      <c r="C117" s="6">
        <v>5.4043195528446004</v>
      </c>
      <c r="D117" s="6">
        <v>643.70010583816099</v>
      </c>
      <c r="E117" s="6">
        <v>8.4442493013196795</v>
      </c>
      <c r="F117" s="6">
        <v>488</v>
      </c>
      <c r="G117" s="6" t="s">
        <v>34</v>
      </c>
    </row>
    <row r="118" spans="1:7" x14ac:dyDescent="0.35">
      <c r="A118" s="6">
        <v>700.574415855403</v>
      </c>
      <c r="B118" s="6">
        <v>3.6009000000000002E-3</v>
      </c>
      <c r="C118" s="6">
        <v>5.4043195528446004</v>
      </c>
      <c r="D118" s="6">
        <v>693.27070427622505</v>
      </c>
      <c r="E118" s="6">
        <v>6.7553994410557499</v>
      </c>
      <c r="F118" s="6">
        <v>499</v>
      </c>
      <c r="G118" s="6" t="s">
        <v>27</v>
      </c>
    </row>
    <row r="119" spans="1:7" x14ac:dyDescent="0.35">
      <c r="A119" s="6">
        <v>556.87732027611003</v>
      </c>
      <c r="B119" s="6">
        <v>3.5704E-3</v>
      </c>
      <c r="C119" s="6">
        <v>5.4043195528446004</v>
      </c>
      <c r="D119" s="6">
        <v>552.91584739089103</v>
      </c>
      <c r="E119" s="6">
        <v>8.4442493013196795</v>
      </c>
      <c r="F119" s="6">
        <v>494</v>
      </c>
      <c r="G119" s="6" t="s">
        <v>27</v>
      </c>
    </row>
    <row r="120" spans="1:7" x14ac:dyDescent="0.35">
      <c r="A120" s="6">
        <v>547.21495078221801</v>
      </c>
      <c r="B120" s="6">
        <v>3.7858000000000002E-3</v>
      </c>
      <c r="C120" s="6">
        <v>5.4043195528446004</v>
      </c>
      <c r="D120" s="6">
        <v>547.21495078221801</v>
      </c>
      <c r="E120" s="6">
        <v>8.4442493013196795</v>
      </c>
      <c r="F120" s="6">
        <v>477</v>
      </c>
      <c r="G120" s="6" t="s">
        <v>34</v>
      </c>
    </row>
    <row r="121" spans="1:7" x14ac:dyDescent="0.35">
      <c r="A121" s="6">
        <v>663.19908385766598</v>
      </c>
      <c r="B121" s="6">
        <v>4.2050999999999998E-3</v>
      </c>
      <c r="C121" s="6">
        <v>5.4043195528446004</v>
      </c>
      <c r="D121" s="6">
        <v>658.80744460848905</v>
      </c>
      <c r="E121" s="6">
        <v>8.4442493013196795</v>
      </c>
      <c r="F121" s="6">
        <v>469</v>
      </c>
      <c r="G121" s="6" t="s">
        <v>27</v>
      </c>
    </row>
    <row r="122" spans="1:7" x14ac:dyDescent="0.35">
      <c r="A122" s="6">
        <v>596.76314579354096</v>
      </c>
      <c r="B122" s="6">
        <v>3.4811E-3</v>
      </c>
      <c r="C122" s="6">
        <v>5.4043195528446004</v>
      </c>
      <c r="D122" s="6">
        <v>596.76314579354096</v>
      </c>
      <c r="E122" s="6">
        <v>8.4442493013196795</v>
      </c>
      <c r="F122" s="6">
        <v>485</v>
      </c>
      <c r="G122" s="6" t="s">
        <v>34</v>
      </c>
    </row>
    <row r="123" spans="1:7" x14ac:dyDescent="0.35">
      <c r="A123" s="6">
        <v>481.10419342241198</v>
      </c>
      <c r="B123" s="6">
        <v>3.5295000000000001E-3</v>
      </c>
      <c r="C123" s="6">
        <v>5.4043195528446004</v>
      </c>
      <c r="D123" s="6">
        <v>481.10419342241198</v>
      </c>
      <c r="E123" s="6">
        <v>8.4442493013196795</v>
      </c>
      <c r="F123" s="6">
        <v>492</v>
      </c>
      <c r="G123" s="6" t="s">
        <v>34</v>
      </c>
    </row>
    <row r="124" spans="1:7" x14ac:dyDescent="0.35">
      <c r="A124" s="6">
        <v>298.29568607516899</v>
      </c>
      <c r="B124" s="6">
        <v>4.6833999999999999E-3</v>
      </c>
      <c r="C124" s="6">
        <v>5.4043195528446004</v>
      </c>
      <c r="D124" s="6">
        <v>298.29568607516899</v>
      </c>
      <c r="E124" s="6">
        <v>6.7553994410557499</v>
      </c>
      <c r="F124" s="6">
        <v>496</v>
      </c>
      <c r="G124" s="6" t="s">
        <v>34</v>
      </c>
    </row>
    <row r="125" spans="1:7" x14ac:dyDescent="0.35">
      <c r="A125" s="6">
        <v>516.47086514924604</v>
      </c>
      <c r="B125" s="6">
        <v>3.6256999999999999E-3</v>
      </c>
      <c r="C125" s="6">
        <v>5.4043195528446004</v>
      </c>
      <c r="D125" s="6">
        <v>516.47086514924604</v>
      </c>
      <c r="E125" s="6">
        <v>8.4442493013196795</v>
      </c>
      <c r="F125" s="6">
        <v>489</v>
      </c>
      <c r="G125" s="6" t="s">
        <v>34</v>
      </c>
    </row>
    <row r="126" spans="1:7" x14ac:dyDescent="0.35">
      <c r="A126" s="6">
        <v>632.89618391597799</v>
      </c>
      <c r="B126" s="6">
        <v>3.5626E-3</v>
      </c>
      <c r="C126" s="6">
        <v>5.4043195528446004</v>
      </c>
      <c r="D126" s="6">
        <v>632.89618391597799</v>
      </c>
      <c r="E126" s="6">
        <v>8.4442493013196795</v>
      </c>
      <c r="F126" s="6">
        <v>489</v>
      </c>
      <c r="G126" s="6" t="s">
        <v>34</v>
      </c>
    </row>
    <row r="127" spans="1:7" x14ac:dyDescent="0.35">
      <c r="A127" s="6">
        <v>669.53331204346898</v>
      </c>
      <c r="B127" s="6">
        <v>3.6094999999999999E-3</v>
      </c>
      <c r="C127" s="6">
        <v>5.4043195528446004</v>
      </c>
      <c r="D127" s="6">
        <v>669.53331204346898</v>
      </c>
      <c r="E127" s="6">
        <v>8.4442493013196795</v>
      </c>
      <c r="F127" s="6">
        <v>493</v>
      </c>
      <c r="G127" s="6" t="s">
        <v>34</v>
      </c>
    </row>
    <row r="128" spans="1:7" x14ac:dyDescent="0.35">
      <c r="A128" s="6">
        <v>448.72391215091801</v>
      </c>
      <c r="B128" s="6">
        <v>4.4615000000000002E-3</v>
      </c>
      <c r="C128" s="6">
        <v>5.4043195528446004</v>
      </c>
      <c r="D128" s="6">
        <v>448.72391215091801</v>
      </c>
      <c r="E128" s="6">
        <v>8.4442493013196795</v>
      </c>
      <c r="F128" s="6">
        <v>484</v>
      </c>
      <c r="G128" s="6" t="s">
        <v>34</v>
      </c>
    </row>
    <row r="129" spans="1:7" x14ac:dyDescent="0.35">
      <c r="A129" s="6">
        <v>396.850206473892</v>
      </c>
      <c r="B129" s="6">
        <v>3.7177999999999998E-3</v>
      </c>
      <c r="C129" s="6">
        <v>5.4043195528446004</v>
      </c>
      <c r="D129" s="6">
        <v>396.850206473892</v>
      </c>
      <c r="E129" s="6">
        <v>8.4442493013196795</v>
      </c>
      <c r="F129" s="6">
        <v>492</v>
      </c>
      <c r="G129" s="6" t="s">
        <v>34</v>
      </c>
    </row>
    <row r="130" spans="1:7" x14ac:dyDescent="0.35">
      <c r="A130" s="6">
        <v>208.8296296794</v>
      </c>
      <c r="B130" s="6">
        <v>3.4876E-3</v>
      </c>
      <c r="C130" s="6">
        <v>5.4043195528446004</v>
      </c>
      <c r="D130" s="6">
        <v>208.8296296794</v>
      </c>
      <c r="E130" s="6">
        <v>6.7553994410557499</v>
      </c>
      <c r="F130" s="6">
        <v>498</v>
      </c>
      <c r="G130" s="6" t="s">
        <v>34</v>
      </c>
    </row>
    <row r="131" spans="1:7" x14ac:dyDescent="0.35">
      <c r="A131" s="6">
        <v>445.59713494719301</v>
      </c>
      <c r="B131" s="6">
        <v>3.5826999999999999E-3</v>
      </c>
      <c r="C131" s="6">
        <v>5.4043195528446004</v>
      </c>
      <c r="D131" s="6">
        <v>437.49174467239698</v>
      </c>
      <c r="E131" s="6">
        <v>8.4442493013196795</v>
      </c>
      <c r="F131" s="6">
        <v>487</v>
      </c>
      <c r="G131" s="6" t="s">
        <v>27</v>
      </c>
    </row>
    <row r="132" spans="1:7" x14ac:dyDescent="0.35">
      <c r="A132" s="6">
        <v>421.82322322471401</v>
      </c>
      <c r="B132" s="6">
        <v>4.4418000000000001E-3</v>
      </c>
      <c r="C132" s="6">
        <v>5.4043195528446004</v>
      </c>
      <c r="D132" s="6">
        <v>419.85990512221701</v>
      </c>
      <c r="E132" s="6">
        <v>8.4442493013196795</v>
      </c>
      <c r="F132" s="6">
        <v>491</v>
      </c>
      <c r="G132" s="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Hoja6</vt:lpstr>
      <vt:lpstr>Hoja4</vt:lpstr>
      <vt:lpstr>d10</vt:lpstr>
      <vt:lpstr>d30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hernandez</dc:creator>
  <cp:lastModifiedBy>Adriana García Carrillo</cp:lastModifiedBy>
  <cp:lastPrinted>2022-03-03T04:33:11Z</cp:lastPrinted>
  <dcterms:created xsi:type="dcterms:W3CDTF">2022-03-03T04:24:31Z</dcterms:created>
  <dcterms:modified xsi:type="dcterms:W3CDTF">2022-03-31T06:54:55Z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20c444d3-0d6e-46cf-8953-5c85d7b032d7</vt:lpwstr>
  </property>
</Properties>
</file>