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ocuments\aaa\test\src\components\whitepaper\"/>
    </mc:Choice>
  </mc:AlternateContent>
  <xr:revisionPtr revIDLastSave="0" documentId="8_{B91180FE-FE6A-4F38-B471-E7CD7C992614}" xr6:coauthVersionLast="45" xr6:coauthVersionMax="45" xr10:uidLastSave="{00000000-0000-0000-0000-000000000000}"/>
  <bookViews>
    <workbookView xWindow="9780" yWindow="2850" windowWidth="24360" windowHeight="11055" activeTab="3" xr2:uid="{00000000-000D-0000-FFFF-FFFF00000000}"/>
  </bookViews>
  <sheets>
    <sheet name="OneGame" sheetId="3" r:id="rId1"/>
    <sheet name="TestSheet" sheetId="10" r:id="rId2"/>
    <sheet name="Conversion" sheetId="8" r:id="rId3"/>
    <sheet name="MarginTest" sheetId="11" r:id="rId4"/>
    <sheet name="UTCLookup" sheetId="9" r:id="rId5"/>
    <sheet name="SeasonSchedule" sheetId="2" r:id="rId6"/>
  </sheets>
  <definedNames>
    <definedName name="solver_adj" localSheetId="2" hidden="1">Conversion!$E$7</definedName>
    <definedName name="solver_adj" localSheetId="0" hidden="1">OneGame!$K$34</definedName>
    <definedName name="solver_cvg" localSheetId="2" hidden="1">0.0001</definedName>
    <definedName name="solver_cvg" localSheetId="0" hidden="1">0.0001</definedName>
    <definedName name="solver_drv" localSheetId="2" hidden="1">1</definedName>
    <definedName name="solver_drv" localSheetId="0" hidden="1">1</definedName>
    <definedName name="solver_eng" localSheetId="2" hidden="1">1</definedName>
    <definedName name="solver_eng" localSheetId="0" hidden="1">1</definedName>
    <definedName name="solver_est" localSheetId="2" hidden="1">1</definedName>
    <definedName name="solver_est" localSheetId="0" hidden="1">1</definedName>
    <definedName name="solver_itr" localSheetId="2" hidden="1">2147483647</definedName>
    <definedName name="solver_itr" localSheetId="0" hidden="1">2147483647</definedName>
    <definedName name="solver_lhs1" localSheetId="2" hidden="1">Conversion!$E$7</definedName>
    <definedName name="solver_mip" localSheetId="2" hidden="1">2147483647</definedName>
    <definedName name="solver_mip" localSheetId="0" hidden="1">2147483647</definedName>
    <definedName name="solver_mni" localSheetId="2" hidden="1">30</definedName>
    <definedName name="solver_mni" localSheetId="0" hidden="1">30</definedName>
    <definedName name="solver_mrt" localSheetId="2" hidden="1">0.075</definedName>
    <definedName name="solver_mrt" localSheetId="0" hidden="1">0.075</definedName>
    <definedName name="solver_msl" localSheetId="2" hidden="1">2</definedName>
    <definedName name="solver_msl" localSheetId="0" hidden="1">2</definedName>
    <definedName name="solver_neg" localSheetId="2" hidden="1">1</definedName>
    <definedName name="solver_neg" localSheetId="0" hidden="1">1</definedName>
    <definedName name="solver_nod" localSheetId="2" hidden="1">2147483647</definedName>
    <definedName name="solver_nod" localSheetId="0" hidden="1">2147483647</definedName>
    <definedName name="solver_num" localSheetId="2" hidden="1">1</definedName>
    <definedName name="solver_num" localSheetId="0" hidden="1">0</definedName>
    <definedName name="solver_nwt" localSheetId="2" hidden="1">1</definedName>
    <definedName name="solver_nwt" localSheetId="0" hidden="1">1</definedName>
    <definedName name="solver_opt" localSheetId="2" hidden="1">Conversion!$I$7</definedName>
    <definedName name="solver_opt" localSheetId="0" hidden="1">OneGame!$V$34</definedName>
    <definedName name="solver_pre" localSheetId="2" hidden="1">0.000001</definedName>
    <definedName name="solver_pre" localSheetId="0" hidden="1">0.000001</definedName>
    <definedName name="solver_rbv" localSheetId="2" hidden="1">1</definedName>
    <definedName name="solver_rbv" localSheetId="0" hidden="1">1</definedName>
    <definedName name="solver_rel1" localSheetId="2" hidden="1">1</definedName>
    <definedName name="solver_rhs1" localSheetId="2" hidden="1">-100</definedName>
    <definedName name="solver_rlx" localSheetId="2" hidden="1">2</definedName>
    <definedName name="solver_rlx" localSheetId="0" hidden="1">2</definedName>
    <definedName name="solver_rsd" localSheetId="2" hidden="1">0</definedName>
    <definedName name="solver_rsd" localSheetId="0" hidden="1">0</definedName>
    <definedName name="solver_scl" localSheetId="2" hidden="1">1</definedName>
    <definedName name="solver_scl" localSheetId="0" hidden="1">1</definedName>
    <definedName name="solver_sho" localSheetId="2" hidden="1">2</definedName>
    <definedName name="solver_sho" localSheetId="0" hidden="1">2</definedName>
    <definedName name="solver_ssz" localSheetId="2" hidden="1">100</definedName>
    <definedName name="solver_ssz" localSheetId="0" hidden="1">100</definedName>
    <definedName name="solver_tim" localSheetId="2" hidden="1">2147483647</definedName>
    <definedName name="solver_tim" localSheetId="0" hidden="1">2147483647</definedName>
    <definedName name="solver_tol" localSheetId="2" hidden="1">0.01</definedName>
    <definedName name="solver_tol" localSheetId="0" hidden="1">0.01</definedName>
    <definedName name="solver_typ" localSheetId="2" hidden="1">3</definedName>
    <definedName name="solver_typ" localSheetId="0" hidden="1">3</definedName>
    <definedName name="solver_val" localSheetId="2" hidden="1">0.66</definedName>
    <definedName name="solver_val" localSheetId="0" hidden="1">0.476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1" l="1"/>
  <c r="E4" i="11"/>
  <c r="D4" i="11"/>
  <c r="H15" i="11" l="1"/>
  <c r="C5" i="11"/>
  <c r="C6" i="11"/>
  <c r="C8" i="11"/>
  <c r="C9" i="11"/>
  <c r="C10" i="11"/>
  <c r="C12" i="11"/>
  <c r="C13" i="11"/>
  <c r="C15" i="11"/>
  <c r="C16" i="11"/>
  <c r="C18" i="11"/>
  <c r="C19" i="11"/>
  <c r="C4" i="11"/>
  <c r="C63" i="11" a="1"/>
  <c r="C63" i="11" s="1"/>
  <c r="H63" i="11"/>
  <c r="L63" i="11"/>
  <c r="P63" i="11"/>
  <c r="T63" i="11"/>
  <c r="X63" i="11"/>
  <c r="AB63" i="11"/>
  <c r="AF63" i="11"/>
  <c r="D64" i="11"/>
  <c r="H64" i="11"/>
  <c r="L64" i="11"/>
  <c r="P64" i="11"/>
  <c r="T64" i="11"/>
  <c r="X64" i="11"/>
  <c r="AB64" i="11"/>
  <c r="AF64" i="11"/>
  <c r="D65" i="11"/>
  <c r="H65" i="11"/>
  <c r="L65" i="11"/>
  <c r="P65" i="11"/>
  <c r="T65" i="11"/>
  <c r="X65" i="11"/>
  <c r="AA65" i="11"/>
  <c r="AB65" i="11"/>
  <c r="AE65" i="11"/>
  <c r="AF65" i="11"/>
  <c r="C66" i="11"/>
  <c r="D66" i="11"/>
  <c r="G66" i="11"/>
  <c r="H66" i="11"/>
  <c r="K66" i="11"/>
  <c r="L66" i="11"/>
  <c r="O66" i="11"/>
  <c r="P66" i="11"/>
  <c r="S66" i="11"/>
  <c r="T66" i="11"/>
  <c r="W66" i="11"/>
  <c r="X66" i="11"/>
  <c r="AA66" i="11"/>
  <c r="AB66" i="11"/>
  <c r="AE66" i="11"/>
  <c r="AF66" i="11"/>
  <c r="B45" i="11"/>
  <c r="B46" i="11"/>
  <c r="B47" i="11"/>
  <c r="B48" i="11"/>
  <c r="B49" i="11"/>
  <c r="B44" i="11"/>
  <c r="E24" i="8"/>
  <c r="F24" i="8" s="1"/>
  <c r="H24" i="8" s="1"/>
  <c r="G23" i="8"/>
  <c r="I23" i="8" s="1"/>
  <c r="F23" i="8"/>
  <c r="H23" i="8" s="1"/>
  <c r="E22" i="8"/>
  <c r="F22" i="8" s="1"/>
  <c r="H22" i="8" s="1"/>
  <c r="I21" i="8"/>
  <c r="G21" i="8"/>
  <c r="F21" i="8"/>
  <c r="H21" i="8" s="1"/>
  <c r="E20" i="8"/>
  <c r="F20" i="8" s="1"/>
  <c r="H20" i="8" s="1"/>
  <c r="G19" i="8"/>
  <c r="I19" i="8" s="1"/>
  <c r="F19" i="8"/>
  <c r="H19" i="8" s="1"/>
  <c r="J18" i="8"/>
  <c r="J16" i="8"/>
  <c r="E18" i="8"/>
  <c r="E16" i="8"/>
  <c r="G16" i="8" s="1"/>
  <c r="I16" i="8" s="1"/>
  <c r="F15" i="8"/>
  <c r="H15" i="8" s="1"/>
  <c r="G15" i="8"/>
  <c r="I15" i="8" s="1"/>
  <c r="F17" i="8"/>
  <c r="G17" i="8"/>
  <c r="H17" i="8"/>
  <c r="I17" i="8"/>
  <c r="F18" i="8"/>
  <c r="G18" i="8"/>
  <c r="H18" i="8"/>
  <c r="I18" i="8"/>
  <c r="W65" i="11" l="1"/>
  <c r="S65" i="11"/>
  <c r="O65" i="11"/>
  <c r="K65" i="11"/>
  <c r="G65" i="11"/>
  <c r="C65" i="11"/>
  <c r="AE64" i="11"/>
  <c r="AA64" i="11"/>
  <c r="W64" i="11"/>
  <c r="S64" i="11"/>
  <c r="O64" i="11"/>
  <c r="K64" i="11"/>
  <c r="G64" i="11"/>
  <c r="C64" i="11"/>
  <c r="AE63" i="11"/>
  <c r="AA63" i="11"/>
  <c r="W63" i="11"/>
  <c r="S63" i="11"/>
  <c r="O63" i="11"/>
  <c r="K63" i="11"/>
  <c r="G63" i="11"/>
  <c r="AH66" i="11"/>
  <c r="AD66" i="11"/>
  <c r="Z66" i="11"/>
  <c r="V66" i="11"/>
  <c r="R66" i="11"/>
  <c r="N66" i="11"/>
  <c r="J66" i="11"/>
  <c r="F66" i="11"/>
  <c r="AH65" i="11"/>
  <c r="AD65" i="11"/>
  <c r="Z65" i="11"/>
  <c r="V65" i="11"/>
  <c r="R65" i="11"/>
  <c r="N65" i="11"/>
  <c r="J65" i="11"/>
  <c r="F65" i="11"/>
  <c r="AH64" i="11"/>
  <c r="AD64" i="11"/>
  <c r="Z64" i="11"/>
  <c r="V64" i="11"/>
  <c r="R64" i="11"/>
  <c r="N64" i="11"/>
  <c r="J64" i="11"/>
  <c r="F64" i="11"/>
  <c r="AH63" i="11"/>
  <c r="AD63" i="11"/>
  <c r="Z63" i="11"/>
  <c r="V63" i="11"/>
  <c r="R63" i="11"/>
  <c r="N63" i="11"/>
  <c r="J63" i="11"/>
  <c r="F63" i="11"/>
  <c r="AG66" i="11"/>
  <c r="AC66" i="11"/>
  <c r="Y66" i="11"/>
  <c r="U66" i="11"/>
  <c r="Q66" i="11"/>
  <c r="M66" i="11"/>
  <c r="I66" i="11"/>
  <c r="E66" i="11"/>
  <c r="AG65" i="11"/>
  <c r="AC65" i="11"/>
  <c r="Y65" i="11"/>
  <c r="U65" i="11"/>
  <c r="Q65" i="11"/>
  <c r="M65" i="11"/>
  <c r="I65" i="11"/>
  <c r="E65" i="11"/>
  <c r="AG64" i="11"/>
  <c r="AC64" i="11"/>
  <c r="Y64" i="11"/>
  <c r="U64" i="11"/>
  <c r="Q64" i="11"/>
  <c r="M64" i="11"/>
  <c r="I64" i="11"/>
  <c r="E64" i="11"/>
  <c r="AG63" i="11"/>
  <c r="AC63" i="11"/>
  <c r="Y63" i="11"/>
  <c r="U63" i="11"/>
  <c r="Q63" i="11"/>
  <c r="M63" i="11"/>
  <c r="I63" i="11"/>
  <c r="E63" i="11"/>
  <c r="D63" i="11"/>
  <c r="G20" i="8"/>
  <c r="I20" i="8" s="1"/>
  <c r="J20" i="8" s="1"/>
  <c r="G24" i="8"/>
  <c r="I24" i="8" s="1"/>
  <c r="J24" i="8" s="1"/>
  <c r="G22" i="8"/>
  <c r="I22" i="8" s="1"/>
  <c r="J22" i="8" s="1"/>
  <c r="F16" i="8"/>
  <c r="H16" i="8" s="1"/>
  <c r="B30" i="11"/>
  <c r="B31" i="1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29" i="11"/>
  <c r="W34" i="11" l="1"/>
  <c r="V34" i="11"/>
  <c r="U10" i="11"/>
  <c r="V10" i="11"/>
  <c r="U6" i="11"/>
  <c r="V6" i="11"/>
  <c r="R5" i="11"/>
  <c r="R6" i="11" s="1"/>
  <c r="R8" i="11" s="1"/>
  <c r="R4" i="11"/>
  <c r="U5" i="11"/>
  <c r="V5" i="11"/>
  <c r="U8" i="11"/>
  <c r="V8" i="11"/>
  <c r="U9" i="11"/>
  <c r="V9" i="11"/>
  <c r="U12" i="11"/>
  <c r="V12" i="11"/>
  <c r="U13" i="11"/>
  <c r="V13" i="11"/>
  <c r="U15" i="11"/>
  <c r="V15" i="11"/>
  <c r="U16" i="11"/>
  <c r="V16" i="11"/>
  <c r="U18" i="11"/>
  <c r="V18" i="11"/>
  <c r="U19" i="11"/>
  <c r="V19" i="11"/>
  <c r="V4" i="11"/>
  <c r="U4" i="11"/>
  <c r="W4" i="11" s="1"/>
  <c r="G18" i="11"/>
  <c r="I18" i="11" s="1"/>
  <c r="F18" i="11"/>
  <c r="F19" i="11" s="1"/>
  <c r="H19" i="11" s="1"/>
  <c r="G15" i="11"/>
  <c r="I15" i="11" s="1"/>
  <c r="F15" i="11"/>
  <c r="F16" i="11" s="1"/>
  <c r="H16" i="11" s="1"/>
  <c r="G12" i="11"/>
  <c r="G13" i="11" s="1"/>
  <c r="F12" i="11"/>
  <c r="F13" i="11" s="1"/>
  <c r="G8" i="11"/>
  <c r="G9" i="11" s="1"/>
  <c r="G10" i="11" s="1"/>
  <c r="I10" i="11" s="1"/>
  <c r="F8" i="11"/>
  <c r="F9" i="11" s="1"/>
  <c r="F10" i="11" s="1"/>
  <c r="H10" i="11" s="1"/>
  <c r="G4" i="11"/>
  <c r="G5" i="11" s="1"/>
  <c r="G6" i="11" s="1"/>
  <c r="F4" i="11"/>
  <c r="F5" i="11" s="1"/>
  <c r="F6" i="11" s="1"/>
  <c r="H6" i="11" s="1"/>
  <c r="N35" i="11"/>
  <c r="V21" i="11" l="1"/>
  <c r="V23" i="11" s="1"/>
  <c r="U21" i="11"/>
  <c r="R9" i="11"/>
  <c r="R10" i="11" s="1"/>
  <c r="K4" i="11"/>
  <c r="I6" i="11"/>
  <c r="K6" i="11" s="1"/>
  <c r="K10" i="11"/>
  <c r="J10" i="11"/>
  <c r="J6" i="11"/>
  <c r="H18" i="11"/>
  <c r="J18" i="11" s="1"/>
  <c r="N18" i="11" s="1"/>
  <c r="K18" i="11"/>
  <c r="G19" i="11"/>
  <c r="I19" i="11" s="1"/>
  <c r="K19" i="11" s="1"/>
  <c r="G16" i="11"/>
  <c r="I16" i="11" s="1"/>
  <c r="K16" i="11" s="1"/>
  <c r="K15" i="11"/>
  <c r="J15" i="11"/>
  <c r="N15" i="11" s="1"/>
  <c r="H13" i="11"/>
  <c r="I12" i="11"/>
  <c r="H8" i="11"/>
  <c r="J8" i="11" s="1"/>
  <c r="I5" i="11"/>
  <c r="H4" i="11"/>
  <c r="J4" i="11" s="1"/>
  <c r="V29" i="11" l="1"/>
  <c r="U23" i="11"/>
  <c r="U29" i="11" s="1"/>
  <c r="U30" i="11" s="1"/>
  <c r="R12" i="11"/>
  <c r="R13" i="11" s="1"/>
  <c r="R15" i="11" s="1"/>
  <c r="R16" i="11" s="1"/>
  <c r="O4" i="11"/>
  <c r="P4" i="11" s="1"/>
  <c r="N4" i="11"/>
  <c r="N10" i="11"/>
  <c r="N6" i="11"/>
  <c r="O15" i="11"/>
  <c r="J16" i="11"/>
  <c r="N16" i="11" s="1"/>
  <c r="O18" i="11"/>
  <c r="J19" i="11"/>
  <c r="N19" i="11" s="1"/>
  <c r="I13" i="11"/>
  <c r="K12" i="11"/>
  <c r="H12" i="11"/>
  <c r="J12" i="11" s="1"/>
  <c r="H9" i="11"/>
  <c r="J9" i="11" s="1"/>
  <c r="H5" i="11"/>
  <c r="K5" i="11"/>
  <c r="R19" i="11" l="1"/>
  <c r="S28" i="11"/>
  <c r="W29" i="11"/>
  <c r="X30" i="11" s="1"/>
  <c r="N12" i="11"/>
  <c r="O12" i="11"/>
  <c r="O16" i="11"/>
  <c r="O19" i="11"/>
  <c r="I9" i="11"/>
  <c r="K9" i="11" s="1"/>
  <c r="N9" i="11" s="1"/>
  <c r="K13" i="11"/>
  <c r="J5" i="11"/>
  <c r="N5" i="11" s="1"/>
  <c r="J13" i="11"/>
  <c r="K8" i="11"/>
  <c r="X29" i="11" l="1"/>
  <c r="N8" i="11"/>
  <c r="O9" i="11" s="1"/>
  <c r="O8" i="11"/>
  <c r="N13" i="11"/>
  <c r="O13" i="11" s="1"/>
  <c r="O5" i="11"/>
  <c r="P5" i="11" s="1"/>
  <c r="O6" i="11"/>
  <c r="O10" i="11"/>
  <c r="Q4" i="11"/>
  <c r="P6" i="11" l="1"/>
  <c r="P8" i="11" s="1"/>
  <c r="P9" i="11" s="1"/>
  <c r="P10" i="11" s="1"/>
  <c r="P12" i="11" s="1"/>
  <c r="P13" i="11" s="1"/>
  <c r="U25" i="11"/>
  <c r="S26" i="11" l="1"/>
  <c r="Q5" i="11"/>
  <c r="Q6" i="11" s="1"/>
  <c r="Q8" i="11" l="1"/>
  <c r="Q9" i="11" s="1"/>
  <c r="D47" i="10"/>
  <c r="Q10" i="11" l="1"/>
  <c r="Q12" i="11" s="1"/>
  <c r="Q13" i="11" s="1"/>
  <c r="AI46" i="10"/>
  <c r="AH46" i="10"/>
  <c r="AJ46" i="10" s="1"/>
  <c r="AG46" i="10"/>
  <c r="AF46" i="10"/>
  <c r="AE46" i="10"/>
  <c r="F46" i="10"/>
  <c r="G46" i="10"/>
  <c r="H46" i="10"/>
  <c r="J46" i="10" s="1"/>
  <c r="I46" i="10"/>
  <c r="E46" i="10"/>
  <c r="AF44" i="10"/>
  <c r="AC44" i="10" s="1"/>
  <c r="Z44" i="10" s="1"/>
  <c r="W44" i="10" s="1"/>
  <c r="T44" i="10" s="1"/>
  <c r="Q44" i="10" s="1"/>
  <c r="AG44" i="10"/>
  <c r="AD44" i="10" s="1"/>
  <c r="AA44" i="10" s="1"/>
  <c r="X44" i="10" s="1"/>
  <c r="U44" i="10" s="1"/>
  <c r="R44" i="10" s="1"/>
  <c r="O44" i="10" s="1"/>
  <c r="AH44" i="10"/>
  <c r="AE44" i="10" s="1"/>
  <c r="AB44" i="10" s="1"/>
  <c r="Y44" i="10" s="1"/>
  <c r="V44" i="10" s="1"/>
  <c r="S44" i="10" s="1"/>
  <c r="P44" i="10" s="1"/>
  <c r="D45" i="10"/>
  <c r="S27" i="11" l="1"/>
  <c r="U26" i="11"/>
  <c r="W35" i="11" s="1"/>
  <c r="V26" i="11"/>
  <c r="H43" i="10"/>
  <c r="J43" i="10" s="1"/>
  <c r="L43" i="10" s="1"/>
  <c r="N43" i="10" s="1"/>
  <c r="P43" i="10" s="1"/>
  <c r="R43" i="10" s="1"/>
  <c r="T43" i="10" s="1"/>
  <c r="V43" i="10" s="1"/>
  <c r="X43" i="10" s="1"/>
  <c r="Z43" i="10" s="1"/>
  <c r="AB43" i="10" s="1"/>
  <c r="AD43" i="10" s="1"/>
  <c r="AF43" i="10" s="1"/>
  <c r="AH43" i="10" s="1"/>
  <c r="I43" i="10"/>
  <c r="K43" i="10"/>
  <c r="M43" i="10" s="1"/>
  <c r="O43" i="10" s="1"/>
  <c r="Q43" i="10" s="1"/>
  <c r="S43" i="10" s="1"/>
  <c r="U43" i="10" s="1"/>
  <c r="W43" i="10" s="1"/>
  <c r="Y43" i="10" s="1"/>
  <c r="AA43" i="10" s="1"/>
  <c r="AC43" i="10" s="1"/>
  <c r="AE43" i="10" s="1"/>
  <c r="AG43" i="10" s="1"/>
  <c r="G43" i="10"/>
  <c r="P3" i="10" l="1" a="1"/>
  <c r="P3" i="10" s="1"/>
  <c r="T21" i="10"/>
  <c r="P30" i="10" l="1"/>
  <c r="P22" i="10"/>
  <c r="P18" i="10"/>
  <c r="P14" i="10"/>
  <c r="P10" i="10"/>
  <c r="P6" i="10"/>
  <c r="P33" i="10"/>
  <c r="P29" i="10"/>
  <c r="P25" i="10"/>
  <c r="P21" i="10"/>
  <c r="P17" i="10"/>
  <c r="P13" i="10"/>
  <c r="P9" i="10"/>
  <c r="P5" i="10"/>
  <c r="P28" i="10"/>
  <c r="P20" i="10"/>
  <c r="P16" i="10"/>
  <c r="P12" i="10"/>
  <c r="P8" i="10"/>
  <c r="P4" i="10"/>
  <c r="P34" i="10"/>
  <c r="P26" i="10"/>
  <c r="P32" i="10"/>
  <c r="P24" i="10"/>
  <c r="P31" i="10"/>
  <c r="P27" i="10"/>
  <c r="P23" i="10"/>
  <c r="P19" i="10"/>
  <c r="P15" i="10"/>
  <c r="P11" i="10"/>
  <c r="P7" i="10"/>
  <c r="F11" i="8" l="1"/>
  <c r="H13" i="10" l="1"/>
  <c r="H14" i="10"/>
  <c r="H15" i="10"/>
  <c r="H16" i="10"/>
  <c r="H17" i="10"/>
  <c r="H18" i="10"/>
  <c r="H19" i="10"/>
  <c r="H20" i="10"/>
  <c r="H21" i="10"/>
  <c r="H12" i="10"/>
  <c r="O4" i="10"/>
  <c r="L4" i="10" s="1"/>
  <c r="O5" i="10"/>
  <c r="L5" i="10" s="1"/>
  <c r="O6" i="10"/>
  <c r="L6" i="10" s="1"/>
  <c r="O7" i="10"/>
  <c r="L7" i="10" s="1"/>
  <c r="O8" i="10"/>
  <c r="L8" i="10" s="1"/>
  <c r="O9" i="10"/>
  <c r="L9" i="10" s="1"/>
  <c r="O10" i="10"/>
  <c r="L10" i="10" s="1"/>
  <c r="O11" i="10"/>
  <c r="L11" i="10" s="1"/>
  <c r="O12" i="10"/>
  <c r="L12" i="10" s="1"/>
  <c r="O13" i="10"/>
  <c r="L13" i="10" s="1"/>
  <c r="O14" i="10"/>
  <c r="L14" i="10" s="1"/>
  <c r="O15" i="10"/>
  <c r="L15" i="10" s="1"/>
  <c r="O16" i="10"/>
  <c r="L16" i="10" s="1"/>
  <c r="O17" i="10"/>
  <c r="L17" i="10" s="1"/>
  <c r="O18" i="10"/>
  <c r="L18" i="10" s="1"/>
  <c r="O19" i="10"/>
  <c r="L19" i="10" s="1"/>
  <c r="O20" i="10"/>
  <c r="L20" i="10" s="1"/>
  <c r="O21" i="10"/>
  <c r="L21" i="10" s="1"/>
  <c r="O22" i="10"/>
  <c r="L22" i="10" s="1"/>
  <c r="O23" i="10"/>
  <c r="L23" i="10" s="1"/>
  <c r="O24" i="10"/>
  <c r="L24" i="10" s="1"/>
  <c r="O25" i="10"/>
  <c r="L25" i="10" s="1"/>
  <c r="O26" i="10"/>
  <c r="L26" i="10" s="1"/>
  <c r="O27" i="10"/>
  <c r="L27" i="10" s="1"/>
  <c r="O28" i="10"/>
  <c r="L28" i="10" s="1"/>
  <c r="O29" i="10"/>
  <c r="L29" i="10" s="1"/>
  <c r="O30" i="10"/>
  <c r="L30" i="10" s="1"/>
  <c r="O31" i="10"/>
  <c r="L31" i="10" s="1"/>
  <c r="O32" i="10"/>
  <c r="L32" i="10" s="1"/>
  <c r="O33" i="10"/>
  <c r="L33" i="10" s="1"/>
  <c r="O34" i="10"/>
  <c r="L34" i="10" s="1"/>
  <c r="O3" i="10"/>
  <c r="L3" i="10" s="1"/>
  <c r="E5" i="10"/>
  <c r="E6" i="10"/>
  <c r="E7" i="10"/>
  <c r="E8" i="10"/>
  <c r="E4" i="10"/>
  <c r="AC29" i="3" l="1"/>
  <c r="M42" i="3"/>
  <c r="M43" i="3"/>
  <c r="N4" i="3" l="1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" i="3"/>
  <c r="H24" i="3"/>
  <c r="Z44" i="3" l="1"/>
  <c r="C62" i="3"/>
  <c r="C46" i="3" a="1"/>
  <c r="F46" i="3" s="1"/>
  <c r="M34" i="3"/>
  <c r="AJ38" i="3"/>
  <c r="AJ68" i="3"/>
  <c r="AJ61" i="3"/>
  <c r="AG46" i="3" l="1"/>
  <c r="AC46" i="3"/>
  <c r="Y46" i="3"/>
  <c r="U46" i="3"/>
  <c r="Q46" i="3"/>
  <c r="M46" i="3"/>
  <c r="I46" i="3"/>
  <c r="E46" i="3"/>
  <c r="AF46" i="3"/>
  <c r="AF48" i="3" s="1"/>
  <c r="AB46" i="3"/>
  <c r="X46" i="3"/>
  <c r="T46" i="3"/>
  <c r="P46" i="3"/>
  <c r="P48" i="3" s="1"/>
  <c r="L46" i="3"/>
  <c r="L48" i="3" s="1"/>
  <c r="H46" i="3"/>
  <c r="D46" i="3"/>
  <c r="C46" i="3"/>
  <c r="C48" i="3" s="1"/>
  <c r="AE46" i="3"/>
  <c r="AA46" i="3"/>
  <c r="W46" i="3"/>
  <c r="S46" i="3"/>
  <c r="S48" i="3" s="1"/>
  <c r="O46" i="3"/>
  <c r="K46" i="3"/>
  <c r="G46" i="3"/>
  <c r="AH46" i="3"/>
  <c r="AD46" i="3"/>
  <c r="Z46" i="3"/>
  <c r="V46" i="3"/>
  <c r="R46" i="3"/>
  <c r="N46" i="3"/>
  <c r="J46" i="3"/>
  <c r="D48" i="3"/>
  <c r="E48" i="3"/>
  <c r="F48" i="3"/>
  <c r="G48" i="3"/>
  <c r="H48" i="3"/>
  <c r="I48" i="3"/>
  <c r="J48" i="3"/>
  <c r="K48" i="3"/>
  <c r="M48" i="3"/>
  <c r="N48" i="3"/>
  <c r="O48" i="3"/>
  <c r="Q48" i="3"/>
  <c r="R48" i="3"/>
  <c r="T48" i="3"/>
  <c r="U48" i="3"/>
  <c r="V48" i="3"/>
  <c r="W48" i="3"/>
  <c r="X48" i="3"/>
  <c r="Y48" i="3"/>
  <c r="Z48" i="3"/>
  <c r="AA48" i="3"/>
  <c r="AB48" i="3"/>
  <c r="AC48" i="3"/>
  <c r="AD48" i="3"/>
  <c r="AE48" i="3"/>
  <c r="AG48" i="3"/>
  <c r="AH48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" i="3"/>
  <c r="N149" i="2"/>
  <c r="N150" i="2"/>
  <c r="N151" i="2"/>
  <c r="N152" i="2"/>
  <c r="N153" i="2"/>
  <c r="N154" i="2"/>
  <c r="N155" i="2"/>
  <c r="N156" i="2"/>
  <c r="N157" i="2"/>
  <c r="N158" i="2"/>
  <c r="N159" i="2"/>
  <c r="N148" i="2"/>
  <c r="C42" i="3"/>
  <c r="B29" i="3"/>
  <c r="K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B32" i="3"/>
  <c r="C38" i="3" a="1"/>
  <c r="C38" i="3" s="1"/>
  <c r="F38" i="3"/>
  <c r="F42" i="3" s="1"/>
  <c r="J38" i="3"/>
  <c r="J42" i="3" s="1"/>
  <c r="N38" i="3"/>
  <c r="N42" i="3" s="1"/>
  <c r="R38" i="3"/>
  <c r="R42" i="3" s="1"/>
  <c r="V38" i="3"/>
  <c r="V42" i="3" s="1"/>
  <c r="Z38" i="3"/>
  <c r="Z42" i="3" s="1"/>
  <c r="AD38" i="3"/>
  <c r="AD42" i="3" s="1"/>
  <c r="AH38" i="3"/>
  <c r="AH42" i="3" s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5" i="3"/>
  <c r="H26" i="3"/>
  <c r="H27" i="3"/>
  <c r="H28" i="3"/>
  <c r="H29" i="3"/>
  <c r="H30" i="3"/>
  <c r="H31" i="3"/>
  <c r="H32" i="3"/>
  <c r="H33" i="3"/>
  <c r="H34" i="3"/>
  <c r="H3" i="3"/>
  <c r="B28" i="3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J14" i="2"/>
  <c r="K14" i="2"/>
  <c r="L14" i="2"/>
  <c r="J15" i="2"/>
  <c r="K15" i="2"/>
  <c r="L15" i="2"/>
  <c r="J16" i="2"/>
  <c r="K16" i="2"/>
  <c r="L16" i="2"/>
  <c r="J17" i="2"/>
  <c r="K17" i="2"/>
  <c r="L17" i="2"/>
  <c r="J18" i="2"/>
  <c r="K18" i="2"/>
  <c r="L18" i="2"/>
  <c r="J19" i="2"/>
  <c r="K19" i="2"/>
  <c r="L19" i="2"/>
  <c r="J20" i="2"/>
  <c r="K20" i="2"/>
  <c r="L20" i="2"/>
  <c r="J21" i="2"/>
  <c r="K21" i="2"/>
  <c r="L21" i="2"/>
  <c r="J22" i="2"/>
  <c r="K22" i="2"/>
  <c r="L22" i="2"/>
  <c r="J23" i="2"/>
  <c r="K23" i="2"/>
  <c r="L23" i="2"/>
  <c r="J24" i="2"/>
  <c r="K24" i="2"/>
  <c r="L24" i="2"/>
  <c r="J25" i="2"/>
  <c r="K25" i="2"/>
  <c r="L25" i="2"/>
  <c r="J26" i="2"/>
  <c r="K26" i="2"/>
  <c r="L26" i="2"/>
  <c r="J27" i="2"/>
  <c r="K27" i="2"/>
  <c r="L27" i="2"/>
  <c r="J28" i="2"/>
  <c r="K28" i="2"/>
  <c r="L28" i="2"/>
  <c r="J29" i="2"/>
  <c r="K29" i="2"/>
  <c r="L29" i="2"/>
  <c r="J30" i="2"/>
  <c r="K30" i="2"/>
  <c r="L30" i="2"/>
  <c r="J31" i="2"/>
  <c r="K31" i="2"/>
  <c r="L31" i="2"/>
  <c r="J32" i="2"/>
  <c r="K32" i="2"/>
  <c r="L32" i="2"/>
  <c r="J33" i="2"/>
  <c r="K33" i="2"/>
  <c r="L33" i="2"/>
  <c r="J34" i="2"/>
  <c r="K34" i="2"/>
  <c r="L34" i="2"/>
  <c r="J35" i="2"/>
  <c r="K35" i="2"/>
  <c r="L35" i="2"/>
  <c r="J36" i="2"/>
  <c r="K36" i="2"/>
  <c r="L36" i="2"/>
  <c r="J37" i="2"/>
  <c r="K37" i="2"/>
  <c r="L37" i="2"/>
  <c r="J38" i="2"/>
  <c r="K38" i="2"/>
  <c r="L38" i="2"/>
  <c r="J39" i="2"/>
  <c r="K39" i="2"/>
  <c r="L39" i="2"/>
  <c r="J40" i="2"/>
  <c r="K40" i="2"/>
  <c r="L40" i="2"/>
  <c r="J41" i="2"/>
  <c r="K41" i="2"/>
  <c r="L41" i="2"/>
  <c r="J42" i="2"/>
  <c r="K42" i="2"/>
  <c r="L42" i="2"/>
  <c r="J43" i="2"/>
  <c r="K43" i="2"/>
  <c r="L43" i="2"/>
  <c r="J44" i="2"/>
  <c r="K44" i="2"/>
  <c r="L44" i="2"/>
  <c r="J45" i="2"/>
  <c r="K45" i="2"/>
  <c r="L45" i="2"/>
  <c r="J46" i="2"/>
  <c r="K46" i="2"/>
  <c r="L46" i="2"/>
  <c r="J47" i="2"/>
  <c r="K47" i="2"/>
  <c r="L47" i="2"/>
  <c r="J48" i="2"/>
  <c r="K48" i="2"/>
  <c r="L48" i="2"/>
  <c r="J49" i="2"/>
  <c r="K49" i="2"/>
  <c r="L49" i="2"/>
  <c r="J50" i="2"/>
  <c r="K50" i="2"/>
  <c r="L50" i="2"/>
  <c r="J51" i="2"/>
  <c r="K51" i="2"/>
  <c r="L51" i="2"/>
  <c r="J52" i="2"/>
  <c r="K52" i="2"/>
  <c r="L52" i="2"/>
  <c r="J53" i="2"/>
  <c r="K53" i="2"/>
  <c r="L53" i="2"/>
  <c r="J54" i="2"/>
  <c r="K54" i="2"/>
  <c r="L54" i="2"/>
  <c r="J55" i="2"/>
  <c r="K55" i="2"/>
  <c r="L55" i="2"/>
  <c r="J56" i="2"/>
  <c r="K56" i="2"/>
  <c r="L56" i="2"/>
  <c r="J57" i="2"/>
  <c r="K57" i="2"/>
  <c r="L57" i="2"/>
  <c r="J58" i="2"/>
  <c r="K58" i="2"/>
  <c r="L58" i="2"/>
  <c r="J59" i="2"/>
  <c r="K59" i="2"/>
  <c r="L59" i="2"/>
  <c r="J60" i="2"/>
  <c r="K60" i="2"/>
  <c r="L60" i="2"/>
  <c r="J61" i="2"/>
  <c r="K61" i="2"/>
  <c r="L61" i="2"/>
  <c r="J62" i="2"/>
  <c r="K62" i="2"/>
  <c r="L62" i="2"/>
  <c r="J63" i="2"/>
  <c r="K63" i="2"/>
  <c r="L63" i="2"/>
  <c r="J64" i="2"/>
  <c r="K64" i="2"/>
  <c r="L64" i="2"/>
  <c r="J65" i="2"/>
  <c r="K65" i="2"/>
  <c r="L65" i="2"/>
  <c r="J66" i="2"/>
  <c r="K66" i="2"/>
  <c r="L66" i="2"/>
  <c r="J67" i="2"/>
  <c r="K67" i="2"/>
  <c r="L67" i="2"/>
  <c r="J68" i="2"/>
  <c r="K68" i="2"/>
  <c r="L68" i="2"/>
  <c r="J69" i="2"/>
  <c r="K69" i="2"/>
  <c r="L69" i="2"/>
  <c r="J70" i="2"/>
  <c r="K70" i="2"/>
  <c r="L70" i="2"/>
  <c r="J71" i="2"/>
  <c r="K71" i="2"/>
  <c r="L71" i="2"/>
  <c r="J72" i="2"/>
  <c r="K72" i="2"/>
  <c r="L72" i="2"/>
  <c r="J73" i="2"/>
  <c r="K73" i="2"/>
  <c r="L73" i="2"/>
  <c r="J74" i="2"/>
  <c r="K74" i="2"/>
  <c r="L74" i="2"/>
  <c r="J75" i="2"/>
  <c r="K75" i="2"/>
  <c r="L75" i="2"/>
  <c r="J76" i="2"/>
  <c r="K76" i="2"/>
  <c r="L76" i="2"/>
  <c r="J77" i="2"/>
  <c r="K77" i="2"/>
  <c r="L77" i="2"/>
  <c r="J78" i="2"/>
  <c r="K78" i="2"/>
  <c r="L78" i="2"/>
  <c r="J79" i="2"/>
  <c r="K79" i="2"/>
  <c r="L79" i="2"/>
  <c r="J80" i="2"/>
  <c r="K80" i="2"/>
  <c r="L80" i="2"/>
  <c r="J81" i="2"/>
  <c r="K81" i="2"/>
  <c r="L81" i="2"/>
  <c r="J82" i="2"/>
  <c r="K82" i="2"/>
  <c r="L82" i="2"/>
  <c r="J83" i="2"/>
  <c r="K83" i="2"/>
  <c r="L83" i="2"/>
  <c r="J84" i="2"/>
  <c r="K84" i="2"/>
  <c r="L84" i="2"/>
  <c r="J85" i="2"/>
  <c r="K85" i="2"/>
  <c r="L85" i="2"/>
  <c r="J86" i="2"/>
  <c r="K86" i="2"/>
  <c r="L86" i="2"/>
  <c r="J87" i="2"/>
  <c r="K87" i="2"/>
  <c r="L87" i="2"/>
  <c r="J88" i="2"/>
  <c r="K88" i="2"/>
  <c r="L88" i="2"/>
  <c r="J89" i="2"/>
  <c r="K89" i="2"/>
  <c r="L89" i="2"/>
  <c r="J90" i="2"/>
  <c r="K90" i="2"/>
  <c r="L90" i="2"/>
  <c r="J91" i="2"/>
  <c r="K91" i="2"/>
  <c r="L91" i="2"/>
  <c r="J92" i="2"/>
  <c r="K92" i="2"/>
  <c r="L92" i="2"/>
  <c r="J93" i="2"/>
  <c r="K93" i="2"/>
  <c r="L93" i="2"/>
  <c r="J94" i="2"/>
  <c r="K94" i="2"/>
  <c r="L94" i="2"/>
  <c r="J95" i="2"/>
  <c r="K95" i="2"/>
  <c r="L95" i="2"/>
  <c r="J96" i="2"/>
  <c r="K96" i="2"/>
  <c r="L96" i="2"/>
  <c r="J97" i="2"/>
  <c r="K97" i="2"/>
  <c r="L97" i="2"/>
  <c r="J98" i="2"/>
  <c r="K98" i="2"/>
  <c r="L98" i="2"/>
  <c r="J99" i="2"/>
  <c r="K99" i="2"/>
  <c r="L99" i="2"/>
  <c r="J100" i="2"/>
  <c r="K100" i="2"/>
  <c r="L100" i="2"/>
  <c r="J101" i="2"/>
  <c r="K101" i="2"/>
  <c r="L101" i="2"/>
  <c r="J102" i="2"/>
  <c r="K102" i="2"/>
  <c r="L102" i="2"/>
  <c r="J103" i="2"/>
  <c r="K103" i="2"/>
  <c r="L103" i="2"/>
  <c r="J104" i="2"/>
  <c r="K104" i="2"/>
  <c r="L104" i="2"/>
  <c r="J105" i="2"/>
  <c r="K105" i="2"/>
  <c r="L105" i="2"/>
  <c r="J106" i="2"/>
  <c r="K106" i="2"/>
  <c r="L106" i="2"/>
  <c r="J107" i="2"/>
  <c r="K107" i="2"/>
  <c r="L107" i="2"/>
  <c r="J108" i="2"/>
  <c r="K108" i="2"/>
  <c r="L108" i="2"/>
  <c r="J109" i="2"/>
  <c r="K109" i="2"/>
  <c r="L109" i="2"/>
  <c r="J110" i="2"/>
  <c r="K110" i="2"/>
  <c r="L110" i="2"/>
  <c r="J111" i="2"/>
  <c r="K111" i="2"/>
  <c r="L111" i="2"/>
  <c r="J112" i="2"/>
  <c r="K112" i="2"/>
  <c r="L112" i="2"/>
  <c r="J113" i="2"/>
  <c r="K113" i="2"/>
  <c r="L113" i="2"/>
  <c r="J114" i="2"/>
  <c r="K114" i="2"/>
  <c r="L114" i="2"/>
  <c r="J115" i="2"/>
  <c r="K115" i="2"/>
  <c r="L115" i="2"/>
  <c r="J116" i="2"/>
  <c r="K116" i="2"/>
  <c r="L116" i="2"/>
  <c r="J117" i="2"/>
  <c r="K117" i="2"/>
  <c r="L117" i="2"/>
  <c r="J118" i="2"/>
  <c r="K118" i="2"/>
  <c r="L118" i="2"/>
  <c r="J119" i="2"/>
  <c r="K119" i="2"/>
  <c r="L119" i="2"/>
  <c r="J120" i="2"/>
  <c r="K120" i="2"/>
  <c r="L120" i="2"/>
  <c r="J121" i="2"/>
  <c r="K121" i="2"/>
  <c r="L121" i="2"/>
  <c r="J122" i="2"/>
  <c r="K122" i="2"/>
  <c r="L122" i="2"/>
  <c r="J123" i="2"/>
  <c r="K123" i="2"/>
  <c r="L123" i="2"/>
  <c r="J124" i="2"/>
  <c r="K124" i="2"/>
  <c r="L124" i="2"/>
  <c r="J125" i="2"/>
  <c r="K125" i="2"/>
  <c r="L125" i="2"/>
  <c r="J126" i="2"/>
  <c r="K126" i="2"/>
  <c r="L126" i="2"/>
  <c r="J127" i="2"/>
  <c r="K127" i="2"/>
  <c r="L127" i="2"/>
  <c r="J128" i="2"/>
  <c r="K128" i="2"/>
  <c r="L128" i="2"/>
  <c r="J129" i="2"/>
  <c r="K129" i="2"/>
  <c r="L129" i="2"/>
  <c r="J130" i="2"/>
  <c r="K130" i="2"/>
  <c r="L130" i="2"/>
  <c r="J131" i="2"/>
  <c r="K131" i="2"/>
  <c r="L131" i="2"/>
  <c r="J132" i="2"/>
  <c r="K132" i="2"/>
  <c r="L132" i="2"/>
  <c r="J133" i="2"/>
  <c r="K133" i="2"/>
  <c r="L133" i="2"/>
  <c r="J134" i="2"/>
  <c r="K134" i="2"/>
  <c r="L134" i="2"/>
  <c r="J135" i="2"/>
  <c r="K135" i="2"/>
  <c r="L135" i="2"/>
  <c r="J136" i="2"/>
  <c r="K136" i="2"/>
  <c r="L136" i="2"/>
  <c r="J137" i="2"/>
  <c r="K137" i="2"/>
  <c r="L137" i="2"/>
  <c r="J138" i="2"/>
  <c r="K138" i="2"/>
  <c r="L138" i="2"/>
  <c r="J139" i="2"/>
  <c r="K139" i="2"/>
  <c r="L139" i="2"/>
  <c r="J140" i="2"/>
  <c r="K140" i="2"/>
  <c r="L140" i="2"/>
  <c r="J141" i="2"/>
  <c r="K141" i="2"/>
  <c r="L141" i="2"/>
  <c r="J142" i="2"/>
  <c r="K142" i="2"/>
  <c r="L142" i="2"/>
  <c r="J143" i="2"/>
  <c r="K143" i="2"/>
  <c r="L143" i="2"/>
  <c r="J144" i="2"/>
  <c r="K144" i="2"/>
  <c r="L144" i="2"/>
  <c r="J145" i="2"/>
  <c r="K145" i="2"/>
  <c r="L145" i="2"/>
  <c r="J146" i="2"/>
  <c r="K146" i="2"/>
  <c r="L146" i="2"/>
  <c r="J147" i="2"/>
  <c r="K147" i="2"/>
  <c r="L147" i="2"/>
  <c r="J148" i="2"/>
  <c r="K148" i="2"/>
  <c r="L148" i="2"/>
  <c r="J149" i="2"/>
  <c r="K149" i="2"/>
  <c r="L149" i="2"/>
  <c r="J150" i="2"/>
  <c r="K150" i="2"/>
  <c r="L150" i="2"/>
  <c r="J151" i="2"/>
  <c r="K151" i="2"/>
  <c r="L151" i="2"/>
  <c r="J152" i="2"/>
  <c r="K152" i="2"/>
  <c r="L152" i="2"/>
  <c r="J153" i="2"/>
  <c r="K153" i="2"/>
  <c r="L153" i="2"/>
  <c r="J154" i="2"/>
  <c r="K154" i="2"/>
  <c r="L154" i="2"/>
  <c r="J155" i="2"/>
  <c r="K155" i="2"/>
  <c r="L155" i="2"/>
  <c r="J156" i="2"/>
  <c r="K156" i="2"/>
  <c r="L156" i="2"/>
  <c r="J157" i="2"/>
  <c r="K157" i="2"/>
  <c r="L157" i="2"/>
  <c r="J158" i="2"/>
  <c r="K158" i="2"/>
  <c r="L158" i="2"/>
  <c r="J159" i="2"/>
  <c r="K159" i="2"/>
  <c r="L159" i="2"/>
  <c r="J160" i="2"/>
  <c r="K160" i="2"/>
  <c r="L160" i="2"/>
  <c r="J161" i="2"/>
  <c r="K161" i="2"/>
  <c r="L161" i="2"/>
  <c r="J162" i="2"/>
  <c r="K162" i="2"/>
  <c r="L162" i="2"/>
  <c r="J163" i="2"/>
  <c r="K163" i="2"/>
  <c r="L163" i="2"/>
  <c r="J164" i="2"/>
  <c r="K164" i="2"/>
  <c r="L164" i="2"/>
  <c r="J165" i="2"/>
  <c r="K165" i="2"/>
  <c r="L165" i="2"/>
  <c r="J166" i="2"/>
  <c r="K166" i="2"/>
  <c r="L166" i="2"/>
  <c r="J167" i="2"/>
  <c r="K167" i="2"/>
  <c r="L167" i="2"/>
  <c r="J168" i="2"/>
  <c r="K168" i="2"/>
  <c r="L168" i="2"/>
  <c r="J169" i="2"/>
  <c r="K169" i="2"/>
  <c r="L169" i="2"/>
  <c r="J170" i="2"/>
  <c r="K170" i="2"/>
  <c r="L170" i="2"/>
  <c r="J171" i="2"/>
  <c r="K171" i="2"/>
  <c r="L171" i="2"/>
  <c r="J172" i="2"/>
  <c r="K172" i="2"/>
  <c r="L172" i="2"/>
  <c r="J173" i="2"/>
  <c r="K173" i="2"/>
  <c r="L173" i="2"/>
  <c r="J174" i="2"/>
  <c r="K174" i="2"/>
  <c r="L174" i="2"/>
  <c r="J175" i="2"/>
  <c r="K175" i="2"/>
  <c r="L175" i="2"/>
  <c r="J176" i="2"/>
  <c r="K176" i="2"/>
  <c r="L176" i="2"/>
  <c r="J177" i="2"/>
  <c r="K177" i="2"/>
  <c r="L177" i="2"/>
  <c r="J178" i="2"/>
  <c r="K178" i="2"/>
  <c r="L178" i="2"/>
  <c r="J179" i="2"/>
  <c r="K179" i="2"/>
  <c r="L179" i="2"/>
  <c r="J180" i="2"/>
  <c r="K180" i="2"/>
  <c r="L180" i="2"/>
  <c r="J181" i="2"/>
  <c r="K181" i="2"/>
  <c r="L181" i="2"/>
  <c r="J182" i="2"/>
  <c r="K182" i="2"/>
  <c r="L182" i="2"/>
  <c r="J183" i="2"/>
  <c r="K183" i="2"/>
  <c r="L183" i="2"/>
  <c r="J184" i="2"/>
  <c r="K184" i="2"/>
  <c r="L184" i="2"/>
  <c r="J185" i="2"/>
  <c r="K185" i="2"/>
  <c r="L185" i="2"/>
  <c r="J186" i="2"/>
  <c r="K186" i="2"/>
  <c r="L186" i="2"/>
  <c r="J187" i="2"/>
  <c r="K187" i="2"/>
  <c r="L187" i="2"/>
  <c r="J188" i="2"/>
  <c r="K188" i="2"/>
  <c r="L188" i="2"/>
  <c r="J189" i="2"/>
  <c r="K189" i="2"/>
  <c r="L189" i="2"/>
  <c r="J190" i="2"/>
  <c r="K190" i="2"/>
  <c r="L190" i="2"/>
  <c r="J191" i="2"/>
  <c r="K191" i="2"/>
  <c r="L191" i="2"/>
  <c r="J192" i="2"/>
  <c r="K192" i="2"/>
  <c r="L192" i="2"/>
  <c r="J193" i="2"/>
  <c r="K193" i="2"/>
  <c r="L193" i="2"/>
  <c r="J194" i="2"/>
  <c r="K194" i="2"/>
  <c r="L194" i="2"/>
  <c r="J195" i="2"/>
  <c r="K195" i="2"/>
  <c r="L195" i="2"/>
  <c r="J196" i="2"/>
  <c r="K196" i="2"/>
  <c r="L196" i="2"/>
  <c r="J197" i="2"/>
  <c r="K197" i="2"/>
  <c r="L197" i="2"/>
  <c r="J198" i="2"/>
  <c r="K198" i="2"/>
  <c r="L198" i="2"/>
  <c r="J199" i="2"/>
  <c r="K199" i="2"/>
  <c r="L199" i="2"/>
  <c r="J200" i="2"/>
  <c r="K200" i="2"/>
  <c r="L200" i="2"/>
  <c r="J201" i="2"/>
  <c r="K201" i="2"/>
  <c r="L201" i="2"/>
  <c r="J202" i="2"/>
  <c r="K202" i="2"/>
  <c r="L202" i="2"/>
  <c r="J203" i="2"/>
  <c r="K203" i="2"/>
  <c r="L203" i="2"/>
  <c r="J204" i="2"/>
  <c r="K204" i="2"/>
  <c r="L204" i="2"/>
  <c r="J205" i="2"/>
  <c r="K205" i="2"/>
  <c r="L205" i="2"/>
  <c r="J206" i="2"/>
  <c r="K206" i="2"/>
  <c r="L206" i="2"/>
  <c r="J207" i="2"/>
  <c r="K207" i="2"/>
  <c r="L207" i="2"/>
  <c r="J208" i="2"/>
  <c r="K208" i="2"/>
  <c r="L208" i="2"/>
  <c r="J209" i="2"/>
  <c r="K209" i="2"/>
  <c r="L209" i="2"/>
  <c r="J210" i="2"/>
  <c r="K210" i="2"/>
  <c r="L210" i="2"/>
  <c r="J211" i="2"/>
  <c r="K211" i="2"/>
  <c r="L211" i="2"/>
  <c r="J212" i="2"/>
  <c r="K212" i="2"/>
  <c r="L212" i="2"/>
  <c r="J213" i="2"/>
  <c r="K213" i="2"/>
  <c r="L213" i="2"/>
  <c r="J214" i="2"/>
  <c r="K214" i="2"/>
  <c r="L214" i="2"/>
  <c r="J215" i="2"/>
  <c r="K215" i="2"/>
  <c r="L215" i="2"/>
  <c r="J216" i="2"/>
  <c r="K216" i="2"/>
  <c r="L216" i="2"/>
  <c r="J217" i="2"/>
  <c r="K217" i="2"/>
  <c r="L217" i="2"/>
  <c r="J218" i="2"/>
  <c r="K218" i="2"/>
  <c r="L218" i="2"/>
  <c r="J219" i="2"/>
  <c r="K219" i="2"/>
  <c r="L219" i="2"/>
  <c r="J220" i="2"/>
  <c r="K220" i="2"/>
  <c r="L220" i="2"/>
  <c r="J221" i="2"/>
  <c r="K221" i="2"/>
  <c r="L221" i="2"/>
  <c r="J222" i="2"/>
  <c r="K222" i="2"/>
  <c r="L222" i="2"/>
  <c r="J223" i="2"/>
  <c r="K223" i="2"/>
  <c r="L223" i="2"/>
  <c r="J224" i="2"/>
  <c r="K224" i="2"/>
  <c r="L224" i="2"/>
  <c r="J225" i="2"/>
  <c r="K225" i="2"/>
  <c r="L225" i="2"/>
  <c r="J226" i="2"/>
  <c r="K226" i="2"/>
  <c r="L226" i="2"/>
  <c r="J227" i="2"/>
  <c r="K227" i="2"/>
  <c r="L227" i="2"/>
  <c r="J228" i="2"/>
  <c r="K228" i="2"/>
  <c r="L228" i="2"/>
  <c r="J229" i="2"/>
  <c r="K229" i="2"/>
  <c r="L229" i="2"/>
  <c r="J230" i="2"/>
  <c r="K230" i="2"/>
  <c r="L230" i="2"/>
  <c r="J231" i="2"/>
  <c r="K231" i="2"/>
  <c r="L231" i="2"/>
  <c r="J232" i="2"/>
  <c r="K232" i="2"/>
  <c r="L232" i="2"/>
  <c r="J233" i="2"/>
  <c r="K233" i="2"/>
  <c r="L233" i="2"/>
  <c r="J234" i="2"/>
  <c r="K234" i="2"/>
  <c r="L234" i="2"/>
  <c r="J235" i="2"/>
  <c r="K235" i="2"/>
  <c r="L235" i="2"/>
  <c r="J236" i="2"/>
  <c r="K236" i="2"/>
  <c r="L236" i="2"/>
  <c r="J237" i="2"/>
  <c r="K237" i="2"/>
  <c r="L237" i="2"/>
  <c r="J238" i="2"/>
  <c r="K238" i="2"/>
  <c r="L238" i="2"/>
  <c r="J239" i="2"/>
  <c r="K239" i="2"/>
  <c r="L239" i="2"/>
  <c r="J240" i="2"/>
  <c r="K240" i="2"/>
  <c r="L240" i="2"/>
  <c r="J241" i="2"/>
  <c r="K241" i="2"/>
  <c r="L241" i="2"/>
  <c r="J242" i="2"/>
  <c r="K242" i="2"/>
  <c r="L242" i="2"/>
  <c r="J243" i="2"/>
  <c r="K243" i="2"/>
  <c r="L243" i="2"/>
  <c r="J244" i="2"/>
  <c r="K244" i="2"/>
  <c r="L244" i="2"/>
  <c r="J245" i="2"/>
  <c r="K245" i="2"/>
  <c r="L245" i="2"/>
  <c r="J246" i="2"/>
  <c r="K246" i="2"/>
  <c r="L246" i="2"/>
  <c r="J247" i="2"/>
  <c r="K247" i="2"/>
  <c r="L247" i="2"/>
  <c r="J248" i="2"/>
  <c r="K248" i="2"/>
  <c r="L248" i="2"/>
  <c r="J249" i="2"/>
  <c r="K249" i="2"/>
  <c r="L249" i="2"/>
  <c r="J250" i="2"/>
  <c r="K250" i="2"/>
  <c r="L250" i="2"/>
  <c r="J251" i="2"/>
  <c r="K251" i="2"/>
  <c r="L251" i="2"/>
  <c r="J252" i="2"/>
  <c r="K252" i="2"/>
  <c r="L252" i="2"/>
  <c r="J253" i="2"/>
  <c r="K253" i="2"/>
  <c r="L253" i="2"/>
  <c r="J254" i="2"/>
  <c r="K254" i="2"/>
  <c r="L254" i="2"/>
  <c r="J255" i="2"/>
  <c r="K255" i="2"/>
  <c r="L255" i="2"/>
  <c r="J256" i="2"/>
  <c r="K256" i="2"/>
  <c r="L256" i="2"/>
  <c r="J257" i="2"/>
  <c r="K257" i="2"/>
  <c r="L257" i="2"/>
  <c r="J258" i="2"/>
  <c r="K258" i="2"/>
  <c r="L258" i="2"/>
  <c r="J259" i="2"/>
  <c r="K259" i="2"/>
  <c r="L259" i="2"/>
  <c r="J260" i="2"/>
  <c r="K260" i="2"/>
  <c r="L260" i="2"/>
  <c r="J261" i="2"/>
  <c r="K261" i="2"/>
  <c r="L261" i="2"/>
  <c r="J262" i="2"/>
  <c r="K262" i="2"/>
  <c r="L262" i="2"/>
  <c r="J263" i="2"/>
  <c r="K263" i="2"/>
  <c r="L263" i="2"/>
  <c r="J264" i="2"/>
  <c r="K264" i="2"/>
  <c r="L264" i="2"/>
  <c r="J265" i="2"/>
  <c r="K265" i="2"/>
  <c r="L265" i="2"/>
  <c r="J266" i="2"/>
  <c r="K266" i="2"/>
  <c r="L266" i="2"/>
  <c r="J267" i="2"/>
  <c r="K267" i="2"/>
  <c r="L267" i="2"/>
  <c r="J268" i="2"/>
  <c r="K268" i="2"/>
  <c r="L268" i="2"/>
  <c r="J269" i="2"/>
  <c r="K269" i="2"/>
  <c r="L269" i="2"/>
  <c r="J270" i="2"/>
  <c r="K270" i="2"/>
  <c r="L270" i="2"/>
  <c r="J271" i="2"/>
  <c r="K271" i="2"/>
  <c r="L271" i="2"/>
  <c r="J272" i="2"/>
  <c r="K272" i="2"/>
  <c r="L272" i="2"/>
  <c r="J273" i="2"/>
  <c r="K273" i="2"/>
  <c r="L273" i="2"/>
  <c r="J274" i="2"/>
  <c r="K274" i="2"/>
  <c r="L274" i="2"/>
  <c r="J275" i="2"/>
  <c r="K275" i="2"/>
  <c r="L275" i="2"/>
  <c r="J276" i="2"/>
  <c r="K276" i="2"/>
  <c r="L276" i="2"/>
  <c r="J277" i="2"/>
  <c r="K277" i="2"/>
  <c r="L277" i="2"/>
  <c r="J278" i="2"/>
  <c r="K278" i="2"/>
  <c r="L278" i="2"/>
  <c r="J279" i="2"/>
  <c r="K279" i="2"/>
  <c r="L279" i="2"/>
  <c r="J280" i="2"/>
  <c r="K280" i="2"/>
  <c r="L280" i="2"/>
  <c r="J281" i="2"/>
  <c r="K281" i="2"/>
  <c r="L281" i="2"/>
  <c r="J282" i="2"/>
  <c r="K282" i="2"/>
  <c r="L282" i="2"/>
  <c r="J283" i="2"/>
  <c r="K283" i="2"/>
  <c r="L283" i="2"/>
  <c r="J284" i="2"/>
  <c r="K284" i="2"/>
  <c r="L284" i="2"/>
  <c r="J285" i="2"/>
  <c r="K285" i="2"/>
  <c r="L285" i="2"/>
  <c r="J286" i="2"/>
  <c r="K286" i="2"/>
  <c r="L286" i="2"/>
  <c r="J287" i="2"/>
  <c r="K287" i="2"/>
  <c r="L287" i="2"/>
  <c r="J288" i="2"/>
  <c r="K288" i="2"/>
  <c r="L288" i="2"/>
  <c r="J289" i="2"/>
  <c r="K289" i="2"/>
  <c r="L289" i="2"/>
  <c r="K4" i="2"/>
  <c r="L4" i="2"/>
  <c r="J4" i="2"/>
  <c r="D26" i="9"/>
  <c r="D27" i="9"/>
  <c r="D28" i="9"/>
  <c r="D29" i="9"/>
  <c r="H145" i="2" s="1"/>
  <c r="I145" i="2" s="1"/>
  <c r="D30" i="9"/>
  <c r="D31" i="9"/>
  <c r="D32" i="9"/>
  <c r="D33" i="9"/>
  <c r="H162" i="2" s="1"/>
  <c r="I162" i="2" s="1"/>
  <c r="D34" i="9"/>
  <c r="D35" i="9"/>
  <c r="D36" i="9"/>
  <c r="D37" i="9"/>
  <c r="H180" i="2" s="1"/>
  <c r="I180" i="2" s="1"/>
  <c r="D38" i="9"/>
  <c r="D39" i="9"/>
  <c r="D40" i="9"/>
  <c r="D41" i="9"/>
  <c r="D42" i="9"/>
  <c r="D43" i="9"/>
  <c r="D44" i="9"/>
  <c r="D45" i="9"/>
  <c r="H228" i="2" s="1"/>
  <c r="I228" i="2" s="1"/>
  <c r="D46" i="9"/>
  <c r="D47" i="9"/>
  <c r="D48" i="9"/>
  <c r="D49" i="9"/>
  <c r="H252" i="2" s="1"/>
  <c r="I252" i="2" s="1"/>
  <c r="D50" i="9"/>
  <c r="D51" i="9"/>
  <c r="D52" i="9"/>
  <c r="D53" i="9"/>
  <c r="H280" i="2" s="1"/>
  <c r="I280" i="2" s="1"/>
  <c r="D54" i="9"/>
  <c r="D55" i="9"/>
  <c r="D56" i="9"/>
  <c r="D57" i="9"/>
  <c r="H289" i="2" s="1"/>
  <c r="I289" i="2" s="1"/>
  <c r="D25" i="9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6" i="2"/>
  <c r="I176" i="2" s="1"/>
  <c r="H177" i="2"/>
  <c r="I177" i="2" s="1"/>
  <c r="H178" i="2"/>
  <c r="I178" i="2" s="1"/>
  <c r="H179" i="2"/>
  <c r="I179" i="2" s="1"/>
  <c r="H183" i="2"/>
  <c r="I183" i="2" s="1"/>
  <c r="H187" i="2"/>
  <c r="I187" i="2" s="1"/>
  <c r="H191" i="2"/>
  <c r="I191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7" i="2"/>
  <c r="I227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3" i="2"/>
  <c r="I243" i="2" s="1"/>
  <c r="H244" i="2"/>
  <c r="I244" i="2" s="1"/>
  <c r="H245" i="2"/>
  <c r="I245" i="2" s="1"/>
  <c r="H246" i="2"/>
  <c r="I246" i="2" s="1"/>
  <c r="H247" i="2"/>
  <c r="I247" i="2" s="1"/>
  <c r="H248" i="2"/>
  <c r="I248" i="2" s="1"/>
  <c r="H251" i="2"/>
  <c r="I251" i="2" s="1"/>
  <c r="H255" i="2"/>
  <c r="I255" i="2" s="1"/>
  <c r="H258" i="2"/>
  <c r="I258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I266" i="2" s="1"/>
  <c r="H267" i="2"/>
  <c r="I267" i="2" s="1"/>
  <c r="H268" i="2"/>
  <c r="I268" i="2" s="1"/>
  <c r="H269" i="2"/>
  <c r="I269" i="2" s="1"/>
  <c r="H270" i="2"/>
  <c r="I270" i="2" s="1"/>
  <c r="H271" i="2"/>
  <c r="I271" i="2" s="1"/>
  <c r="H272" i="2"/>
  <c r="I272" i="2" s="1"/>
  <c r="H273" i="2"/>
  <c r="I273" i="2" s="1"/>
  <c r="H274" i="2"/>
  <c r="I274" i="2" s="1"/>
  <c r="H275" i="2"/>
  <c r="I275" i="2" s="1"/>
  <c r="H277" i="2"/>
  <c r="I277" i="2" s="1"/>
  <c r="H278" i="2"/>
  <c r="I278" i="2" s="1"/>
  <c r="H279" i="2"/>
  <c r="I279" i="2" s="1"/>
  <c r="H284" i="2"/>
  <c r="I284" i="2" s="1"/>
  <c r="H285" i="2"/>
  <c r="I285" i="2" s="1"/>
  <c r="H287" i="2"/>
  <c r="I287" i="2" s="1"/>
  <c r="H4" i="2"/>
  <c r="I4" i="2" s="1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4" i="9"/>
  <c r="D3" i="9"/>
  <c r="AJ48" i="3" l="1"/>
  <c r="AJ46" i="3"/>
  <c r="AC38" i="3"/>
  <c r="AC42" i="3" s="1"/>
  <c r="U38" i="3"/>
  <c r="U42" i="3" s="1"/>
  <c r="M38" i="3"/>
  <c r="E38" i="3"/>
  <c r="E42" i="3" s="1"/>
  <c r="AG38" i="3"/>
  <c r="AG42" i="3" s="1"/>
  <c r="Y38" i="3"/>
  <c r="Y42" i="3" s="1"/>
  <c r="Q38" i="3"/>
  <c r="Q42" i="3" s="1"/>
  <c r="I38" i="3"/>
  <c r="I42" i="3" s="1"/>
  <c r="AF38" i="3"/>
  <c r="AF42" i="3" s="1"/>
  <c r="AB38" i="3"/>
  <c r="AB42" i="3" s="1"/>
  <c r="X38" i="3"/>
  <c r="X42" i="3" s="1"/>
  <c r="T38" i="3"/>
  <c r="T42" i="3" s="1"/>
  <c r="P38" i="3"/>
  <c r="P42" i="3" s="1"/>
  <c r="L38" i="3"/>
  <c r="L42" i="3" s="1"/>
  <c r="H38" i="3"/>
  <c r="H42" i="3" s="1"/>
  <c r="D38" i="3"/>
  <c r="D42" i="3" s="1"/>
  <c r="AE38" i="3"/>
  <c r="AE42" i="3" s="1"/>
  <c r="AA38" i="3"/>
  <c r="AA42" i="3" s="1"/>
  <c r="W38" i="3"/>
  <c r="W42" i="3" s="1"/>
  <c r="S38" i="3"/>
  <c r="S42" i="3" s="1"/>
  <c r="O38" i="3"/>
  <c r="O42" i="3" s="1"/>
  <c r="K38" i="3"/>
  <c r="K42" i="3" s="1"/>
  <c r="G38" i="3"/>
  <c r="G42" i="3" s="1"/>
  <c r="H282" i="2"/>
  <c r="I282" i="2" s="1"/>
  <c r="H254" i="2"/>
  <c r="I254" i="2" s="1"/>
  <c r="H250" i="2"/>
  <c r="I250" i="2" s="1"/>
  <c r="H230" i="2"/>
  <c r="I230" i="2" s="1"/>
  <c r="H226" i="2"/>
  <c r="I226" i="2" s="1"/>
  <c r="H190" i="2"/>
  <c r="I190" i="2" s="1"/>
  <c r="H186" i="2"/>
  <c r="I186" i="2" s="1"/>
  <c r="H182" i="2"/>
  <c r="I182" i="2" s="1"/>
  <c r="H281" i="2"/>
  <c r="I281" i="2" s="1"/>
  <c r="H257" i="2"/>
  <c r="I257" i="2" s="1"/>
  <c r="H253" i="2"/>
  <c r="I253" i="2" s="1"/>
  <c r="H249" i="2"/>
  <c r="I249" i="2" s="1"/>
  <c r="H229" i="2"/>
  <c r="I229" i="2" s="1"/>
  <c r="H189" i="2"/>
  <c r="I189" i="2" s="1"/>
  <c r="H185" i="2"/>
  <c r="I185" i="2" s="1"/>
  <c r="H181" i="2"/>
  <c r="I181" i="2" s="1"/>
  <c r="H256" i="2"/>
  <c r="I256" i="2" s="1"/>
  <c r="H188" i="2"/>
  <c r="I188" i="2" s="1"/>
  <c r="H184" i="2"/>
  <c r="I184" i="2" s="1"/>
  <c r="M3" i="8" l="1"/>
  <c r="L3" i="8"/>
  <c r="J3" i="8"/>
  <c r="F13" i="8" l="1"/>
  <c r="H13" i="8" s="1"/>
  <c r="G13" i="8"/>
  <c r="I13" i="8"/>
  <c r="F14" i="8"/>
  <c r="H14" i="8" s="1"/>
  <c r="G14" i="8"/>
  <c r="I14" i="8"/>
  <c r="D12" i="8"/>
  <c r="D10" i="8"/>
  <c r="D11" i="8"/>
  <c r="I5" i="8" l="1"/>
  <c r="H5" i="8"/>
  <c r="G5" i="8"/>
  <c r="H11" i="8" l="1"/>
  <c r="G11" i="8"/>
  <c r="I11" i="8" s="1"/>
  <c r="J11" i="8" s="1"/>
  <c r="F12" i="8"/>
  <c r="H12" i="8" s="1"/>
  <c r="G12" i="8"/>
  <c r="I12" i="8" s="1"/>
  <c r="G10" i="8"/>
  <c r="I10" i="8" s="1"/>
  <c r="J12" i="8" l="1"/>
  <c r="F10" i="8"/>
  <c r="H10" i="8" s="1"/>
  <c r="I8" i="8"/>
  <c r="F7" i="8"/>
  <c r="G7" i="8" s="1"/>
  <c r="I7" i="8" s="1"/>
  <c r="H7" i="8"/>
  <c r="G6" i="8"/>
  <c r="I6" i="8" s="1"/>
  <c r="J6" i="8" s="1"/>
  <c r="H6" i="8"/>
  <c r="F5" i="8"/>
  <c r="L3" i="3" l="1"/>
  <c r="L4" i="3"/>
  <c r="L5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C39" i="3" l="1" a="1"/>
  <c r="C39" i="3" l="1"/>
  <c r="C43" i="3" s="1"/>
  <c r="I39" i="3"/>
  <c r="I43" i="3" s="1"/>
  <c r="Q39" i="3"/>
  <c r="Q43" i="3" s="1"/>
  <c r="Y39" i="3"/>
  <c r="Y43" i="3" s="1"/>
  <c r="AG39" i="3"/>
  <c r="AG43" i="3" s="1"/>
  <c r="V39" i="3"/>
  <c r="V43" i="3" s="1"/>
  <c r="J39" i="3"/>
  <c r="J43" i="3" s="1"/>
  <c r="R39" i="3"/>
  <c r="R43" i="3" s="1"/>
  <c r="Z39" i="3"/>
  <c r="Z43" i="3" s="1"/>
  <c r="AH39" i="3"/>
  <c r="AH43" i="3" s="1"/>
  <c r="E39" i="3"/>
  <c r="E43" i="3" s="1"/>
  <c r="M39" i="3"/>
  <c r="U39" i="3"/>
  <c r="U43" i="3" s="1"/>
  <c r="AC39" i="3"/>
  <c r="AC43" i="3" s="1"/>
  <c r="F39" i="3"/>
  <c r="F43" i="3" s="1"/>
  <c r="N39" i="3"/>
  <c r="N43" i="3" s="1"/>
  <c r="AD39" i="3"/>
  <c r="AD43" i="3" s="1"/>
  <c r="X39" i="3"/>
  <c r="X43" i="3" s="1"/>
  <c r="H39" i="3"/>
  <c r="H43" i="3" s="1"/>
  <c r="W39" i="3"/>
  <c r="W43" i="3" s="1"/>
  <c r="G39" i="3"/>
  <c r="G43" i="3" s="1"/>
  <c r="T39" i="3"/>
  <c r="T43" i="3" s="1"/>
  <c r="D39" i="3"/>
  <c r="D43" i="3" s="1"/>
  <c r="S39" i="3"/>
  <c r="S43" i="3" s="1"/>
  <c r="AF39" i="3"/>
  <c r="AF43" i="3" s="1"/>
  <c r="P39" i="3"/>
  <c r="P43" i="3" s="1"/>
  <c r="AE39" i="3"/>
  <c r="AE43" i="3" s="1"/>
  <c r="O39" i="3"/>
  <c r="O43" i="3" s="1"/>
  <c r="AB39" i="3"/>
  <c r="AB43" i="3" s="1"/>
  <c r="L39" i="3"/>
  <c r="L43" i="3" s="1"/>
  <c r="AA39" i="3"/>
  <c r="AA43" i="3" s="1"/>
  <c r="K39" i="3"/>
  <c r="K43" i="3" s="1"/>
  <c r="U4" i="3"/>
  <c r="U6" i="3"/>
  <c r="U7" i="3"/>
  <c r="U11" i="3"/>
  <c r="U12" i="3"/>
  <c r="U14" i="3"/>
  <c r="U15" i="3"/>
  <c r="U18" i="3"/>
  <c r="U19" i="3"/>
  <c r="U22" i="3"/>
  <c r="U23" i="3"/>
  <c r="U26" i="3"/>
  <c r="U27" i="3"/>
  <c r="U28" i="3"/>
  <c r="U31" i="3"/>
  <c r="U5" i="3"/>
  <c r="U9" i="3"/>
  <c r="U13" i="3"/>
  <c r="U17" i="3"/>
  <c r="U21" i="3"/>
  <c r="U25" i="3"/>
  <c r="U29" i="3"/>
  <c r="U33" i="3"/>
  <c r="U3" i="3"/>
  <c r="U10" i="3" l="1"/>
  <c r="U30" i="3"/>
  <c r="U8" i="3"/>
  <c r="U20" i="3"/>
  <c r="U32" i="3"/>
  <c r="U24" i="3"/>
  <c r="U16" i="3"/>
  <c r="W35" i="3" l="1"/>
  <c r="V33" i="3" l="1"/>
  <c r="V7" i="3" l="1"/>
  <c r="U35" i="3" l="1"/>
  <c r="V4" i="3" l="1"/>
  <c r="V5" i="3"/>
  <c r="V6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4" i="3"/>
  <c r="AA35" i="3" s="1"/>
  <c r="W3" i="3"/>
  <c r="C37" i="3" l="1" a="1"/>
  <c r="E37" i="3" l="1"/>
  <c r="X37" i="3"/>
  <c r="H37" i="3"/>
  <c r="W37" i="3"/>
  <c r="G37" i="3"/>
  <c r="Z37" i="3"/>
  <c r="J37" i="3"/>
  <c r="Y37" i="3"/>
  <c r="I37" i="3"/>
  <c r="AF37" i="3"/>
  <c r="P37" i="3"/>
  <c r="AE37" i="3"/>
  <c r="O37" i="3"/>
  <c r="AH37" i="3"/>
  <c r="R37" i="3"/>
  <c r="AG37" i="3"/>
  <c r="Q37" i="3"/>
  <c r="AB37" i="3"/>
  <c r="L37" i="3"/>
  <c r="AA37" i="3"/>
  <c r="K37" i="3"/>
  <c r="AD37" i="3"/>
  <c r="N37" i="3"/>
  <c r="AC37" i="3"/>
  <c r="M37" i="3"/>
  <c r="T37" i="3"/>
  <c r="D37" i="3"/>
  <c r="D41" i="3" s="1"/>
  <c r="S37" i="3"/>
  <c r="C37" i="3"/>
  <c r="C41" i="3" s="1"/>
  <c r="V37" i="3"/>
  <c r="F37" i="3"/>
  <c r="U37" i="3"/>
  <c r="U41" i="3" l="1"/>
  <c r="S41" i="3"/>
  <c r="AC41" i="3"/>
  <c r="AA41" i="3"/>
  <c r="AG41" i="3"/>
  <c r="AE41" i="3"/>
  <c r="Y41" i="3"/>
  <c r="W41" i="3"/>
  <c r="F41" i="3"/>
  <c r="N41" i="3"/>
  <c r="L41" i="3"/>
  <c r="R41" i="3"/>
  <c r="P41" i="3"/>
  <c r="J41" i="3"/>
  <c r="H41" i="3"/>
  <c r="V41" i="3"/>
  <c r="T41" i="3"/>
  <c r="AD41" i="3"/>
  <c r="AB41" i="3"/>
  <c r="AH41" i="3"/>
  <c r="AF41" i="3"/>
  <c r="Z41" i="3"/>
  <c r="X41" i="3"/>
  <c r="M41" i="3"/>
  <c r="K41" i="3"/>
  <c r="Q41" i="3"/>
  <c r="O41" i="3"/>
  <c r="I41" i="3"/>
  <c r="G41" i="3"/>
  <c r="E41" i="3"/>
</calcChain>
</file>

<file path=xl/sharedStrings.xml><?xml version="1.0" encoding="utf-8"?>
<sst xmlns="http://schemas.openxmlformats.org/spreadsheetml/2006/main" count="1233" uniqueCount="213">
  <si>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</si>
  <si>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</si>
  <si>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</si>
  <si>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</si>
  <si>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</si>
  <si>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</si>
  <si>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</si>
  <si>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</si>
  <si>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</si>
  <si>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</si>
  <si>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</si>
  <si>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</si>
  <si>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</si>
  <si>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</si>
  <si>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</si>
  <si>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</si>
  <si>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date</t>
  </si>
  <si>
    <t>teams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</si>
  <si>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</si>
  <si>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</si>
  <si>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</si>
  <si>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</si>
  <si>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</si>
  <si>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</si>
  <si>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</si>
  <si>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</si>
  <si>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</si>
  <si>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</si>
  <si>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</si>
  <si>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</si>
  <si>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</si>
  <si>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</si>
  <si>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</si>
  <si>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</si>
  <si>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</si>
  <si>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</si>
  <si>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</si>
  <si>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</si>
  <si>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</si>
  <si>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</si>
  <si>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</si>
  <si>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</si>
  <si>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</si>
  <si>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</si>
  <si>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</si>
  <si>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</si>
  <si>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</si>
  <si>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</si>
  <si>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</si>
  <si>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Warriors</t>
  </si>
  <si>
    <t>Texans</t>
  </si>
  <si>
    <t>Chiefs</t>
  </si>
  <si>
    <t>Seahawks</t>
  </si>
  <si>
    <t>Falcons</t>
  </si>
  <si>
    <t>Browns</t>
  </si>
  <si>
    <t>Ravens</t>
  </si>
  <si>
    <t>Jets</t>
  </si>
  <si>
    <t>Bills</t>
  </si>
  <si>
    <t>Raiders</t>
  </si>
  <si>
    <t>Panthers</t>
  </si>
  <si>
    <t>Bears</t>
  </si>
  <si>
    <t>Lions</t>
  </si>
  <si>
    <t>Colts</t>
  </si>
  <si>
    <t>Jaguars</t>
  </si>
  <si>
    <t>Packers</t>
  </si>
  <si>
    <t>Vikings</t>
  </si>
  <si>
    <t>Dolphins</t>
  </si>
  <si>
    <t>Patriots</t>
  </si>
  <si>
    <t>Eagles</t>
  </si>
  <si>
    <t>Redskins</t>
  </si>
  <si>
    <t>Chargers</t>
  </si>
  <si>
    <t>Bengals</t>
  </si>
  <si>
    <t>Buccaneers</t>
  </si>
  <si>
    <t>Saints</t>
  </si>
  <si>
    <t>Cardinals</t>
  </si>
  <si>
    <t>49ers</t>
  </si>
  <si>
    <t>Cowboys</t>
  </si>
  <si>
    <t>Rams</t>
  </si>
  <si>
    <t>Steelers</t>
  </si>
  <si>
    <t>Giants</t>
  </si>
  <si>
    <t>Titans</t>
  </si>
  <si>
    <t>Broncos</t>
  </si>
  <si>
    <t>Schedule</t>
  </si>
  <si>
    <t>DecOdds</t>
  </si>
  <si>
    <t>MoneyLine</t>
  </si>
  <si>
    <t>Team</t>
  </si>
  <si>
    <t>ProbWin</t>
  </si>
  <si>
    <t>Decimal</t>
  </si>
  <si>
    <t>Odds</t>
  </si>
  <si>
    <t>Playoffs</t>
  </si>
  <si>
    <t>SuperBowl</t>
  </si>
  <si>
    <t>Moneyline</t>
  </si>
  <si>
    <t>Dec2</t>
  </si>
  <si>
    <t>Fractional</t>
  </si>
  <si>
    <t>UTC</t>
  </si>
  <si>
    <t>TeamA</t>
  </si>
  <si>
    <t>TeamB</t>
  </si>
  <si>
    <t>Oppo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</si>
  <si>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</si>
  <si>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</si>
  <si>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</si>
  <si>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</si>
  <si>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</si>
  <si>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</si>
  <si>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</si>
  <si>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</si>
  <si>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colts</t>
  </si>
  <si>
    <t>dolphins</t>
  </si>
  <si>
    <t>giants</t>
  </si>
  <si>
    <t>jaguars</t>
  </si>
  <si>
    <t>panthers</t>
  </si>
  <si>
    <t>patriots</t>
  </si>
  <si>
    <t>raiders</t>
  </si>
  <si>
    <t>rams</t>
  </si>
  <si>
    <t>saints</t>
  </si>
  <si>
    <t>seahawks</t>
  </si>
  <si>
    <t>steelers</t>
  </si>
  <si>
    <t>texans</t>
  </si>
  <si>
    <t>titans</t>
  </si>
  <si>
    <t>vikings</t>
  </si>
  <si>
    <t>ravens</t>
  </si>
  <si>
    <t>Min</t>
  </si>
  <si>
    <t>Results</t>
  </si>
  <si>
    <t>Ariz</t>
  </si>
  <si>
    <t>Carolina</t>
  </si>
  <si>
    <t>Cin</t>
  </si>
  <si>
    <t>Detroit</t>
  </si>
  <si>
    <t>GreenBay</t>
  </si>
  <si>
    <t>Pitt</t>
  </si>
  <si>
    <t>Wash</t>
  </si>
  <si>
    <t>Jack</t>
  </si>
  <si>
    <t>bet</t>
  </si>
  <si>
    <t>Big</t>
  </si>
  <si>
    <t>big</t>
  </si>
  <si>
    <t>Long</t>
  </si>
  <si>
    <t>Opp</t>
  </si>
  <si>
    <t>Win</t>
  </si>
  <si>
    <t>Lose</t>
  </si>
  <si>
    <t>filled bets show on left</t>
  </si>
  <si>
    <t>BigBet</t>
  </si>
  <si>
    <t>Show Current Big Bets</t>
  </si>
  <si>
    <t>Actions</t>
  </si>
  <si>
    <t>notake</t>
  </si>
  <si>
    <t>unclaimed</t>
  </si>
  <si>
    <t>week 8</t>
  </si>
  <si>
    <t>wee 9</t>
  </si>
  <si>
    <t>1 offered on 10</t>
  </si>
  <si>
    <t>3 offered on 11</t>
  </si>
  <si>
    <t>Redeemable</t>
  </si>
  <si>
    <t>0, 6</t>
  </si>
  <si>
    <t>teamOffered</t>
  </si>
  <si>
    <t>oddsOffered</t>
  </si>
  <si>
    <t>betsize * odds / 1e15</t>
  </si>
  <si>
    <t>LongPick2</t>
  </si>
  <si>
    <t>DecOdds2</t>
  </si>
  <si>
    <t>BetSizeOffered2</t>
  </si>
  <si>
    <t>BetSize2</t>
  </si>
  <si>
    <t>Hashoutput2</t>
  </si>
  <si>
    <t>contractHash</t>
  </si>
  <si>
    <t>nflWeek</t>
  </si>
  <si>
    <t>NFLWeek2</t>
  </si>
  <si>
    <t>Margin[0]</t>
  </si>
  <si>
    <t>Margin[1]</t>
  </si>
  <si>
    <t>Margin[2]</t>
  </si>
  <si>
    <t>oddsA</t>
  </si>
  <si>
    <t>oddsB</t>
  </si>
  <si>
    <t>LP-A</t>
  </si>
  <si>
    <t>LP-B</t>
  </si>
  <si>
    <t>Bet-A</t>
  </si>
  <si>
    <t>Bet-B</t>
  </si>
  <si>
    <t>netA</t>
  </si>
  <si>
    <t>netB</t>
  </si>
  <si>
    <t>OracleBalance</t>
  </si>
  <si>
    <t>EthBalance</t>
  </si>
  <si>
    <t>Payout</t>
  </si>
  <si>
    <t>MarginChange</t>
  </si>
  <si>
    <t>[909</t>
  </si>
  <si>
    <t xml:space="preserve"> 1000]</t>
  </si>
  <si>
    <t xml:space="preserve"> 827]</t>
  </si>
  <si>
    <t>BetA</t>
  </si>
  <si>
    <t>BetB</t>
  </si>
  <si>
    <t>Gross</t>
  </si>
  <si>
    <t>Net</t>
  </si>
  <si>
    <t>Match</t>
  </si>
  <si>
    <t>0 wins</t>
  </si>
  <si>
    <t>1 wins</t>
  </si>
  <si>
    <t>Margin[3]</t>
  </si>
  <si>
    <t>MaxLPliab</t>
  </si>
  <si>
    <t>PayOff</t>
  </si>
  <si>
    <t>NetPayoff</t>
  </si>
  <si>
    <t>NFL:Atl:LAC</t>
  </si>
  <si>
    <t>NFL:Bal:LAR</t>
  </si>
  <si>
    <t>NFL:Buf:Mia</t>
  </si>
  <si>
    <t>NFL:Car:Min</t>
  </si>
  <si>
    <t>NFL:Chi:NE</t>
  </si>
  <si>
    <t>NFL:Cin:NO</t>
  </si>
  <si>
    <t>NFL:Cle:NYG</t>
  </si>
  <si>
    <t>NFL:Dal:NYJ</t>
  </si>
  <si>
    <t>NFL:Den:Phi</t>
  </si>
  <si>
    <t>NFL:Det:Pitt</t>
  </si>
  <si>
    <t>NFL:GB:SF</t>
  </si>
  <si>
    <t>NFL:Hou:Sea</t>
  </si>
  <si>
    <t>NFL:Ind:TB</t>
  </si>
  <si>
    <t>NFL:Jac:Ten</t>
  </si>
  <si>
    <t>NFL:Kan:Wash</t>
  </si>
  <si>
    <t>NFL:Ariz:Lv</t>
  </si>
  <si>
    <t>UFC:A:B</t>
  </si>
  <si>
    <t>UFC:Figueiredo:Moreno</t>
  </si>
  <si>
    <t>UFC:Oliveira:Ferguson</t>
  </si>
  <si>
    <t>UFC:Dern:Jandiroba</t>
  </si>
  <si>
    <t>UFC:Holland:Souza</t>
  </si>
  <si>
    <t>UFC:Gane:dosSantos</t>
  </si>
  <si>
    <t>UFC:Swanson:Pineda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</si>
</sst>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m/d/yy"/>
    <numFmt numFmtId="165" formatCode="0.0%;[Red]\-0.0%"/>
    <numFmt numFmtId="166" formatCode="#,##0;[Red]#,##0"/>
    <numFmt numFmtId="167" formatCode="#,##0.00;[Red]#,##0.00"/>
    <numFmt numFmtId="168" formatCode="#,##0.0;[Red]#,##0.0"/>
    <numFmt numFmtId="169" formatCode="0.000"/>
    <numFmt numFmtId="170" formatCode="0.00%;[Red]\-0.00%"/>
    <numFmt numFmtId="171" formatCode="[$-409]m/d/yy\ h:mm\ AM/PM;@"/>
    <numFmt numFmtId="172" formatCode="#,##0.000;[Red]#,##0.000"/>
    <numFmt numFmtId="173" formatCode="0.00000000000000%"/>
    <numFmt numFmtId="174" formatCode="0.0000%;[Red]\-0.0000%"/>
    <numFmt numFmtId="175" formatCode="0.0000"/>
    <numFmt numFmtId="176" formatCode="#,##0.0000;[Red]#,##0.0000"/>
    <numFmt numFmtId="177" formatCode="#,##0.00000;[Red]#,##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5" fillId="0" borderId="0"/>
  </cellStyleXfs>
  <cellXfs count="62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1"/>
    <xf numFmtId="20" fontId="0" fillId="0" borderId="0" xfId="0" applyNumberFormat="1"/>
    <xf numFmtId="0" fontId="1" fillId="0" borderId="0" xfId="0" applyFont="1"/>
    <xf numFmtId="0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1" applyNumberFormat="1" applyFont="1"/>
    <xf numFmtId="4" fontId="0" fillId="0" borderId="0" xfId="2" applyNumberFormat="1" applyFont="1"/>
    <xf numFmtId="166" fontId="1" fillId="0" borderId="0" xfId="2" applyNumberFormat="1" applyFont="1"/>
    <xf numFmtId="168" fontId="1" fillId="0" borderId="0" xfId="0" applyNumberFormat="1" applyFont="1"/>
    <xf numFmtId="14" fontId="0" fillId="0" borderId="0" xfId="0" applyNumberFormat="1"/>
    <xf numFmtId="171" fontId="1" fillId="0" borderId="0" xfId="0" applyNumberFormat="1" applyFont="1"/>
    <xf numFmtId="172" fontId="1" fillId="0" borderId="0" xfId="0" applyNumberFormat="1" applyFont="1"/>
    <xf numFmtId="170" fontId="1" fillId="0" borderId="0" xfId="0" applyNumberFormat="1" applyFont="1"/>
    <xf numFmtId="16" fontId="1" fillId="0" borderId="0" xfId="0" quotePrefix="1" applyNumberFormat="1" applyFont="1" applyAlignment="1">
      <alignment horizontal="right"/>
    </xf>
    <xf numFmtId="169" fontId="0" fillId="0" borderId="0" xfId="0" applyNumberFormat="1"/>
    <xf numFmtId="167" fontId="1" fillId="0" borderId="0" xfId="0" applyNumberFormat="1" applyFont="1"/>
    <xf numFmtId="166" fontId="0" fillId="0" borderId="0" xfId="0" applyNumberFormat="1"/>
    <xf numFmtId="0" fontId="0" fillId="2" borderId="0" xfId="0" applyFill="1"/>
    <xf numFmtId="173" fontId="0" fillId="0" borderId="0" xfId="0" applyNumberFormat="1"/>
    <xf numFmtId="174" fontId="0" fillId="0" borderId="0" xfId="0" applyNumberFormat="1"/>
    <xf numFmtId="0" fontId="6" fillId="0" borderId="0" xfId="0" applyFont="1"/>
    <xf numFmtId="164" fontId="0" fillId="2" borderId="0" xfId="0" applyNumberFormat="1" applyFill="1"/>
    <xf numFmtId="0" fontId="1" fillId="2" borderId="0" xfId="0" applyFont="1" applyFill="1"/>
    <xf numFmtId="175" fontId="0" fillId="0" borderId="0" xfId="0" applyNumberFormat="1"/>
    <xf numFmtId="0" fontId="3" fillId="0" borderId="0" xfId="1" applyFont="1"/>
    <xf numFmtId="0" fontId="0" fillId="0" borderId="0" xfId="0" applyFill="1"/>
    <xf numFmtId="4" fontId="0" fillId="0" borderId="0" xfId="2" applyNumberFormat="1" applyFont="1" applyFill="1"/>
    <xf numFmtId="167" fontId="1" fillId="0" borderId="0" xfId="2" applyNumberFormat="1" applyFont="1" applyFill="1"/>
    <xf numFmtId="0" fontId="1" fillId="0" borderId="0" xfId="2" applyNumberFormat="1" applyFont="1" applyFill="1"/>
    <xf numFmtId="166" fontId="1" fillId="0" borderId="0" xfId="2" applyNumberFormat="1" applyFont="1" applyFill="1"/>
    <xf numFmtId="176" fontId="1" fillId="0" borderId="0" xfId="2" applyNumberFormat="1" applyFont="1" applyFill="1"/>
    <xf numFmtId="167" fontId="1" fillId="0" borderId="0" xfId="2" applyNumberFormat="1" applyFont="1" applyFill="1" applyAlignment="1">
      <alignment horizontal="right"/>
    </xf>
    <xf numFmtId="0" fontId="1" fillId="0" borderId="0" xfId="2" applyNumberFormat="1" applyFont="1" applyFill="1" applyAlignment="1">
      <alignment horizontal="right"/>
    </xf>
    <xf numFmtId="176" fontId="1" fillId="0" borderId="0" xfId="2" applyNumberFormat="1" applyFont="1" applyFill="1" applyAlignment="1">
      <alignment horizontal="right"/>
    </xf>
    <xf numFmtId="4" fontId="1" fillId="0" borderId="0" xfId="2" applyNumberFormat="1" applyFont="1" applyFill="1" applyAlignment="1">
      <alignment horizontal="right"/>
    </xf>
    <xf numFmtId="172" fontId="1" fillId="0" borderId="0" xfId="2" applyNumberFormat="1" applyFont="1" applyFill="1"/>
    <xf numFmtId="0" fontId="1" fillId="0" borderId="0" xfId="0" applyNumberFormat="1" applyFont="1" applyFill="1"/>
    <xf numFmtId="167" fontId="1" fillId="0" borderId="0" xfId="0" applyNumberFormat="1" applyFont="1" applyFill="1"/>
    <xf numFmtId="0" fontId="1" fillId="0" borderId="0" xfId="0" applyFont="1" applyFill="1"/>
    <xf numFmtId="177" fontId="1" fillId="0" borderId="0" xfId="2" applyNumberFormat="1" applyFont="1" applyFill="1"/>
    <xf numFmtId="167" fontId="0" fillId="0" borderId="0" xfId="0" applyNumberFormat="1" applyFill="1"/>
    <xf numFmtId="172" fontId="0" fillId="0" borderId="0" xfId="0" applyNumberFormat="1" applyFill="1"/>
    <xf numFmtId="0" fontId="1" fillId="0" borderId="0" xfId="2" applyNumberFormat="1" applyFont="1" applyFill="1" applyBorder="1"/>
    <xf numFmtId="167" fontId="1" fillId="0" borderId="0" xfId="2" applyNumberFormat="1" applyFont="1" applyFill="1" applyBorder="1"/>
    <xf numFmtId="0" fontId="1" fillId="0" borderId="0" xfId="0" applyNumberFormat="1" applyFont="1" applyFill="1" applyBorder="1"/>
    <xf numFmtId="0" fontId="1" fillId="0" borderId="0" xfId="0" applyFont="1" applyFill="1" applyAlignment="1">
      <alignment horizontal="right"/>
    </xf>
    <xf numFmtId="0" fontId="1" fillId="0" borderId="0" xfId="0" applyNumberFormat="1" applyFont="1" applyFill="1" applyAlignment="1">
      <alignment horizontal="right"/>
    </xf>
    <xf numFmtId="168" fontId="1" fillId="0" borderId="0" xfId="2" applyNumberFormat="1" applyFont="1" applyFill="1"/>
    <xf numFmtId="0" fontId="1" fillId="0" borderId="1" xfId="2" applyNumberFormat="1" applyFont="1" applyFill="1" applyBorder="1"/>
    <xf numFmtId="0" fontId="1" fillId="0" borderId="1" xfId="2" applyNumberFormat="1" applyFont="1" applyFill="1" applyBorder="1" applyAlignment="1">
      <alignment horizontal="right"/>
    </xf>
    <xf numFmtId="167" fontId="1" fillId="0" borderId="1" xfId="2" applyNumberFormat="1" applyFont="1" applyFill="1" applyBorder="1"/>
    <xf numFmtId="167" fontId="1" fillId="0" borderId="1" xfId="2" applyNumberFormat="1" applyFont="1" applyFill="1" applyBorder="1" applyAlignment="1">
      <alignment horizontal="right"/>
    </xf>
    <xf numFmtId="172" fontId="1" fillId="0" borderId="1" xfId="2" applyNumberFormat="1" applyFont="1" applyFill="1" applyBorder="1"/>
    <xf numFmtId="166" fontId="1" fillId="0" borderId="0" xfId="2" applyNumberFormat="1" applyFont="1" applyFill="1" applyBorder="1"/>
  </cellXfs>
  <cellStyles count="4">
    <cellStyle name="Comma" xfId="2" builtinId="3"/>
    <cellStyle name="Excel Built-in Normal" xfId="3" xr:uid="{FE402F4F-1F5B-4961-8C66-746A8772C806}"/>
    <cellStyle name="Normal" xfId="0" builtinId="0"/>
    <cellStyle name="Normal 2" xfId="1" xr:uid="{F92C7CC3-9745-4C18-971F-65790A1E26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3474-5269-4E60-9DA6-FC43285A4F76}">
  <dimension ref="A1:AJ271"/>
  <sheetViews>
    <sheetView topLeftCell="A43" zoomScale="75" zoomScaleNormal="75" workbookViewId="0">
      <pane xSplit="11025" topLeftCell="AB1"/>
      <selection activeCell="D27" sqref="D27"/>
      <selection pane="topRight" activeCell="AF45" sqref="AF45"/>
    </sheetView>
  </sheetViews>
  <sheetFormatPr defaultRowHeight="15" x14ac:dyDescent="0.25"/>
  <cols>
    <col min="2" max="2" width="15.7109375" style="1" customWidth="1"/>
    <col min="3" max="34" width="15.7109375" customWidth="1"/>
  </cols>
  <sheetData>
    <row r="1" spans="1:34" x14ac:dyDescent="0.25">
      <c r="X1">
        <v>0</v>
      </c>
    </row>
    <row r="2" spans="1:34" x14ac:dyDescent="0.25">
      <c r="A2" s="3" t="s">
        <v>85</v>
      </c>
      <c r="B2" s="2" t="s">
        <v>16</v>
      </c>
      <c r="C2" s="3" t="s">
        <v>97</v>
      </c>
      <c r="G2" s="3"/>
      <c r="H2" t="s">
        <v>82</v>
      </c>
      <c r="I2" s="3" t="s">
        <v>94</v>
      </c>
      <c r="J2" s="3" t="s">
        <v>88</v>
      </c>
      <c r="K2" s="3" t="s">
        <v>84</v>
      </c>
      <c r="L2" s="3" t="s">
        <v>83</v>
      </c>
      <c r="M2" s="3" t="s">
        <v>122</v>
      </c>
      <c r="N2" s="3"/>
      <c r="Q2" s="3"/>
      <c r="R2" s="3"/>
      <c r="V2" t="s">
        <v>86</v>
      </c>
      <c r="X2" s="12">
        <v>1000000000</v>
      </c>
    </row>
    <row r="3" spans="1:34" x14ac:dyDescent="0.25">
      <c r="A3">
        <v>0</v>
      </c>
      <c r="B3" s="9">
        <v>1605344700</v>
      </c>
      <c r="C3" s="25">
        <v>3</v>
      </c>
      <c r="D3" s="6">
        <v>0</v>
      </c>
      <c r="E3" s="4" t="s">
        <v>18</v>
      </c>
      <c r="F3" s="6">
        <v>0</v>
      </c>
      <c r="G3" t="s">
        <v>74</v>
      </c>
      <c r="H3">
        <f t="shared" ref="H3:H34" si="0">VLOOKUP(F3,$A$3:$C$26,3,FALSE)</f>
        <v>3</v>
      </c>
      <c r="I3">
        <f t="shared" ref="I3:I34" si="1">VLOOKUP(F3,$A$3:$B$26,2,FALSE)</f>
        <v>1605344700</v>
      </c>
      <c r="J3" s="6">
        <v>0</v>
      </c>
      <c r="K3" s="9">
        <f t="shared" ref="K3:K34" si="2">VLOOKUP(G3,AD$3:AE$26,2,FALSE)</f>
        <v>-110</v>
      </c>
      <c r="L3" s="9">
        <f>INT(IF(K3&lt;0,-(100-K3)/K3,(100+K3)/100)*1000)-1000</f>
        <v>909</v>
      </c>
      <c r="M3" s="9">
        <f>VLOOKUP(G3,AG$3:AH$26,2,FALSE)</f>
        <v>2</v>
      </c>
      <c r="N3">
        <f>VLOOKUP(H3,F$3:M$34,8,FALSE)</f>
        <v>0</v>
      </c>
      <c r="Q3" s="9"/>
      <c r="R3" s="9"/>
      <c r="S3" s="9"/>
      <c r="U3" s="8">
        <f t="shared" ref="U3:U33" si="3">(L3+R3)/2000-1</f>
        <v>-0.54549999999999998</v>
      </c>
      <c r="W3" s="8">
        <f>IF(K3&gt;0,100/(K3+100),-K3/(-K3+100))</f>
        <v>0.52380952380952384</v>
      </c>
      <c r="X3" s="12">
        <v>1000000</v>
      </c>
      <c r="AC3">
        <v>1</v>
      </c>
      <c r="AD3" s="14" t="s">
        <v>75</v>
      </c>
      <c r="AE3" s="15">
        <v>-110</v>
      </c>
      <c r="AF3" t="str">
        <f t="shared" ref="AF3:AF26" si="4">VLOOKUP(AD3,G$3:G$34,1,FALSE)</f>
        <v>49ers</v>
      </c>
      <c r="AG3" t="s">
        <v>75</v>
      </c>
      <c r="AH3">
        <v>0</v>
      </c>
    </row>
    <row r="4" spans="1:34" x14ac:dyDescent="0.25">
      <c r="A4">
        <v>2</v>
      </c>
      <c r="B4" s="9">
        <v>1605360000</v>
      </c>
      <c r="C4" s="25">
        <v>21</v>
      </c>
      <c r="D4" s="6">
        <v>1</v>
      </c>
      <c r="E4" s="4" t="s">
        <v>19</v>
      </c>
      <c r="F4" s="6">
        <v>1</v>
      </c>
      <c r="G4" t="s">
        <v>53</v>
      </c>
      <c r="H4" t="e">
        <f t="shared" si="0"/>
        <v>#N/A</v>
      </c>
      <c r="I4" t="e">
        <f t="shared" si="1"/>
        <v>#N/A</v>
      </c>
      <c r="J4" s="6">
        <v>1</v>
      </c>
      <c r="K4" s="9" t="e">
        <f t="shared" si="2"/>
        <v>#N/A</v>
      </c>
      <c r="L4" s="9" t="e">
        <f>INT(IF(K4&lt;0,-(100-K4)/K4,(100+K4)/100)*1000)-1000</f>
        <v>#N/A</v>
      </c>
      <c r="M4" s="9" t="e">
        <f t="shared" ref="M4:M34" si="5">VLOOKUP(G4,AG$3:AH$26,2,FALSE)</f>
        <v>#N/A</v>
      </c>
      <c r="N4" t="e">
        <f t="shared" ref="N4:N34" si="6">VLOOKUP(H4,F$3:M$34,8,FALSE)</f>
        <v>#N/A</v>
      </c>
      <c r="Q4" s="9"/>
      <c r="R4" s="9"/>
      <c r="S4" s="9"/>
      <c r="U4" s="8" t="e">
        <f t="shared" si="3"/>
        <v>#N/A</v>
      </c>
      <c r="V4" s="8" t="e">
        <f t="shared" ref="V4:V34" si="7">IF(K4&gt;0,100/(K4+100),-K4/(-K4+100))</f>
        <v>#N/A</v>
      </c>
      <c r="X4" s="12">
        <v>1000000000</v>
      </c>
      <c r="AC4">
        <v>2</v>
      </c>
      <c r="AD4" s="14" t="s">
        <v>98</v>
      </c>
      <c r="AE4" s="15">
        <v>-120</v>
      </c>
      <c r="AF4" t="str">
        <f t="shared" si="4"/>
        <v>Bears</v>
      </c>
      <c r="AG4" t="s">
        <v>71</v>
      </c>
      <c r="AH4">
        <v>2</v>
      </c>
    </row>
    <row r="5" spans="1:34" x14ac:dyDescent="0.25">
      <c r="A5">
        <v>3</v>
      </c>
      <c r="B5" s="9">
        <v>1605344700</v>
      </c>
      <c r="C5" s="25">
        <v>0</v>
      </c>
      <c r="D5" s="6">
        <v>2</v>
      </c>
      <c r="E5" s="4" t="s">
        <v>20</v>
      </c>
      <c r="F5" s="6">
        <v>2</v>
      </c>
      <c r="G5" t="s">
        <v>55</v>
      </c>
      <c r="H5">
        <f t="shared" si="0"/>
        <v>21</v>
      </c>
      <c r="I5">
        <f t="shared" si="1"/>
        <v>1605360000</v>
      </c>
      <c r="J5" s="6">
        <v>2</v>
      </c>
      <c r="K5" s="9">
        <f t="shared" si="2"/>
        <v>100</v>
      </c>
      <c r="L5" s="9">
        <f>INT(IF(K5&lt;0,-(100-K5)/K5,(100+K5)/100)*1000)-1000</f>
        <v>1000</v>
      </c>
      <c r="M5" s="9">
        <f t="shared" si="5"/>
        <v>2</v>
      </c>
      <c r="N5">
        <f t="shared" si="6"/>
        <v>0</v>
      </c>
      <c r="Q5" s="9"/>
      <c r="R5" s="9"/>
      <c r="S5" s="9"/>
      <c r="U5" s="8">
        <f t="shared" si="3"/>
        <v>-0.5</v>
      </c>
      <c r="V5" s="8">
        <f t="shared" si="7"/>
        <v>0.5</v>
      </c>
      <c r="X5" s="12">
        <v>1000</v>
      </c>
      <c r="AC5">
        <v>3</v>
      </c>
      <c r="AD5" s="14" t="s">
        <v>99</v>
      </c>
      <c r="AE5" s="15">
        <v>-115</v>
      </c>
      <c r="AF5" t="str">
        <f t="shared" si="4"/>
        <v>Bengals</v>
      </c>
      <c r="AG5" t="s">
        <v>57</v>
      </c>
      <c r="AH5">
        <v>0</v>
      </c>
    </row>
    <row r="6" spans="1:34" x14ac:dyDescent="0.25">
      <c r="A6">
        <v>4</v>
      </c>
      <c r="B6" s="9">
        <v>1605416400</v>
      </c>
      <c r="C6" s="25">
        <v>29</v>
      </c>
      <c r="D6" s="6">
        <v>3</v>
      </c>
      <c r="E6" s="4" t="s">
        <v>21</v>
      </c>
      <c r="F6" s="6">
        <v>3</v>
      </c>
      <c r="G6" t="s">
        <v>57</v>
      </c>
      <c r="H6">
        <f t="shared" si="0"/>
        <v>0</v>
      </c>
      <c r="I6">
        <f t="shared" si="1"/>
        <v>1605344700</v>
      </c>
      <c r="J6" s="6">
        <v>3</v>
      </c>
      <c r="K6" s="9">
        <f t="shared" si="2"/>
        <v>-110</v>
      </c>
      <c r="L6" s="9">
        <v>669</v>
      </c>
      <c r="M6" s="9">
        <f t="shared" si="5"/>
        <v>0</v>
      </c>
      <c r="N6">
        <f t="shared" si="6"/>
        <v>2</v>
      </c>
      <c r="P6">
        <v>0</v>
      </c>
      <c r="Q6" s="9" t="s">
        <v>123</v>
      </c>
      <c r="R6" s="9"/>
      <c r="S6" s="9"/>
      <c r="U6" s="8">
        <f t="shared" si="3"/>
        <v>-0.66549999999999998</v>
      </c>
      <c r="V6" s="8">
        <f t="shared" si="7"/>
        <v>0.52380952380952384</v>
      </c>
      <c r="X6" s="12">
        <v>1000</v>
      </c>
      <c r="AC6">
        <v>4</v>
      </c>
      <c r="AD6" s="14" t="s">
        <v>100</v>
      </c>
      <c r="AE6" s="15">
        <v>-110</v>
      </c>
      <c r="AF6" t="str">
        <f t="shared" si="4"/>
        <v>Bills</v>
      </c>
      <c r="AG6" t="s">
        <v>81</v>
      </c>
      <c r="AH6">
        <v>2</v>
      </c>
    </row>
    <row r="7" spans="1:34" x14ac:dyDescent="0.25">
      <c r="A7">
        <v>6</v>
      </c>
      <c r="B7" s="9">
        <v>1605416400</v>
      </c>
      <c r="C7" s="25">
        <v>26</v>
      </c>
      <c r="D7" s="6">
        <v>4</v>
      </c>
      <c r="E7" s="4" t="s">
        <v>22</v>
      </c>
      <c r="F7" s="6">
        <v>4</v>
      </c>
      <c r="G7" t="s">
        <v>59</v>
      </c>
      <c r="H7">
        <f t="shared" si="0"/>
        <v>29</v>
      </c>
      <c r="I7">
        <f t="shared" si="1"/>
        <v>1605416400</v>
      </c>
      <c r="J7" s="6">
        <v>4</v>
      </c>
      <c r="K7" s="9">
        <f t="shared" si="2"/>
        <v>-110</v>
      </c>
      <c r="L7" s="9">
        <f t="shared" ref="L7:L34" si="8">INT(IF(K7&lt;0,-(100-K7)/K7,(100+K7)/100)*1000)-1000</f>
        <v>909</v>
      </c>
      <c r="M7" s="9">
        <f t="shared" si="5"/>
        <v>0</v>
      </c>
      <c r="N7">
        <f t="shared" si="6"/>
        <v>2</v>
      </c>
      <c r="P7">
        <v>4</v>
      </c>
      <c r="Q7" s="9" t="s">
        <v>124</v>
      </c>
      <c r="R7" s="9"/>
      <c r="S7" s="9"/>
      <c r="U7" s="8">
        <f t="shared" si="3"/>
        <v>-0.54549999999999998</v>
      </c>
      <c r="V7" s="8">
        <f t="shared" si="7"/>
        <v>0.52380952380952384</v>
      </c>
      <c r="AC7">
        <v>5</v>
      </c>
      <c r="AD7" s="14" t="s">
        <v>101</v>
      </c>
      <c r="AE7" s="15">
        <v>-110</v>
      </c>
      <c r="AF7" t="str">
        <f t="shared" si="4"/>
        <v>Broncos</v>
      </c>
      <c r="AG7" t="s">
        <v>54</v>
      </c>
      <c r="AH7">
        <v>2</v>
      </c>
    </row>
    <row r="8" spans="1:34" x14ac:dyDescent="0.25">
      <c r="A8">
        <v>7</v>
      </c>
      <c r="B8" s="9">
        <v>1605416400</v>
      </c>
      <c r="C8" s="25">
        <v>12</v>
      </c>
      <c r="D8" s="6">
        <v>5</v>
      </c>
      <c r="E8" s="4" t="s">
        <v>23</v>
      </c>
      <c r="F8" s="6">
        <v>5</v>
      </c>
      <c r="G8" t="s">
        <v>60</v>
      </c>
      <c r="H8" t="e">
        <f t="shared" si="0"/>
        <v>#N/A</v>
      </c>
      <c r="I8" t="e">
        <f t="shared" si="1"/>
        <v>#N/A</v>
      </c>
      <c r="J8" s="6">
        <v>5</v>
      </c>
      <c r="K8" s="9">
        <f t="shared" si="2"/>
        <v>-120</v>
      </c>
      <c r="L8" s="9">
        <f t="shared" si="8"/>
        <v>833</v>
      </c>
      <c r="M8" s="9" t="e">
        <f t="shared" si="5"/>
        <v>#N/A</v>
      </c>
      <c r="N8" t="e">
        <f t="shared" si="6"/>
        <v>#N/A</v>
      </c>
      <c r="P8">
        <v>6</v>
      </c>
      <c r="Q8" s="9" t="s">
        <v>125</v>
      </c>
      <c r="R8" s="9" t="s">
        <v>128</v>
      </c>
      <c r="S8" s="9"/>
      <c r="U8" s="8" t="e">
        <f t="shared" si="3"/>
        <v>#VALUE!</v>
      </c>
      <c r="V8" s="8">
        <f t="shared" si="7"/>
        <v>0.54545454545454541</v>
      </c>
      <c r="AC8">
        <v>6</v>
      </c>
      <c r="AD8" s="14" t="s">
        <v>102</v>
      </c>
      <c r="AE8" s="15">
        <v>-120</v>
      </c>
      <c r="AF8" t="str">
        <f t="shared" si="4"/>
        <v>Browns</v>
      </c>
      <c r="AG8" t="s">
        <v>72</v>
      </c>
      <c r="AH8">
        <v>2</v>
      </c>
    </row>
    <row r="9" spans="1:34" x14ac:dyDescent="0.25">
      <c r="A9">
        <v>9</v>
      </c>
      <c r="B9" s="9">
        <v>1605344700</v>
      </c>
      <c r="C9" s="25">
        <v>16</v>
      </c>
      <c r="D9" s="6">
        <v>6</v>
      </c>
      <c r="E9" s="4" t="s">
        <v>24</v>
      </c>
      <c r="F9" s="6">
        <v>6</v>
      </c>
      <c r="G9" t="s">
        <v>71</v>
      </c>
      <c r="H9">
        <f t="shared" si="0"/>
        <v>26</v>
      </c>
      <c r="I9">
        <f t="shared" si="1"/>
        <v>1605416400</v>
      </c>
      <c r="J9" s="6">
        <v>6</v>
      </c>
      <c r="K9" s="9">
        <f t="shared" si="2"/>
        <v>-115</v>
      </c>
      <c r="L9" s="9">
        <f t="shared" si="8"/>
        <v>869</v>
      </c>
      <c r="M9" s="9">
        <f t="shared" si="5"/>
        <v>2</v>
      </c>
      <c r="N9">
        <f t="shared" si="6"/>
        <v>0</v>
      </c>
      <c r="P9">
        <v>10</v>
      </c>
      <c r="Q9" s="9" t="s">
        <v>126</v>
      </c>
      <c r="R9" s="9" t="s">
        <v>129</v>
      </c>
      <c r="S9" s="9"/>
      <c r="U9" s="8" t="e">
        <f t="shared" si="3"/>
        <v>#VALUE!</v>
      </c>
      <c r="V9" s="8">
        <f t="shared" si="7"/>
        <v>0.53488372093023251</v>
      </c>
      <c r="AC9">
        <v>7</v>
      </c>
      <c r="AD9" s="14" t="s">
        <v>103</v>
      </c>
      <c r="AE9" s="15">
        <v>-110</v>
      </c>
      <c r="AF9" t="str">
        <f t="shared" si="4"/>
        <v>Buccaneers</v>
      </c>
      <c r="AG9" t="s">
        <v>74</v>
      </c>
      <c r="AH9">
        <v>2</v>
      </c>
    </row>
    <row r="10" spans="1:34" x14ac:dyDescent="0.25">
      <c r="A10">
        <v>10</v>
      </c>
      <c r="B10" s="9">
        <v>1605416400</v>
      </c>
      <c r="C10" s="25">
        <v>31</v>
      </c>
      <c r="D10" s="6">
        <v>7</v>
      </c>
      <c r="E10" s="4" t="s">
        <v>25</v>
      </c>
      <c r="F10" s="6">
        <v>7</v>
      </c>
      <c r="G10" t="s">
        <v>54</v>
      </c>
      <c r="H10">
        <f t="shared" si="0"/>
        <v>12</v>
      </c>
      <c r="I10">
        <f t="shared" si="1"/>
        <v>1605416400</v>
      </c>
      <c r="J10" s="6">
        <v>7</v>
      </c>
      <c r="K10" s="9">
        <f t="shared" si="2"/>
        <v>-120</v>
      </c>
      <c r="L10" s="9">
        <f t="shared" si="8"/>
        <v>833</v>
      </c>
      <c r="M10" s="9">
        <f t="shared" si="5"/>
        <v>2</v>
      </c>
      <c r="N10">
        <f t="shared" si="6"/>
        <v>0</v>
      </c>
      <c r="P10">
        <v>11</v>
      </c>
      <c r="Q10" s="9" t="s">
        <v>127</v>
      </c>
      <c r="R10" s="9" t="s">
        <v>130</v>
      </c>
      <c r="S10" s="9"/>
      <c r="U10" s="8" t="e">
        <f t="shared" si="3"/>
        <v>#VALUE!</v>
      </c>
      <c r="V10" s="8">
        <f t="shared" si="7"/>
        <v>0.54545454545454541</v>
      </c>
      <c r="AC10">
        <v>8</v>
      </c>
      <c r="AD10" s="14" t="s">
        <v>104</v>
      </c>
      <c r="AE10" s="15">
        <v>-110</v>
      </c>
      <c r="AF10" t="str">
        <f t="shared" si="4"/>
        <v>Cardinals</v>
      </c>
      <c r="AG10" t="s">
        <v>66</v>
      </c>
      <c r="AH10">
        <v>2</v>
      </c>
    </row>
    <row r="11" spans="1:34" x14ac:dyDescent="0.25">
      <c r="A11">
        <v>11</v>
      </c>
      <c r="B11" s="9">
        <v>1605416400</v>
      </c>
      <c r="C11" s="25">
        <v>14</v>
      </c>
      <c r="D11" s="6">
        <v>8</v>
      </c>
      <c r="E11" s="4" t="s">
        <v>26</v>
      </c>
      <c r="F11" s="6">
        <v>8</v>
      </c>
      <c r="G11" t="s">
        <v>76</v>
      </c>
      <c r="H11" t="e">
        <f t="shared" si="0"/>
        <v>#N/A</v>
      </c>
      <c r="I11" t="e">
        <f t="shared" si="1"/>
        <v>#N/A</v>
      </c>
      <c r="J11" s="6">
        <v>8</v>
      </c>
      <c r="K11" s="9" t="e">
        <f t="shared" si="2"/>
        <v>#N/A</v>
      </c>
      <c r="L11" s="9" t="e">
        <f t="shared" si="8"/>
        <v>#N/A</v>
      </c>
      <c r="M11" s="9" t="e">
        <f t="shared" si="5"/>
        <v>#N/A</v>
      </c>
      <c r="N11" t="e">
        <f t="shared" si="6"/>
        <v>#N/A</v>
      </c>
      <c r="Q11" s="9"/>
      <c r="R11" s="9"/>
      <c r="S11" s="9"/>
      <c r="U11" s="8" t="e">
        <f t="shared" si="3"/>
        <v>#N/A</v>
      </c>
      <c r="V11" s="8" t="e">
        <f t="shared" si="7"/>
        <v>#N/A</v>
      </c>
      <c r="AC11">
        <v>9</v>
      </c>
      <c r="AD11" s="14" t="s">
        <v>105</v>
      </c>
      <c r="AE11" s="15">
        <v>-120</v>
      </c>
      <c r="AF11" t="str">
        <f t="shared" si="4"/>
        <v>Chargers</v>
      </c>
      <c r="AG11" t="s">
        <v>68</v>
      </c>
      <c r="AH11">
        <v>2</v>
      </c>
    </row>
    <row r="12" spans="1:34" x14ac:dyDescent="0.25">
      <c r="A12">
        <v>12</v>
      </c>
      <c r="B12" s="9">
        <v>1605416400</v>
      </c>
      <c r="C12" s="25">
        <v>7</v>
      </c>
      <c r="D12" s="6">
        <v>9</v>
      </c>
      <c r="E12" s="4" t="s">
        <v>27</v>
      </c>
      <c r="F12" s="6">
        <v>9</v>
      </c>
      <c r="G12" t="s">
        <v>81</v>
      </c>
      <c r="H12">
        <f t="shared" si="0"/>
        <v>16</v>
      </c>
      <c r="I12">
        <f t="shared" si="1"/>
        <v>1605344700</v>
      </c>
      <c r="J12" s="6">
        <v>9</v>
      </c>
      <c r="K12" s="9">
        <f t="shared" si="2"/>
        <v>-110</v>
      </c>
      <c r="L12" s="9">
        <f t="shared" si="8"/>
        <v>909</v>
      </c>
      <c r="M12" s="9">
        <f t="shared" si="5"/>
        <v>2</v>
      </c>
      <c r="N12">
        <f t="shared" si="6"/>
        <v>0</v>
      </c>
      <c r="Q12" s="9"/>
      <c r="R12" s="9"/>
      <c r="S12" s="9"/>
      <c r="U12" s="8">
        <f t="shared" si="3"/>
        <v>-0.54549999999999998</v>
      </c>
      <c r="V12" s="8">
        <f t="shared" si="7"/>
        <v>0.52380952380952384</v>
      </c>
      <c r="AC12">
        <v>10</v>
      </c>
      <c r="AD12" s="14" t="s">
        <v>106</v>
      </c>
      <c r="AE12" s="15">
        <v>-105</v>
      </c>
      <c r="AF12" t="str">
        <f t="shared" si="4"/>
        <v>Colts</v>
      </c>
      <c r="AG12" t="s">
        <v>79</v>
      </c>
      <c r="AH12">
        <v>0</v>
      </c>
    </row>
    <row r="13" spans="1:34" x14ac:dyDescent="0.25">
      <c r="A13">
        <v>14</v>
      </c>
      <c r="B13" s="9">
        <v>1605416400</v>
      </c>
      <c r="C13" s="25">
        <v>11</v>
      </c>
      <c r="D13" s="6">
        <v>10</v>
      </c>
      <c r="E13" s="4" t="s">
        <v>28</v>
      </c>
      <c r="F13" s="6">
        <v>10</v>
      </c>
      <c r="G13" t="s">
        <v>61</v>
      </c>
      <c r="H13">
        <f t="shared" si="0"/>
        <v>31</v>
      </c>
      <c r="I13">
        <f t="shared" si="1"/>
        <v>1605416400</v>
      </c>
      <c r="J13" s="6">
        <v>10</v>
      </c>
      <c r="K13" s="9" t="e">
        <f t="shared" si="2"/>
        <v>#N/A</v>
      </c>
      <c r="L13" s="9" t="e">
        <f t="shared" si="8"/>
        <v>#N/A</v>
      </c>
      <c r="M13" s="9">
        <f t="shared" si="5"/>
        <v>0</v>
      </c>
      <c r="N13">
        <f t="shared" si="6"/>
        <v>2</v>
      </c>
      <c r="Q13" s="9"/>
      <c r="R13" s="9"/>
      <c r="S13" s="9"/>
      <c r="U13" s="8" t="e">
        <f t="shared" si="3"/>
        <v>#N/A</v>
      </c>
      <c r="V13" s="8" t="e">
        <f t="shared" si="7"/>
        <v>#N/A</v>
      </c>
      <c r="AC13">
        <v>11</v>
      </c>
      <c r="AD13" s="14" t="s">
        <v>107</v>
      </c>
      <c r="AE13" s="15">
        <v>100</v>
      </c>
      <c r="AF13" t="str">
        <f t="shared" si="4"/>
        <v>Dolphins</v>
      </c>
      <c r="AG13" t="s">
        <v>63</v>
      </c>
      <c r="AH13">
        <v>0</v>
      </c>
    </row>
    <row r="14" spans="1:34" x14ac:dyDescent="0.25">
      <c r="A14">
        <v>16</v>
      </c>
      <c r="B14" s="9">
        <v>1605344700</v>
      </c>
      <c r="C14" s="25">
        <v>9</v>
      </c>
      <c r="D14" s="6">
        <v>11</v>
      </c>
      <c r="E14" s="4" t="s">
        <v>29</v>
      </c>
      <c r="F14" s="6">
        <v>11</v>
      </c>
      <c r="G14" t="s">
        <v>64</v>
      </c>
      <c r="H14">
        <f t="shared" si="0"/>
        <v>14</v>
      </c>
      <c r="I14">
        <f t="shared" si="1"/>
        <v>1605416400</v>
      </c>
      <c r="J14" s="6">
        <v>11</v>
      </c>
      <c r="K14" s="9" t="e">
        <f t="shared" si="2"/>
        <v>#N/A</v>
      </c>
      <c r="L14" s="9" t="e">
        <f t="shared" si="8"/>
        <v>#N/A</v>
      </c>
      <c r="M14" s="9">
        <f t="shared" si="5"/>
        <v>2</v>
      </c>
      <c r="N14">
        <f t="shared" si="6"/>
        <v>0</v>
      </c>
      <c r="Q14" s="9"/>
      <c r="R14" s="9"/>
      <c r="S14" s="9"/>
      <c r="U14" s="8" t="e">
        <f t="shared" si="3"/>
        <v>#N/A</v>
      </c>
      <c r="V14" s="8" t="e">
        <f t="shared" si="7"/>
        <v>#N/A</v>
      </c>
      <c r="AC14">
        <v>12</v>
      </c>
      <c r="AD14" s="14" t="s">
        <v>108</v>
      </c>
      <c r="AE14" s="15">
        <v>-105</v>
      </c>
      <c r="AF14" t="str">
        <f t="shared" si="4"/>
        <v>Giants</v>
      </c>
      <c r="AG14" t="s">
        <v>56</v>
      </c>
      <c r="AH14">
        <v>0</v>
      </c>
    </row>
    <row r="15" spans="1:34" x14ac:dyDescent="0.25">
      <c r="A15">
        <v>18</v>
      </c>
      <c r="B15" s="9">
        <v>1605345900</v>
      </c>
      <c r="C15" s="25">
        <v>28</v>
      </c>
      <c r="D15" s="6">
        <v>12</v>
      </c>
      <c r="E15" s="4" t="s">
        <v>30</v>
      </c>
      <c r="F15" s="6">
        <v>12</v>
      </c>
      <c r="G15" t="s">
        <v>50</v>
      </c>
      <c r="H15">
        <f t="shared" si="0"/>
        <v>7</v>
      </c>
      <c r="I15">
        <f t="shared" si="1"/>
        <v>1605416400</v>
      </c>
      <c r="J15" s="6">
        <v>12</v>
      </c>
      <c r="K15" s="9">
        <f t="shared" si="2"/>
        <v>100</v>
      </c>
      <c r="L15" s="9">
        <f t="shared" si="8"/>
        <v>1000</v>
      </c>
      <c r="M15" s="9">
        <f t="shared" si="5"/>
        <v>0</v>
      </c>
      <c r="N15">
        <f t="shared" si="6"/>
        <v>2</v>
      </c>
      <c r="Q15" s="9"/>
      <c r="R15" s="9"/>
      <c r="S15" s="9"/>
      <c r="U15" s="8">
        <f t="shared" si="3"/>
        <v>-0.5</v>
      </c>
      <c r="V15" s="8">
        <f t="shared" si="7"/>
        <v>0.5</v>
      </c>
      <c r="AC15">
        <v>13</v>
      </c>
      <c r="AD15" s="14" t="s">
        <v>109</v>
      </c>
      <c r="AE15" s="15">
        <v>-110</v>
      </c>
      <c r="AF15" t="str">
        <f t="shared" si="4"/>
        <v>Jaguars</v>
      </c>
      <c r="AG15" t="s">
        <v>61</v>
      </c>
      <c r="AH15">
        <v>0</v>
      </c>
    </row>
    <row r="16" spans="1:34" x14ac:dyDescent="0.25">
      <c r="A16">
        <v>19</v>
      </c>
      <c r="B16" s="9">
        <v>1605344700</v>
      </c>
      <c r="C16" s="25">
        <v>24</v>
      </c>
      <c r="D16" s="6">
        <v>13</v>
      </c>
      <c r="E16" s="4" t="s">
        <v>31</v>
      </c>
      <c r="F16" s="6">
        <v>13</v>
      </c>
      <c r="G16" t="s">
        <v>62</v>
      </c>
      <c r="H16" t="e">
        <f t="shared" si="0"/>
        <v>#N/A</v>
      </c>
      <c r="I16" t="e">
        <f t="shared" si="1"/>
        <v>#N/A</v>
      </c>
      <c r="J16" s="6">
        <v>13</v>
      </c>
      <c r="K16" s="9">
        <f t="shared" si="2"/>
        <v>-105</v>
      </c>
      <c r="L16" s="9">
        <f t="shared" si="8"/>
        <v>952</v>
      </c>
      <c r="M16" s="9" t="e">
        <f t="shared" si="5"/>
        <v>#N/A</v>
      </c>
      <c r="N16" t="e">
        <f t="shared" si="6"/>
        <v>#N/A</v>
      </c>
      <c r="Q16" s="9"/>
      <c r="R16" s="9"/>
      <c r="S16" s="9"/>
      <c r="U16" s="8">
        <f t="shared" si="3"/>
        <v>-0.52400000000000002</v>
      </c>
      <c r="V16" s="8">
        <f t="shared" si="7"/>
        <v>0.51219512195121952</v>
      </c>
      <c r="AC16">
        <v>14</v>
      </c>
      <c r="AD16" s="14" t="s">
        <v>110</v>
      </c>
      <c r="AE16" s="15">
        <v>-110</v>
      </c>
      <c r="AF16" t="str">
        <f t="shared" si="4"/>
        <v>Panthers</v>
      </c>
      <c r="AG16" t="s">
        <v>64</v>
      </c>
      <c r="AH16">
        <v>2</v>
      </c>
    </row>
    <row r="17" spans="1:34" x14ac:dyDescent="0.25">
      <c r="A17">
        <v>21</v>
      </c>
      <c r="B17" s="9">
        <v>1605360000</v>
      </c>
      <c r="C17" s="25">
        <v>2</v>
      </c>
      <c r="D17" s="6">
        <v>14</v>
      </c>
      <c r="E17" s="4" t="s">
        <v>32</v>
      </c>
      <c r="F17" s="6">
        <v>14</v>
      </c>
      <c r="G17" t="s">
        <v>63</v>
      </c>
      <c r="H17">
        <f t="shared" si="0"/>
        <v>11</v>
      </c>
      <c r="I17">
        <f t="shared" si="1"/>
        <v>1605416400</v>
      </c>
      <c r="J17" s="6">
        <v>14</v>
      </c>
      <c r="K17" s="9">
        <f t="shared" si="2"/>
        <v>-110</v>
      </c>
      <c r="L17" s="9">
        <f t="shared" si="8"/>
        <v>909</v>
      </c>
      <c r="M17" s="9">
        <f t="shared" si="5"/>
        <v>0</v>
      </c>
      <c r="N17">
        <f t="shared" si="6"/>
        <v>2</v>
      </c>
      <c r="Q17" s="9"/>
      <c r="R17" s="9"/>
      <c r="S17" s="9"/>
      <c r="U17" s="8">
        <f t="shared" si="3"/>
        <v>-0.54549999999999998</v>
      </c>
      <c r="V17" s="8">
        <f t="shared" si="7"/>
        <v>0.52380952380952384</v>
      </c>
      <c r="AC17">
        <v>15</v>
      </c>
      <c r="AD17" s="14" t="s">
        <v>111</v>
      </c>
      <c r="AE17" s="15">
        <v>-120</v>
      </c>
      <c r="AF17" t="str">
        <f t="shared" si="4"/>
        <v>Patriots</v>
      </c>
      <c r="AG17" t="s">
        <v>59</v>
      </c>
      <c r="AH17">
        <v>0</v>
      </c>
    </row>
    <row r="18" spans="1:34" x14ac:dyDescent="0.25">
      <c r="A18">
        <v>22</v>
      </c>
      <c r="B18" s="9">
        <v>1605345900</v>
      </c>
      <c r="C18" s="25">
        <v>27</v>
      </c>
      <c r="D18" s="6">
        <v>15</v>
      </c>
      <c r="E18" s="4" t="s">
        <v>33</v>
      </c>
      <c r="F18" s="6">
        <v>15</v>
      </c>
      <c r="G18" t="s">
        <v>51</v>
      </c>
      <c r="H18" t="e">
        <f t="shared" si="0"/>
        <v>#N/A</v>
      </c>
      <c r="I18" t="e">
        <f t="shared" si="1"/>
        <v>#N/A</v>
      </c>
      <c r="J18" s="6">
        <v>15</v>
      </c>
      <c r="K18" s="9" t="e">
        <f t="shared" si="2"/>
        <v>#N/A</v>
      </c>
      <c r="L18" s="9" t="e">
        <f t="shared" si="8"/>
        <v>#N/A</v>
      </c>
      <c r="M18" s="9" t="e">
        <f t="shared" si="5"/>
        <v>#N/A</v>
      </c>
      <c r="N18" t="e">
        <f t="shared" si="6"/>
        <v>#N/A</v>
      </c>
      <c r="Q18" s="9"/>
      <c r="R18" s="9"/>
      <c r="S18" s="9"/>
      <c r="U18" s="8" t="e">
        <f t="shared" si="3"/>
        <v>#N/A</v>
      </c>
      <c r="V18" s="8" t="e">
        <f t="shared" si="7"/>
        <v>#N/A</v>
      </c>
      <c r="AC18">
        <v>16</v>
      </c>
      <c r="AD18" s="14" t="s">
        <v>112</v>
      </c>
      <c r="AE18" s="15">
        <v>-110</v>
      </c>
      <c r="AF18" t="str">
        <f t="shared" si="4"/>
        <v>Raiders</v>
      </c>
      <c r="AG18" t="s">
        <v>67</v>
      </c>
      <c r="AH18">
        <v>0</v>
      </c>
    </row>
    <row r="19" spans="1:34" x14ac:dyDescent="0.25">
      <c r="A19">
        <v>23</v>
      </c>
      <c r="B19" s="9">
        <v>1605416400</v>
      </c>
      <c r="C19" s="25">
        <v>25</v>
      </c>
      <c r="D19" s="6">
        <v>16</v>
      </c>
      <c r="E19" s="4" t="s">
        <v>34</v>
      </c>
      <c r="F19" s="6">
        <v>16</v>
      </c>
      <c r="G19" t="s">
        <v>58</v>
      </c>
      <c r="H19">
        <f t="shared" si="0"/>
        <v>9</v>
      </c>
      <c r="I19">
        <f t="shared" si="1"/>
        <v>1605344700</v>
      </c>
      <c r="J19" s="6">
        <v>16</v>
      </c>
      <c r="K19" s="9">
        <f t="shared" si="2"/>
        <v>-110</v>
      </c>
      <c r="L19" s="9">
        <f t="shared" si="8"/>
        <v>909</v>
      </c>
      <c r="M19" s="9">
        <f t="shared" si="5"/>
        <v>0</v>
      </c>
      <c r="N19">
        <f t="shared" si="6"/>
        <v>2</v>
      </c>
      <c r="Q19" s="9"/>
      <c r="R19" s="9"/>
      <c r="S19" s="9"/>
      <c r="U19" s="8">
        <f t="shared" si="3"/>
        <v>-0.54549999999999998</v>
      </c>
      <c r="V19" s="8">
        <f t="shared" si="7"/>
        <v>0.52380952380952384</v>
      </c>
      <c r="AC19">
        <v>17</v>
      </c>
      <c r="AD19" s="14" t="s">
        <v>113</v>
      </c>
      <c r="AE19" s="15">
        <v>-110</v>
      </c>
      <c r="AF19" t="str">
        <f t="shared" si="4"/>
        <v>Rams</v>
      </c>
      <c r="AG19" t="s">
        <v>58</v>
      </c>
      <c r="AH19">
        <v>0</v>
      </c>
    </row>
    <row r="20" spans="1:34" x14ac:dyDescent="0.25">
      <c r="A20">
        <v>24</v>
      </c>
      <c r="B20" s="9">
        <v>1605344700</v>
      </c>
      <c r="C20" s="25">
        <v>19</v>
      </c>
      <c r="D20" s="6">
        <v>17</v>
      </c>
      <c r="E20" s="4" t="s">
        <v>35</v>
      </c>
      <c r="F20" s="6">
        <v>17</v>
      </c>
      <c r="G20" t="s">
        <v>70</v>
      </c>
      <c r="H20" t="e">
        <f t="shared" si="0"/>
        <v>#N/A</v>
      </c>
      <c r="I20" t="e">
        <f t="shared" si="1"/>
        <v>#N/A</v>
      </c>
      <c r="J20" s="6">
        <v>17</v>
      </c>
      <c r="K20" s="9">
        <f t="shared" si="2"/>
        <v>-120</v>
      </c>
      <c r="L20" s="9">
        <f t="shared" si="8"/>
        <v>833</v>
      </c>
      <c r="M20" s="9" t="e">
        <f t="shared" si="5"/>
        <v>#N/A</v>
      </c>
      <c r="N20" t="e">
        <f t="shared" si="6"/>
        <v>#N/A</v>
      </c>
      <c r="Q20" s="9"/>
      <c r="R20" s="9"/>
      <c r="S20" s="9"/>
      <c r="U20" s="8">
        <f t="shared" si="3"/>
        <v>-0.58350000000000002</v>
      </c>
      <c r="V20" s="8">
        <f t="shared" si="7"/>
        <v>0.54545454545454541</v>
      </c>
      <c r="AC20">
        <v>18</v>
      </c>
      <c r="AD20" s="14" t="s">
        <v>120</v>
      </c>
      <c r="AE20" s="15">
        <v>100</v>
      </c>
      <c r="AF20" t="str">
        <f t="shared" si="4"/>
        <v>Ravens</v>
      </c>
      <c r="AG20" t="s">
        <v>77</v>
      </c>
      <c r="AH20">
        <v>0</v>
      </c>
    </row>
    <row r="21" spans="1:34" x14ac:dyDescent="0.25">
      <c r="A21">
        <v>25</v>
      </c>
      <c r="B21" s="9">
        <v>1605416400</v>
      </c>
      <c r="C21" s="25">
        <v>23</v>
      </c>
      <c r="D21" s="6">
        <v>18</v>
      </c>
      <c r="E21" s="4" t="s">
        <v>36</v>
      </c>
      <c r="F21" s="6">
        <v>18</v>
      </c>
      <c r="G21" t="s">
        <v>77</v>
      </c>
      <c r="H21">
        <f t="shared" si="0"/>
        <v>28</v>
      </c>
      <c r="I21">
        <f t="shared" si="1"/>
        <v>1605345900</v>
      </c>
      <c r="J21" s="6">
        <v>18</v>
      </c>
      <c r="K21" s="9">
        <f t="shared" si="2"/>
        <v>-110</v>
      </c>
      <c r="L21" s="9">
        <f t="shared" si="8"/>
        <v>909</v>
      </c>
      <c r="M21" s="9">
        <f t="shared" si="5"/>
        <v>0</v>
      </c>
      <c r="N21">
        <f t="shared" si="6"/>
        <v>2</v>
      </c>
      <c r="Q21" s="9"/>
      <c r="R21" s="9"/>
      <c r="S21" s="9"/>
      <c r="U21" s="8">
        <f t="shared" si="3"/>
        <v>-0.54549999999999998</v>
      </c>
      <c r="V21" s="8">
        <f t="shared" si="7"/>
        <v>0.52380952380952384</v>
      </c>
      <c r="AC21">
        <v>19</v>
      </c>
      <c r="AD21" s="14" t="s">
        <v>114</v>
      </c>
      <c r="AE21" s="15">
        <v>-110</v>
      </c>
      <c r="AF21" t="str">
        <f t="shared" si="4"/>
        <v>Saints</v>
      </c>
      <c r="AG21" t="s">
        <v>55</v>
      </c>
      <c r="AH21">
        <v>2</v>
      </c>
    </row>
    <row r="22" spans="1:34" x14ac:dyDescent="0.25">
      <c r="A22">
        <v>26</v>
      </c>
      <c r="B22" s="9">
        <v>1605416400</v>
      </c>
      <c r="C22" s="25">
        <v>6</v>
      </c>
      <c r="D22" s="6">
        <v>19</v>
      </c>
      <c r="E22" s="4" t="s">
        <v>37</v>
      </c>
      <c r="F22" s="6">
        <v>19</v>
      </c>
      <c r="G22" t="s">
        <v>66</v>
      </c>
      <c r="H22">
        <f t="shared" si="0"/>
        <v>24</v>
      </c>
      <c r="I22">
        <f t="shared" si="1"/>
        <v>1605344700</v>
      </c>
      <c r="J22" s="6">
        <v>19</v>
      </c>
      <c r="K22" s="9">
        <f t="shared" si="2"/>
        <v>100</v>
      </c>
      <c r="L22" s="9">
        <f t="shared" si="8"/>
        <v>1000</v>
      </c>
      <c r="M22" s="9">
        <f t="shared" si="5"/>
        <v>2</v>
      </c>
      <c r="N22">
        <f t="shared" si="6"/>
        <v>0</v>
      </c>
      <c r="Q22" s="9"/>
      <c r="R22" s="9"/>
      <c r="S22" s="9"/>
      <c r="U22" s="8">
        <f t="shared" si="3"/>
        <v>-0.5</v>
      </c>
      <c r="V22" s="8">
        <f t="shared" si="7"/>
        <v>0.5</v>
      </c>
      <c r="AC22">
        <v>20</v>
      </c>
      <c r="AD22" s="14" t="s">
        <v>115</v>
      </c>
      <c r="AE22" s="15">
        <v>-110</v>
      </c>
      <c r="AF22" t="str">
        <f t="shared" si="4"/>
        <v>Seahawks</v>
      </c>
      <c r="AG22" t="s">
        <v>69</v>
      </c>
      <c r="AH22">
        <v>2</v>
      </c>
    </row>
    <row r="23" spans="1:34" x14ac:dyDescent="0.25">
      <c r="A23">
        <v>27</v>
      </c>
      <c r="B23" s="9">
        <v>1605345900</v>
      </c>
      <c r="C23" s="25">
        <v>22</v>
      </c>
      <c r="D23" s="6">
        <v>20</v>
      </c>
      <c r="E23" s="4" t="s">
        <v>38</v>
      </c>
      <c r="F23" s="6">
        <v>20</v>
      </c>
      <c r="G23" t="s">
        <v>65</v>
      </c>
      <c r="H23" t="e">
        <f t="shared" si="0"/>
        <v>#N/A</v>
      </c>
      <c r="I23" t="e">
        <f t="shared" si="1"/>
        <v>#N/A</v>
      </c>
      <c r="J23" s="6">
        <v>20</v>
      </c>
      <c r="K23" s="9">
        <f t="shared" si="2"/>
        <v>100</v>
      </c>
      <c r="L23" s="9">
        <f t="shared" si="8"/>
        <v>1000</v>
      </c>
      <c r="M23" s="9" t="e">
        <f t="shared" si="5"/>
        <v>#N/A</v>
      </c>
      <c r="N23" t="e">
        <f t="shared" si="6"/>
        <v>#N/A</v>
      </c>
      <c r="Q23" s="9"/>
      <c r="R23" s="9"/>
      <c r="S23" s="9"/>
      <c r="U23" s="8">
        <f t="shared" si="3"/>
        <v>-0.5</v>
      </c>
      <c r="V23" s="8">
        <f t="shared" si="7"/>
        <v>0.5</v>
      </c>
      <c r="AC23">
        <v>21</v>
      </c>
      <c r="AD23" s="14" t="s">
        <v>116</v>
      </c>
      <c r="AE23" s="15">
        <v>-105</v>
      </c>
      <c r="AF23" t="str">
        <f t="shared" si="4"/>
        <v>Steelers</v>
      </c>
      <c r="AG23" t="s">
        <v>73</v>
      </c>
      <c r="AH23">
        <v>2</v>
      </c>
    </row>
    <row r="24" spans="1:34" x14ac:dyDescent="0.25">
      <c r="A24">
        <v>28</v>
      </c>
      <c r="B24" s="9">
        <v>1605345900</v>
      </c>
      <c r="C24" s="25">
        <v>18</v>
      </c>
      <c r="D24" s="6">
        <v>21</v>
      </c>
      <c r="E24" s="4" t="s">
        <v>39</v>
      </c>
      <c r="F24" s="6">
        <v>21</v>
      </c>
      <c r="G24" t="s">
        <v>67</v>
      </c>
      <c r="H24">
        <f>VLOOKUP(F24,$A$3:$C$26,3,FALSE)</f>
        <v>2</v>
      </c>
      <c r="I24">
        <f t="shared" si="1"/>
        <v>1605360000</v>
      </c>
      <c r="J24" s="6">
        <v>21</v>
      </c>
      <c r="K24" s="9">
        <f t="shared" si="2"/>
        <v>-120</v>
      </c>
      <c r="L24" s="9">
        <f t="shared" si="8"/>
        <v>833</v>
      </c>
      <c r="M24" s="9">
        <f t="shared" si="5"/>
        <v>0</v>
      </c>
      <c r="N24">
        <f t="shared" si="6"/>
        <v>2</v>
      </c>
      <c r="Q24" s="9"/>
      <c r="R24" s="9"/>
      <c r="S24" s="9"/>
      <c r="U24" s="8">
        <f t="shared" si="3"/>
        <v>-0.58350000000000002</v>
      </c>
      <c r="V24" s="8">
        <f t="shared" si="7"/>
        <v>0.54545454545454541</v>
      </c>
      <c r="AC24">
        <v>22</v>
      </c>
      <c r="AD24" s="14" t="s">
        <v>117</v>
      </c>
      <c r="AE24" s="15">
        <v>100</v>
      </c>
      <c r="AF24" t="str">
        <f t="shared" si="4"/>
        <v>Texans</v>
      </c>
      <c r="AG24" t="s">
        <v>52</v>
      </c>
      <c r="AH24">
        <v>2</v>
      </c>
    </row>
    <row r="25" spans="1:34" x14ac:dyDescent="0.25">
      <c r="A25">
        <v>29</v>
      </c>
      <c r="B25" s="9">
        <v>1605416400</v>
      </c>
      <c r="C25" s="25">
        <v>4</v>
      </c>
      <c r="D25" s="6">
        <v>22</v>
      </c>
      <c r="E25" s="4" t="s">
        <v>40</v>
      </c>
      <c r="F25" s="6">
        <v>22</v>
      </c>
      <c r="G25" t="s">
        <v>73</v>
      </c>
      <c r="H25">
        <f t="shared" si="0"/>
        <v>27</v>
      </c>
      <c r="I25">
        <f t="shared" si="1"/>
        <v>1605345900</v>
      </c>
      <c r="J25" s="6">
        <v>22</v>
      </c>
      <c r="K25" s="9">
        <f t="shared" si="2"/>
        <v>-110</v>
      </c>
      <c r="L25" s="9">
        <f t="shared" si="8"/>
        <v>909</v>
      </c>
      <c r="M25" s="9">
        <f t="shared" si="5"/>
        <v>2</v>
      </c>
      <c r="N25">
        <f t="shared" si="6"/>
        <v>0</v>
      </c>
      <c r="Q25" s="9"/>
      <c r="R25" s="9"/>
      <c r="S25" s="9"/>
      <c r="U25" s="8">
        <f t="shared" si="3"/>
        <v>-0.54549999999999998</v>
      </c>
      <c r="V25" s="8">
        <f t="shared" si="7"/>
        <v>0.52380952380952384</v>
      </c>
      <c r="AC25">
        <v>23</v>
      </c>
      <c r="AD25" s="14" t="s">
        <v>118</v>
      </c>
      <c r="AE25" s="15">
        <v>-115</v>
      </c>
      <c r="AF25" t="str">
        <f t="shared" si="4"/>
        <v>Titans</v>
      </c>
      <c r="AG25" t="s">
        <v>78</v>
      </c>
      <c r="AH25">
        <v>0</v>
      </c>
    </row>
    <row r="26" spans="1:34" x14ac:dyDescent="0.25">
      <c r="A26">
        <v>31</v>
      </c>
      <c r="B26" s="9">
        <v>1605416400</v>
      </c>
      <c r="C26" s="25">
        <v>10</v>
      </c>
      <c r="D26" s="6">
        <v>23</v>
      </c>
      <c r="E26" s="4" t="s">
        <v>41</v>
      </c>
      <c r="F26" s="6">
        <v>23</v>
      </c>
      <c r="G26" t="s">
        <v>79</v>
      </c>
      <c r="H26">
        <f t="shared" si="0"/>
        <v>25</v>
      </c>
      <c r="I26">
        <f t="shared" si="1"/>
        <v>1605416400</v>
      </c>
      <c r="J26" s="6">
        <v>23</v>
      </c>
      <c r="K26" s="9">
        <f t="shared" si="2"/>
        <v>-105</v>
      </c>
      <c r="L26" s="9">
        <f t="shared" si="8"/>
        <v>952</v>
      </c>
      <c r="M26" s="9">
        <f t="shared" si="5"/>
        <v>0</v>
      </c>
      <c r="N26">
        <f t="shared" si="6"/>
        <v>2</v>
      </c>
      <c r="Q26" s="9"/>
      <c r="R26" s="9"/>
      <c r="S26" s="9"/>
      <c r="U26" s="8">
        <f t="shared" si="3"/>
        <v>-0.52400000000000002</v>
      </c>
      <c r="V26" s="8">
        <f t="shared" si="7"/>
        <v>0.51219512195121952</v>
      </c>
      <c r="AC26">
        <v>24</v>
      </c>
      <c r="AD26" s="14" t="s">
        <v>119</v>
      </c>
      <c r="AE26" s="15">
        <v>100</v>
      </c>
      <c r="AF26" t="str">
        <f t="shared" si="4"/>
        <v>Vikings</v>
      </c>
      <c r="AG26" t="s">
        <v>50</v>
      </c>
      <c r="AH26">
        <v>0</v>
      </c>
    </row>
    <row r="27" spans="1:34" x14ac:dyDescent="0.25">
      <c r="B27" s="9"/>
      <c r="D27" s="6">
        <v>24</v>
      </c>
      <c r="E27" s="4" t="s">
        <v>42</v>
      </c>
      <c r="F27" s="6">
        <v>24</v>
      </c>
      <c r="G27" t="s">
        <v>56</v>
      </c>
      <c r="H27">
        <f t="shared" si="0"/>
        <v>19</v>
      </c>
      <c r="I27">
        <f t="shared" si="1"/>
        <v>1605344700</v>
      </c>
      <c r="J27" s="6">
        <v>24</v>
      </c>
      <c r="K27" s="9" t="e">
        <f t="shared" si="2"/>
        <v>#N/A</v>
      </c>
      <c r="L27" s="9" t="e">
        <f t="shared" si="8"/>
        <v>#N/A</v>
      </c>
      <c r="M27" s="9">
        <f t="shared" si="5"/>
        <v>0</v>
      </c>
      <c r="N27">
        <f t="shared" si="6"/>
        <v>2</v>
      </c>
      <c r="Q27" s="9"/>
      <c r="R27" s="9"/>
      <c r="S27" s="9"/>
      <c r="U27" s="8" t="e">
        <f t="shared" si="3"/>
        <v>#N/A</v>
      </c>
      <c r="V27" s="8" t="e">
        <f t="shared" si="7"/>
        <v>#N/A</v>
      </c>
      <c r="X27" s="11"/>
      <c r="AD27" s="14"/>
      <c r="AE27" s="15"/>
    </row>
    <row r="28" spans="1:34" x14ac:dyDescent="0.25">
      <c r="A28" t="s">
        <v>121</v>
      </c>
      <c r="B28" s="9">
        <f>MIN(B3:B26)</f>
        <v>1605344700</v>
      </c>
      <c r="D28" s="6">
        <v>25</v>
      </c>
      <c r="E28" s="4" t="s">
        <v>43</v>
      </c>
      <c r="F28" s="6">
        <v>25</v>
      </c>
      <c r="G28" t="s">
        <v>68</v>
      </c>
      <c r="H28">
        <f t="shared" si="0"/>
        <v>23</v>
      </c>
      <c r="I28">
        <f t="shared" si="1"/>
        <v>1605416400</v>
      </c>
      <c r="J28" s="6">
        <v>25</v>
      </c>
      <c r="K28" s="9" t="e">
        <f t="shared" si="2"/>
        <v>#N/A</v>
      </c>
      <c r="L28" s="9" t="e">
        <f t="shared" si="8"/>
        <v>#N/A</v>
      </c>
      <c r="M28" s="9">
        <f t="shared" si="5"/>
        <v>2</v>
      </c>
      <c r="N28">
        <f t="shared" si="6"/>
        <v>0</v>
      </c>
      <c r="Q28" s="9"/>
      <c r="R28" s="9"/>
      <c r="S28" s="9"/>
      <c r="U28" s="8" t="e">
        <f t="shared" si="3"/>
        <v>#N/A</v>
      </c>
      <c r="V28" s="8" t="e">
        <f t="shared" si="7"/>
        <v>#N/A</v>
      </c>
      <c r="X28" s="11"/>
      <c r="AE28" s="9"/>
    </row>
    <row r="29" spans="1:34" x14ac:dyDescent="0.25">
      <c r="B29" s="9">
        <f>B28-B32</f>
        <v>1604739900</v>
      </c>
      <c r="D29" s="6">
        <v>26</v>
      </c>
      <c r="E29" s="4" t="s">
        <v>44</v>
      </c>
      <c r="F29" s="6">
        <v>26</v>
      </c>
      <c r="G29" t="s">
        <v>78</v>
      </c>
      <c r="H29">
        <f t="shared" si="0"/>
        <v>6</v>
      </c>
      <c r="I29">
        <f t="shared" si="1"/>
        <v>1605416400</v>
      </c>
      <c r="J29" s="6">
        <v>26</v>
      </c>
      <c r="K29" s="9">
        <f t="shared" si="2"/>
        <v>-105</v>
      </c>
      <c r="L29" s="9">
        <f t="shared" si="8"/>
        <v>952</v>
      </c>
      <c r="M29" s="9">
        <f t="shared" si="5"/>
        <v>0</v>
      </c>
      <c r="N29">
        <f t="shared" si="6"/>
        <v>2</v>
      </c>
      <c r="Q29" s="9"/>
      <c r="R29" s="9"/>
      <c r="S29" s="9"/>
      <c r="U29" s="8">
        <f t="shared" si="3"/>
        <v>-0.52400000000000002</v>
      </c>
      <c r="V29" s="8">
        <f t="shared" si="7"/>
        <v>0.51219512195121952</v>
      </c>
      <c r="AC29" s="31">
        <f>10*869/1000</f>
        <v>8.69</v>
      </c>
      <c r="AE29" s="9"/>
    </row>
    <row r="30" spans="1:34" x14ac:dyDescent="0.25">
      <c r="B30" s="9"/>
      <c r="D30" s="6">
        <v>27</v>
      </c>
      <c r="E30" s="4" t="s">
        <v>45</v>
      </c>
      <c r="F30" s="6">
        <v>27</v>
      </c>
      <c r="G30" t="s">
        <v>75</v>
      </c>
      <c r="H30">
        <f t="shared" si="0"/>
        <v>22</v>
      </c>
      <c r="I30">
        <f t="shared" si="1"/>
        <v>1605345900</v>
      </c>
      <c r="J30" s="6">
        <v>27</v>
      </c>
      <c r="K30" s="9">
        <f t="shared" si="2"/>
        <v>-110</v>
      </c>
      <c r="L30" s="9">
        <f t="shared" si="8"/>
        <v>909</v>
      </c>
      <c r="M30" s="9">
        <f t="shared" si="5"/>
        <v>0</v>
      </c>
      <c r="N30">
        <f t="shared" si="6"/>
        <v>2</v>
      </c>
      <c r="Q30" s="9"/>
      <c r="R30" s="9"/>
      <c r="S30" s="9"/>
      <c r="U30" s="8">
        <f t="shared" si="3"/>
        <v>-0.54549999999999998</v>
      </c>
      <c r="V30" s="8">
        <f t="shared" si="7"/>
        <v>0.52380952380952384</v>
      </c>
      <c r="AE30" s="9"/>
    </row>
    <row r="31" spans="1:34" x14ac:dyDescent="0.25">
      <c r="B31" s="9"/>
      <c r="D31" s="6">
        <v>28</v>
      </c>
      <c r="E31" s="4" t="s">
        <v>46</v>
      </c>
      <c r="F31" s="6">
        <v>28</v>
      </c>
      <c r="G31" t="s">
        <v>52</v>
      </c>
      <c r="H31">
        <f t="shared" si="0"/>
        <v>18</v>
      </c>
      <c r="I31">
        <f t="shared" si="1"/>
        <v>1605345900</v>
      </c>
      <c r="J31" s="6">
        <v>28</v>
      </c>
      <c r="K31" s="9">
        <f t="shared" si="2"/>
        <v>-110</v>
      </c>
      <c r="L31" s="9">
        <f t="shared" si="8"/>
        <v>909</v>
      </c>
      <c r="M31" s="9">
        <f t="shared" si="5"/>
        <v>2</v>
      </c>
      <c r="N31">
        <f t="shared" si="6"/>
        <v>0</v>
      </c>
      <c r="Q31" s="9"/>
      <c r="R31" s="9"/>
      <c r="S31" s="9"/>
      <c r="U31" s="8">
        <f t="shared" si="3"/>
        <v>-0.54549999999999998</v>
      </c>
      <c r="V31" s="8">
        <f t="shared" si="7"/>
        <v>0.52380952380952384</v>
      </c>
      <c r="AE31" s="9"/>
    </row>
    <row r="32" spans="1:34" x14ac:dyDescent="0.25">
      <c r="B32" s="7">
        <f>86400*7</f>
        <v>604800</v>
      </c>
      <c r="D32" s="6">
        <v>29</v>
      </c>
      <c r="E32" s="4" t="s">
        <v>47</v>
      </c>
      <c r="F32" s="6">
        <v>29</v>
      </c>
      <c r="G32" t="s">
        <v>72</v>
      </c>
      <c r="H32">
        <f t="shared" si="0"/>
        <v>4</v>
      </c>
      <c r="I32">
        <f t="shared" si="1"/>
        <v>1605416400</v>
      </c>
      <c r="J32" s="6">
        <v>29</v>
      </c>
      <c r="K32" s="9">
        <f t="shared" si="2"/>
        <v>-110</v>
      </c>
      <c r="L32" s="9">
        <f t="shared" si="8"/>
        <v>909</v>
      </c>
      <c r="M32" s="9">
        <f t="shared" si="5"/>
        <v>2</v>
      </c>
      <c r="N32">
        <f t="shared" si="6"/>
        <v>0</v>
      </c>
      <c r="Q32" s="9"/>
      <c r="R32" s="9"/>
      <c r="S32" s="9"/>
      <c r="U32" s="8">
        <f t="shared" si="3"/>
        <v>-0.54549999999999998</v>
      </c>
      <c r="V32" s="8">
        <f t="shared" si="7"/>
        <v>0.52380952380952384</v>
      </c>
      <c r="AE32" s="9"/>
    </row>
    <row r="33" spans="2:36" ht="16.5" x14ac:dyDescent="0.3">
      <c r="C33" s="28">
        <v>1604836513</v>
      </c>
      <c r="D33" s="6">
        <v>30</v>
      </c>
      <c r="E33" s="4" t="s">
        <v>48</v>
      </c>
      <c r="F33" s="6">
        <v>30</v>
      </c>
      <c r="G33" t="s">
        <v>80</v>
      </c>
      <c r="H33" t="e">
        <f t="shared" si="0"/>
        <v>#N/A</v>
      </c>
      <c r="I33" t="e">
        <f t="shared" si="1"/>
        <v>#N/A</v>
      </c>
      <c r="J33" s="6">
        <v>30</v>
      </c>
      <c r="K33" s="9">
        <f t="shared" si="2"/>
        <v>-115</v>
      </c>
      <c r="L33" s="9">
        <f t="shared" si="8"/>
        <v>869</v>
      </c>
      <c r="M33" s="9" t="e">
        <f t="shared" si="5"/>
        <v>#N/A</v>
      </c>
      <c r="N33" t="e">
        <f t="shared" si="6"/>
        <v>#N/A</v>
      </c>
      <c r="Q33" s="9"/>
      <c r="R33" s="9"/>
      <c r="S33" s="9"/>
      <c r="U33" s="8">
        <f t="shared" si="3"/>
        <v>-0.5655</v>
      </c>
      <c r="V33" s="8">
        <f t="shared" si="7"/>
        <v>0.53488372093023251</v>
      </c>
    </row>
    <row r="34" spans="2:36" ht="16.5" x14ac:dyDescent="0.3">
      <c r="C34" s="28">
        <v>1605441313</v>
      </c>
      <c r="D34" s="6">
        <v>31</v>
      </c>
      <c r="E34" s="4" t="s">
        <v>49</v>
      </c>
      <c r="F34" s="6">
        <v>31</v>
      </c>
      <c r="G34" t="s">
        <v>69</v>
      </c>
      <c r="H34">
        <f t="shared" si="0"/>
        <v>10</v>
      </c>
      <c r="I34">
        <f t="shared" si="1"/>
        <v>1605416400</v>
      </c>
      <c r="J34" s="6">
        <v>31</v>
      </c>
      <c r="K34" s="9" t="e">
        <f t="shared" si="2"/>
        <v>#N/A</v>
      </c>
      <c r="L34" s="9" t="e">
        <f t="shared" si="8"/>
        <v>#N/A</v>
      </c>
      <c r="M34" s="9">
        <f t="shared" si="5"/>
        <v>2</v>
      </c>
      <c r="N34">
        <f t="shared" si="6"/>
        <v>0</v>
      </c>
      <c r="V34" s="8" t="e">
        <f t="shared" si="7"/>
        <v>#N/A</v>
      </c>
    </row>
    <row r="35" spans="2:36" x14ac:dyDescent="0.25">
      <c r="J35" s="9"/>
      <c r="K35" s="9"/>
      <c r="U35" s="7" t="e">
        <f>L34+L33</f>
        <v>#N/A</v>
      </c>
      <c r="W35">
        <f>0.5*Q33+Q34*0.5</f>
        <v>0</v>
      </c>
      <c r="AA35" s="10" t="e">
        <f>SUM(V33:V34)</f>
        <v>#N/A</v>
      </c>
    </row>
    <row r="36" spans="2:36" s="25" customFormat="1" x14ac:dyDescent="0.25">
      <c r="B36" s="29" t="s">
        <v>85</v>
      </c>
      <c r="C36" s="30">
        <v>0</v>
      </c>
      <c r="D36" s="30">
        <v>1</v>
      </c>
      <c r="E36" s="30">
        <v>2</v>
      </c>
      <c r="F36" s="30">
        <v>3</v>
      </c>
      <c r="G36" s="30">
        <v>4</v>
      </c>
      <c r="H36" s="30">
        <v>5</v>
      </c>
      <c r="I36" s="30">
        <v>6</v>
      </c>
      <c r="J36" s="30">
        <v>7</v>
      </c>
      <c r="K36" s="30">
        <v>8</v>
      </c>
      <c r="L36" s="30">
        <v>9</v>
      </c>
      <c r="M36" s="30">
        <v>10</v>
      </c>
      <c r="N36" s="30">
        <v>11</v>
      </c>
      <c r="O36" s="30">
        <v>12</v>
      </c>
      <c r="P36" s="30">
        <v>13</v>
      </c>
      <c r="Q36" s="30">
        <v>14</v>
      </c>
      <c r="R36" s="25">
        <v>15</v>
      </c>
      <c r="S36" s="25">
        <v>16</v>
      </c>
      <c r="T36" s="25">
        <v>17</v>
      </c>
      <c r="U36" s="25">
        <v>18</v>
      </c>
      <c r="V36" s="25">
        <v>19</v>
      </c>
      <c r="W36" s="25">
        <v>20</v>
      </c>
      <c r="X36" s="25">
        <v>21</v>
      </c>
      <c r="Y36" s="25">
        <v>22</v>
      </c>
      <c r="Z36" s="25">
        <v>23</v>
      </c>
      <c r="AA36" s="25">
        <v>24</v>
      </c>
      <c r="AB36" s="25">
        <v>25</v>
      </c>
      <c r="AC36" s="25">
        <v>26</v>
      </c>
      <c r="AD36" s="25">
        <v>27</v>
      </c>
      <c r="AE36" s="25">
        <v>28</v>
      </c>
      <c r="AF36" s="25">
        <v>29</v>
      </c>
      <c r="AG36" s="25">
        <v>30</v>
      </c>
      <c r="AH36" s="25">
        <v>31</v>
      </c>
    </row>
    <row r="37" spans="2:36" x14ac:dyDescent="0.25">
      <c r="B37" s="1" t="s">
        <v>82</v>
      </c>
      <c r="C37">
        <f t="array" ref="C37:AH37">TRANSPOSE(H3:H34)</f>
        <v>3</v>
      </c>
      <c r="D37" t="e">
        <v>#N/A</v>
      </c>
      <c r="E37">
        <v>21</v>
      </c>
      <c r="F37">
        <v>0</v>
      </c>
      <c r="G37">
        <v>29</v>
      </c>
      <c r="H37" t="e">
        <v>#N/A</v>
      </c>
      <c r="I37">
        <v>26</v>
      </c>
      <c r="J37">
        <v>12</v>
      </c>
      <c r="K37" t="e">
        <v>#N/A</v>
      </c>
      <c r="L37">
        <v>16</v>
      </c>
      <c r="M37">
        <v>31</v>
      </c>
      <c r="N37">
        <v>14</v>
      </c>
      <c r="O37">
        <v>7</v>
      </c>
      <c r="P37" t="e">
        <v>#N/A</v>
      </c>
      <c r="Q37">
        <v>11</v>
      </c>
      <c r="R37" t="e">
        <v>#N/A</v>
      </c>
      <c r="S37">
        <v>9</v>
      </c>
      <c r="T37" t="e">
        <v>#N/A</v>
      </c>
      <c r="U37">
        <v>28</v>
      </c>
      <c r="V37">
        <v>24</v>
      </c>
      <c r="W37" t="e">
        <v>#N/A</v>
      </c>
      <c r="X37">
        <v>2</v>
      </c>
      <c r="Y37">
        <v>27</v>
      </c>
      <c r="Z37">
        <v>25</v>
      </c>
      <c r="AA37">
        <v>19</v>
      </c>
      <c r="AB37">
        <v>23</v>
      </c>
      <c r="AC37">
        <v>6</v>
      </c>
      <c r="AD37">
        <v>22</v>
      </c>
      <c r="AE37">
        <v>18</v>
      </c>
      <c r="AF37">
        <v>4</v>
      </c>
      <c r="AG37" t="e">
        <v>#N/A</v>
      </c>
      <c r="AH37">
        <v>10</v>
      </c>
    </row>
    <row r="38" spans="2:36" x14ac:dyDescent="0.25">
      <c r="B38" s="1" t="s">
        <v>94</v>
      </c>
      <c r="C38" s="7">
        <f t="array" ref="C38:AH38">TRANSPOSE(I3:I34)</f>
        <v>1605344700</v>
      </c>
      <c r="D38" s="7" t="e">
        <v>#N/A</v>
      </c>
      <c r="E38" s="7">
        <v>1605360000</v>
      </c>
      <c r="F38" s="7">
        <v>1605344700</v>
      </c>
      <c r="G38" s="7">
        <v>1605416400</v>
      </c>
      <c r="H38" s="7" t="e">
        <v>#N/A</v>
      </c>
      <c r="I38" s="7">
        <v>1605416400</v>
      </c>
      <c r="J38" s="7">
        <v>1605416400</v>
      </c>
      <c r="K38" s="7" t="e">
        <v>#N/A</v>
      </c>
      <c r="L38" s="7">
        <v>1605344700</v>
      </c>
      <c r="M38" s="7">
        <v>1605416400</v>
      </c>
      <c r="N38" s="7">
        <v>1605416400</v>
      </c>
      <c r="O38" s="7">
        <v>1605416400</v>
      </c>
      <c r="P38" s="7" t="e">
        <v>#N/A</v>
      </c>
      <c r="Q38" s="7">
        <v>1605416400</v>
      </c>
      <c r="R38" s="7" t="e">
        <v>#N/A</v>
      </c>
      <c r="S38" s="7">
        <v>1605344700</v>
      </c>
      <c r="T38" s="7" t="e">
        <v>#N/A</v>
      </c>
      <c r="U38" s="7">
        <v>1605345900</v>
      </c>
      <c r="V38" s="7">
        <v>1605344700</v>
      </c>
      <c r="W38" s="7" t="e">
        <v>#N/A</v>
      </c>
      <c r="X38" s="7">
        <v>1605360000</v>
      </c>
      <c r="Y38" s="7">
        <v>1605345900</v>
      </c>
      <c r="Z38" s="7">
        <v>1605416400</v>
      </c>
      <c r="AA38" s="7">
        <v>1605344700</v>
      </c>
      <c r="AB38" s="7">
        <v>1605416400</v>
      </c>
      <c r="AC38" s="7">
        <v>1605416400</v>
      </c>
      <c r="AD38" s="7">
        <v>1605345900</v>
      </c>
      <c r="AE38" s="7">
        <v>1605345900</v>
      </c>
      <c r="AF38" s="7">
        <v>1605416400</v>
      </c>
      <c r="AG38" s="7" t="e">
        <v>#N/A</v>
      </c>
      <c r="AH38" s="7">
        <v>1605416400</v>
      </c>
      <c r="AJ38">
        <f>COUNT(C38:AH38)</f>
        <v>24</v>
      </c>
    </row>
    <row r="39" spans="2:36" x14ac:dyDescent="0.25">
      <c r="B39" s="1" t="s">
        <v>88</v>
      </c>
      <c r="C39">
        <f t="array" ref="C39:AH39">TRANSPOSE(L3:L34)</f>
        <v>909</v>
      </c>
      <c r="D39" t="e">
        <v>#N/A</v>
      </c>
      <c r="E39">
        <v>1000</v>
      </c>
      <c r="F39">
        <v>669</v>
      </c>
      <c r="G39">
        <v>909</v>
      </c>
      <c r="H39">
        <v>833</v>
      </c>
      <c r="I39">
        <v>869</v>
      </c>
      <c r="J39">
        <v>833</v>
      </c>
      <c r="K39" t="e">
        <v>#N/A</v>
      </c>
      <c r="L39">
        <v>909</v>
      </c>
      <c r="M39" t="e">
        <v>#N/A</v>
      </c>
      <c r="N39" t="e">
        <v>#N/A</v>
      </c>
      <c r="O39">
        <v>1000</v>
      </c>
      <c r="P39">
        <v>952</v>
      </c>
      <c r="Q39">
        <v>909</v>
      </c>
      <c r="R39" t="e">
        <v>#N/A</v>
      </c>
      <c r="S39">
        <v>909</v>
      </c>
      <c r="T39">
        <v>833</v>
      </c>
      <c r="U39">
        <v>909</v>
      </c>
      <c r="V39">
        <v>1000</v>
      </c>
      <c r="W39">
        <v>1000</v>
      </c>
      <c r="X39">
        <v>833</v>
      </c>
      <c r="Y39">
        <v>909</v>
      </c>
      <c r="Z39">
        <v>952</v>
      </c>
      <c r="AA39" t="e">
        <v>#N/A</v>
      </c>
      <c r="AB39" t="e">
        <v>#N/A</v>
      </c>
      <c r="AC39">
        <v>952</v>
      </c>
      <c r="AD39">
        <v>909</v>
      </c>
      <c r="AE39">
        <v>909</v>
      </c>
      <c r="AF39">
        <v>909</v>
      </c>
      <c r="AG39">
        <v>869</v>
      </c>
      <c r="AH39" t="e">
        <v>#N/A</v>
      </c>
    </row>
    <row r="40" spans="2:36" ht="16.5" x14ac:dyDescent="0.3">
      <c r="C40" s="28"/>
    </row>
    <row r="41" spans="2:36" x14ac:dyDescent="0.25">
      <c r="B41" s="1" t="s">
        <v>82</v>
      </c>
      <c r="C41">
        <f>IF(ISNUMBER(C37),C37,C36)</f>
        <v>3</v>
      </c>
      <c r="D41">
        <f>IF(ISNUMBER(D37),D37,D36)</f>
        <v>1</v>
      </c>
      <c r="E41">
        <f t="shared" ref="E41:AH41" si="9">IF(ISNUMBER(E37),E37,E36)</f>
        <v>21</v>
      </c>
      <c r="F41">
        <f t="shared" si="9"/>
        <v>0</v>
      </c>
      <c r="G41">
        <f t="shared" si="9"/>
        <v>29</v>
      </c>
      <c r="H41">
        <f t="shared" si="9"/>
        <v>5</v>
      </c>
      <c r="I41">
        <f t="shared" si="9"/>
        <v>26</v>
      </c>
      <c r="J41">
        <f t="shared" si="9"/>
        <v>12</v>
      </c>
      <c r="K41">
        <f t="shared" si="9"/>
        <v>8</v>
      </c>
      <c r="L41">
        <f t="shared" si="9"/>
        <v>16</v>
      </c>
      <c r="M41">
        <f t="shared" si="9"/>
        <v>31</v>
      </c>
      <c r="N41">
        <f t="shared" si="9"/>
        <v>14</v>
      </c>
      <c r="O41">
        <f t="shared" si="9"/>
        <v>7</v>
      </c>
      <c r="P41">
        <f t="shared" si="9"/>
        <v>13</v>
      </c>
      <c r="Q41">
        <f t="shared" si="9"/>
        <v>11</v>
      </c>
      <c r="R41">
        <f t="shared" si="9"/>
        <v>15</v>
      </c>
      <c r="S41">
        <f t="shared" si="9"/>
        <v>9</v>
      </c>
      <c r="T41">
        <f t="shared" si="9"/>
        <v>17</v>
      </c>
      <c r="U41">
        <f t="shared" si="9"/>
        <v>28</v>
      </c>
      <c r="V41">
        <f t="shared" si="9"/>
        <v>24</v>
      </c>
      <c r="W41">
        <f t="shared" si="9"/>
        <v>20</v>
      </c>
      <c r="X41">
        <f t="shared" si="9"/>
        <v>2</v>
      </c>
      <c r="Y41">
        <f t="shared" si="9"/>
        <v>27</v>
      </c>
      <c r="Z41">
        <f t="shared" si="9"/>
        <v>25</v>
      </c>
      <c r="AA41">
        <f t="shared" si="9"/>
        <v>19</v>
      </c>
      <c r="AB41">
        <f t="shared" si="9"/>
        <v>23</v>
      </c>
      <c r="AC41">
        <f t="shared" si="9"/>
        <v>6</v>
      </c>
      <c r="AD41">
        <f t="shared" si="9"/>
        <v>22</v>
      </c>
      <c r="AE41">
        <f t="shared" si="9"/>
        <v>18</v>
      </c>
      <c r="AF41">
        <f t="shared" si="9"/>
        <v>4</v>
      </c>
      <c r="AG41">
        <f t="shared" si="9"/>
        <v>30</v>
      </c>
      <c r="AH41">
        <f t="shared" si="9"/>
        <v>10</v>
      </c>
    </row>
    <row r="42" spans="2:36" x14ac:dyDescent="0.25">
      <c r="B42" s="1" t="s">
        <v>94</v>
      </c>
      <c r="C42">
        <f>IF(ISNUMBER(C38),C38,$B29)</f>
        <v>1605344700</v>
      </c>
      <c r="D42">
        <f t="shared" ref="D42:AH42" si="10">IF(ISNUMBER(D38),D38,$B29)</f>
        <v>1604739900</v>
      </c>
      <c r="E42">
        <f t="shared" si="10"/>
        <v>1605360000</v>
      </c>
      <c r="F42">
        <f t="shared" si="10"/>
        <v>1605344700</v>
      </c>
      <c r="G42">
        <f t="shared" si="10"/>
        <v>1605416400</v>
      </c>
      <c r="H42">
        <f t="shared" si="10"/>
        <v>1604739900</v>
      </c>
      <c r="I42">
        <f t="shared" si="10"/>
        <v>1605416400</v>
      </c>
      <c r="J42">
        <f t="shared" si="10"/>
        <v>1605416400</v>
      </c>
      <c r="K42">
        <f t="shared" si="10"/>
        <v>1604739900</v>
      </c>
      <c r="L42">
        <f t="shared" si="10"/>
        <v>1605344700</v>
      </c>
      <c r="M42">
        <f>IF(ISNUMBER(M38),M38,$B29)</f>
        <v>1605416400</v>
      </c>
      <c r="N42">
        <f t="shared" si="10"/>
        <v>1605416400</v>
      </c>
      <c r="O42">
        <f t="shared" si="10"/>
        <v>1605416400</v>
      </c>
      <c r="P42">
        <f t="shared" si="10"/>
        <v>1604739900</v>
      </c>
      <c r="Q42">
        <f t="shared" si="10"/>
        <v>1605416400</v>
      </c>
      <c r="R42">
        <f t="shared" si="10"/>
        <v>1604739900</v>
      </c>
      <c r="S42">
        <f t="shared" si="10"/>
        <v>1605344700</v>
      </c>
      <c r="T42">
        <f t="shared" si="10"/>
        <v>1604739900</v>
      </c>
      <c r="U42">
        <f t="shared" si="10"/>
        <v>1605345900</v>
      </c>
      <c r="V42">
        <f t="shared" si="10"/>
        <v>1605344700</v>
      </c>
      <c r="W42">
        <f t="shared" si="10"/>
        <v>1604739900</v>
      </c>
      <c r="X42">
        <f t="shared" si="10"/>
        <v>1605360000</v>
      </c>
      <c r="Y42">
        <f t="shared" si="10"/>
        <v>1605345900</v>
      </c>
      <c r="Z42">
        <f t="shared" si="10"/>
        <v>1605416400</v>
      </c>
      <c r="AA42">
        <f t="shared" si="10"/>
        <v>1605344700</v>
      </c>
      <c r="AB42">
        <f t="shared" si="10"/>
        <v>1605416400</v>
      </c>
      <c r="AC42">
        <f t="shared" si="10"/>
        <v>1605416400</v>
      </c>
      <c r="AD42">
        <f t="shared" si="10"/>
        <v>1605345900</v>
      </c>
      <c r="AE42">
        <f t="shared" si="10"/>
        <v>1605345900</v>
      </c>
      <c r="AF42">
        <f t="shared" si="10"/>
        <v>1605416400</v>
      </c>
      <c r="AG42">
        <f t="shared" si="10"/>
        <v>1604739900</v>
      </c>
      <c r="AH42">
        <f t="shared" si="10"/>
        <v>1605416400</v>
      </c>
    </row>
    <row r="43" spans="2:36" x14ac:dyDescent="0.25">
      <c r="B43" s="1" t="s">
        <v>88</v>
      </c>
      <c r="C43">
        <f>IF(ISNUMBER(C39),C39,1000)</f>
        <v>909</v>
      </c>
      <c r="D43">
        <f t="shared" ref="D43:AH43" si="11">IF(ISNUMBER(D39),D39,1000)</f>
        <v>1000</v>
      </c>
      <c r="E43">
        <f t="shared" si="11"/>
        <v>1000</v>
      </c>
      <c r="F43">
        <f t="shared" si="11"/>
        <v>669</v>
      </c>
      <c r="G43">
        <f t="shared" si="11"/>
        <v>909</v>
      </c>
      <c r="H43">
        <f t="shared" si="11"/>
        <v>833</v>
      </c>
      <c r="I43">
        <f t="shared" si="11"/>
        <v>869</v>
      </c>
      <c r="J43">
        <f t="shared" si="11"/>
        <v>833</v>
      </c>
      <c r="K43">
        <f t="shared" si="11"/>
        <v>1000</v>
      </c>
      <c r="L43">
        <f t="shared" si="11"/>
        <v>909</v>
      </c>
      <c r="M43">
        <f>IF(ISNUMBER(M39),M39,1000)</f>
        <v>1000</v>
      </c>
      <c r="N43">
        <f t="shared" si="11"/>
        <v>1000</v>
      </c>
      <c r="O43">
        <f t="shared" si="11"/>
        <v>1000</v>
      </c>
      <c r="P43">
        <f t="shared" si="11"/>
        <v>952</v>
      </c>
      <c r="Q43">
        <f t="shared" si="11"/>
        <v>909</v>
      </c>
      <c r="R43">
        <f t="shared" si="11"/>
        <v>1000</v>
      </c>
      <c r="S43">
        <f t="shared" si="11"/>
        <v>909</v>
      </c>
      <c r="T43">
        <f t="shared" si="11"/>
        <v>833</v>
      </c>
      <c r="U43">
        <f t="shared" si="11"/>
        <v>909</v>
      </c>
      <c r="V43">
        <f t="shared" si="11"/>
        <v>1000</v>
      </c>
      <c r="W43">
        <f t="shared" si="11"/>
        <v>1000</v>
      </c>
      <c r="X43">
        <f t="shared" si="11"/>
        <v>833</v>
      </c>
      <c r="Y43">
        <f t="shared" si="11"/>
        <v>909</v>
      </c>
      <c r="Z43">
        <f t="shared" si="11"/>
        <v>952</v>
      </c>
      <c r="AA43">
        <f t="shared" si="11"/>
        <v>1000</v>
      </c>
      <c r="AB43">
        <f t="shared" si="11"/>
        <v>1000</v>
      </c>
      <c r="AC43">
        <f t="shared" si="11"/>
        <v>952</v>
      </c>
      <c r="AD43">
        <f t="shared" si="11"/>
        <v>909</v>
      </c>
      <c r="AE43">
        <f t="shared" si="11"/>
        <v>909</v>
      </c>
      <c r="AF43">
        <f t="shared" si="11"/>
        <v>909</v>
      </c>
      <c r="AG43">
        <f t="shared" si="11"/>
        <v>869</v>
      </c>
      <c r="AH43">
        <f t="shared" si="11"/>
        <v>1000</v>
      </c>
    </row>
    <row r="44" spans="2:36" x14ac:dyDescent="0.25">
      <c r="F44" s="5"/>
      <c r="Z44">
        <f>50*Z43/1000</f>
        <v>47.6</v>
      </c>
      <c r="AA44" s="4"/>
    </row>
    <row r="45" spans="2:36" x14ac:dyDescent="0.25">
      <c r="F45" s="5"/>
      <c r="AA45" s="4"/>
    </row>
    <row r="46" spans="2:36" x14ac:dyDescent="0.25">
      <c r="B46" s="1" t="s">
        <v>122</v>
      </c>
      <c r="C46">
        <f t="array" ref="C46:AH46">TRANSPOSE(M3:M34)</f>
        <v>2</v>
      </c>
      <c r="D46" t="e">
        <v>#N/A</v>
      </c>
      <c r="E46">
        <v>2</v>
      </c>
      <c r="F46" s="7">
        <v>0</v>
      </c>
      <c r="G46" s="7">
        <v>0</v>
      </c>
      <c r="H46" s="7" t="e">
        <v>#N/A</v>
      </c>
      <c r="I46" s="7">
        <v>2</v>
      </c>
      <c r="J46" s="7">
        <v>2</v>
      </c>
      <c r="K46" s="7" t="e">
        <v>#N/A</v>
      </c>
      <c r="L46" s="7">
        <v>2</v>
      </c>
      <c r="M46" s="7">
        <v>0</v>
      </c>
      <c r="N46" s="7">
        <v>2</v>
      </c>
      <c r="O46" s="7">
        <v>0</v>
      </c>
      <c r="P46" s="7" t="e">
        <v>#N/A</v>
      </c>
      <c r="Q46" s="7">
        <v>0</v>
      </c>
      <c r="R46" s="7" t="e">
        <v>#N/A</v>
      </c>
      <c r="S46" s="7">
        <v>0</v>
      </c>
      <c r="T46" s="7" t="e">
        <v>#N/A</v>
      </c>
      <c r="U46" s="7">
        <v>0</v>
      </c>
      <c r="V46" s="7">
        <v>2</v>
      </c>
      <c r="W46" s="7" t="e">
        <v>#N/A</v>
      </c>
      <c r="X46" s="7">
        <v>0</v>
      </c>
      <c r="Y46" s="7">
        <v>2</v>
      </c>
      <c r="Z46" s="7">
        <v>0</v>
      </c>
      <c r="AA46" s="13">
        <v>0</v>
      </c>
      <c r="AB46" s="7">
        <v>2</v>
      </c>
      <c r="AC46" s="7">
        <v>0</v>
      </c>
      <c r="AD46" s="7">
        <v>0</v>
      </c>
      <c r="AE46" s="7">
        <v>2</v>
      </c>
      <c r="AF46" s="7">
        <v>2</v>
      </c>
      <c r="AG46" t="e">
        <v>#N/A</v>
      </c>
      <c r="AH46">
        <v>2</v>
      </c>
      <c r="AJ46">
        <f>COUNT(C46:AH46)</f>
        <v>24</v>
      </c>
    </row>
    <row r="48" spans="2:36" x14ac:dyDescent="0.25">
      <c r="B48" s="1" t="s">
        <v>122</v>
      </c>
      <c r="C48">
        <f>IF(ISNUMBER(C46),C46,1)</f>
        <v>2</v>
      </c>
      <c r="D48">
        <f t="shared" ref="D48:AH48" si="12">IF(ISNUMBER(D46),D46,1)</f>
        <v>1</v>
      </c>
      <c r="E48">
        <f t="shared" si="12"/>
        <v>2</v>
      </c>
      <c r="F48">
        <f t="shared" si="12"/>
        <v>0</v>
      </c>
      <c r="G48">
        <f t="shared" si="12"/>
        <v>0</v>
      </c>
      <c r="H48">
        <f t="shared" si="12"/>
        <v>1</v>
      </c>
      <c r="I48">
        <f t="shared" si="12"/>
        <v>2</v>
      </c>
      <c r="J48">
        <f t="shared" si="12"/>
        <v>2</v>
      </c>
      <c r="K48">
        <f t="shared" si="12"/>
        <v>1</v>
      </c>
      <c r="L48">
        <f t="shared" si="12"/>
        <v>2</v>
      </c>
      <c r="M48">
        <f t="shared" si="12"/>
        <v>0</v>
      </c>
      <c r="N48">
        <f t="shared" si="12"/>
        <v>2</v>
      </c>
      <c r="O48">
        <f t="shared" si="12"/>
        <v>0</v>
      </c>
      <c r="P48">
        <f t="shared" si="12"/>
        <v>1</v>
      </c>
      <c r="Q48">
        <f t="shared" si="12"/>
        <v>0</v>
      </c>
      <c r="R48">
        <f t="shared" si="12"/>
        <v>1</v>
      </c>
      <c r="S48">
        <f t="shared" si="12"/>
        <v>0</v>
      </c>
      <c r="T48">
        <f t="shared" si="12"/>
        <v>1</v>
      </c>
      <c r="U48">
        <f t="shared" si="12"/>
        <v>0</v>
      </c>
      <c r="V48">
        <f t="shared" si="12"/>
        <v>2</v>
      </c>
      <c r="W48">
        <f t="shared" si="12"/>
        <v>1</v>
      </c>
      <c r="X48">
        <f t="shared" si="12"/>
        <v>0</v>
      </c>
      <c r="Y48">
        <f t="shared" si="12"/>
        <v>2</v>
      </c>
      <c r="Z48">
        <f t="shared" si="12"/>
        <v>0</v>
      </c>
      <c r="AA48">
        <f t="shared" si="12"/>
        <v>0</v>
      </c>
      <c r="AB48">
        <f t="shared" si="12"/>
        <v>2</v>
      </c>
      <c r="AC48">
        <f t="shared" si="12"/>
        <v>0</v>
      </c>
      <c r="AD48">
        <f t="shared" si="12"/>
        <v>0</v>
      </c>
      <c r="AE48">
        <f t="shared" si="12"/>
        <v>2</v>
      </c>
      <c r="AF48">
        <f t="shared" si="12"/>
        <v>2</v>
      </c>
      <c r="AG48">
        <f t="shared" si="12"/>
        <v>1</v>
      </c>
      <c r="AH48">
        <f t="shared" si="12"/>
        <v>2</v>
      </c>
      <c r="AJ48">
        <f>SUM(C48:AI48)</f>
        <v>32</v>
      </c>
    </row>
    <row r="51" spans="2:36" x14ac:dyDescent="0.25"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2:36" x14ac:dyDescent="0.25">
      <c r="C52">
        <v>909</v>
      </c>
      <c r="D52">
        <v>909</v>
      </c>
      <c r="E52">
        <v>909</v>
      </c>
      <c r="F52">
        <v>909</v>
      </c>
      <c r="G52">
        <v>909</v>
      </c>
      <c r="H52">
        <v>909</v>
      </c>
      <c r="I52">
        <v>909</v>
      </c>
      <c r="J52">
        <v>909</v>
      </c>
      <c r="K52">
        <v>909</v>
      </c>
      <c r="L52">
        <v>909</v>
      </c>
      <c r="M52">
        <v>909</v>
      </c>
      <c r="N52">
        <v>909</v>
      </c>
      <c r="O52">
        <v>909</v>
      </c>
      <c r="P52">
        <v>909</v>
      </c>
      <c r="Q52">
        <v>909</v>
      </c>
      <c r="R52">
        <v>909</v>
      </c>
      <c r="S52">
        <v>909</v>
      </c>
      <c r="T52">
        <v>909</v>
      </c>
      <c r="U52">
        <v>909</v>
      </c>
      <c r="V52">
        <v>909</v>
      </c>
      <c r="W52">
        <v>909</v>
      </c>
      <c r="X52">
        <v>909</v>
      </c>
      <c r="Y52">
        <v>909</v>
      </c>
      <c r="Z52">
        <v>909</v>
      </c>
      <c r="AA52">
        <v>909</v>
      </c>
      <c r="AB52">
        <v>909</v>
      </c>
      <c r="AC52">
        <v>909</v>
      </c>
      <c r="AD52">
        <v>909</v>
      </c>
      <c r="AE52">
        <v>909</v>
      </c>
      <c r="AF52">
        <v>909</v>
      </c>
      <c r="AG52">
        <v>909</v>
      </c>
      <c r="AH52">
        <v>909</v>
      </c>
    </row>
    <row r="54" spans="2:36" x14ac:dyDescent="0.25">
      <c r="C54">
        <v>16</v>
      </c>
      <c r="D54">
        <v>17</v>
      </c>
      <c r="E54">
        <v>18</v>
      </c>
      <c r="F54">
        <v>19</v>
      </c>
      <c r="G54">
        <v>20</v>
      </c>
      <c r="H54">
        <v>21</v>
      </c>
      <c r="I54">
        <v>22</v>
      </c>
      <c r="J54">
        <v>23</v>
      </c>
      <c r="K54">
        <v>24</v>
      </c>
      <c r="L54">
        <v>25</v>
      </c>
      <c r="M54">
        <v>26</v>
      </c>
      <c r="N54">
        <v>27</v>
      </c>
      <c r="O54">
        <v>28</v>
      </c>
      <c r="P54">
        <v>29</v>
      </c>
      <c r="Q54">
        <v>30</v>
      </c>
      <c r="R54">
        <v>31</v>
      </c>
      <c r="S54">
        <v>0</v>
      </c>
      <c r="T54">
        <v>1</v>
      </c>
      <c r="U54">
        <v>2</v>
      </c>
      <c r="V54">
        <v>3</v>
      </c>
      <c r="W54">
        <v>4</v>
      </c>
      <c r="X54">
        <v>5</v>
      </c>
      <c r="Y54">
        <v>6</v>
      </c>
      <c r="Z54">
        <v>7</v>
      </c>
      <c r="AA54">
        <v>8</v>
      </c>
      <c r="AB54">
        <v>9</v>
      </c>
      <c r="AC54">
        <v>10</v>
      </c>
      <c r="AD54">
        <v>11</v>
      </c>
      <c r="AE54">
        <v>12</v>
      </c>
      <c r="AF54">
        <v>13</v>
      </c>
      <c r="AG54">
        <v>14</v>
      </c>
      <c r="AH54">
        <v>15</v>
      </c>
    </row>
    <row r="55" spans="2:36" x14ac:dyDescent="0.25"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7" spans="2:36" x14ac:dyDescent="0.25">
      <c r="B57" s="1" t="s">
        <v>82</v>
      </c>
      <c r="C57">
        <v>31</v>
      </c>
      <c r="D57">
        <v>30</v>
      </c>
      <c r="E57">
        <v>29</v>
      </c>
      <c r="F57">
        <v>28</v>
      </c>
      <c r="G57">
        <v>27</v>
      </c>
      <c r="H57">
        <v>26</v>
      </c>
      <c r="I57">
        <v>25</v>
      </c>
      <c r="J57">
        <v>24</v>
      </c>
      <c r="K57">
        <v>23</v>
      </c>
      <c r="L57">
        <v>22</v>
      </c>
      <c r="M57">
        <v>21</v>
      </c>
      <c r="N57">
        <v>20</v>
      </c>
      <c r="O57">
        <v>19</v>
      </c>
      <c r="P57">
        <v>18</v>
      </c>
      <c r="Q57">
        <v>17</v>
      </c>
      <c r="R57">
        <v>16</v>
      </c>
      <c r="S57">
        <v>15</v>
      </c>
      <c r="T57">
        <v>14</v>
      </c>
      <c r="U57">
        <v>13</v>
      </c>
      <c r="V57">
        <v>12</v>
      </c>
      <c r="W57">
        <v>11</v>
      </c>
      <c r="X57">
        <v>10</v>
      </c>
      <c r="Y57">
        <v>9</v>
      </c>
      <c r="Z57">
        <v>8</v>
      </c>
      <c r="AA57">
        <v>7</v>
      </c>
      <c r="AB57">
        <v>6</v>
      </c>
      <c r="AC57">
        <v>5</v>
      </c>
      <c r="AD57">
        <v>4</v>
      </c>
      <c r="AE57" s="7">
        <v>3</v>
      </c>
      <c r="AF57">
        <v>2</v>
      </c>
      <c r="AG57">
        <v>1</v>
      </c>
      <c r="AH57">
        <v>0</v>
      </c>
    </row>
    <row r="58" spans="2:36" x14ac:dyDescent="0.25">
      <c r="B58" s="1" t="s">
        <v>94</v>
      </c>
      <c r="C58">
        <v>1605344700</v>
      </c>
      <c r="D58">
        <v>1604739900</v>
      </c>
      <c r="E58">
        <v>1605360000</v>
      </c>
      <c r="F58">
        <v>1605344700</v>
      </c>
      <c r="G58">
        <v>1605416400</v>
      </c>
      <c r="H58">
        <v>1604739900</v>
      </c>
      <c r="I58">
        <v>1605416400</v>
      </c>
      <c r="J58">
        <v>1605416400</v>
      </c>
      <c r="K58">
        <v>1604739900</v>
      </c>
      <c r="L58">
        <v>1605344700</v>
      </c>
      <c r="M58">
        <v>1605416400</v>
      </c>
      <c r="N58">
        <v>1605416400</v>
      </c>
      <c r="O58">
        <v>1605416400</v>
      </c>
      <c r="P58">
        <v>1604739900</v>
      </c>
      <c r="Q58">
        <v>1605416400</v>
      </c>
      <c r="R58">
        <v>1604739900</v>
      </c>
      <c r="S58">
        <v>1605344700</v>
      </c>
      <c r="T58">
        <v>1604739900</v>
      </c>
      <c r="U58">
        <v>1605345900</v>
      </c>
      <c r="V58">
        <v>1605344700</v>
      </c>
      <c r="W58">
        <v>1604739900</v>
      </c>
      <c r="X58">
        <v>1605360000</v>
      </c>
      <c r="Y58">
        <v>1605345900</v>
      </c>
      <c r="Z58">
        <v>1605416400</v>
      </c>
      <c r="AA58">
        <v>1605344700</v>
      </c>
      <c r="AB58">
        <v>1605416400</v>
      </c>
      <c r="AC58">
        <v>1605416400</v>
      </c>
      <c r="AD58">
        <v>1605345900</v>
      </c>
      <c r="AE58">
        <v>1605345900</v>
      </c>
      <c r="AF58">
        <v>1605416400</v>
      </c>
      <c r="AG58">
        <v>1604739900</v>
      </c>
      <c r="AH58">
        <v>1605416400</v>
      </c>
    </row>
    <row r="59" spans="2:36" x14ac:dyDescent="0.25">
      <c r="B59" s="1" t="s">
        <v>88</v>
      </c>
      <c r="C59">
        <v>909</v>
      </c>
      <c r="D59">
        <v>909</v>
      </c>
      <c r="E59">
        <v>909</v>
      </c>
      <c r="F59">
        <v>909</v>
      </c>
      <c r="G59">
        <v>909</v>
      </c>
      <c r="H59">
        <v>909</v>
      </c>
      <c r="I59">
        <v>909</v>
      </c>
      <c r="J59">
        <v>909</v>
      </c>
      <c r="K59">
        <v>909</v>
      </c>
      <c r="L59">
        <v>909</v>
      </c>
      <c r="M59">
        <v>909</v>
      </c>
      <c r="N59">
        <v>909</v>
      </c>
      <c r="O59">
        <v>909</v>
      </c>
      <c r="P59">
        <v>909</v>
      </c>
      <c r="Q59">
        <v>909</v>
      </c>
      <c r="R59">
        <v>909</v>
      </c>
      <c r="S59">
        <v>909</v>
      </c>
      <c r="T59">
        <v>909</v>
      </c>
      <c r="U59">
        <v>909</v>
      </c>
      <c r="V59">
        <v>909</v>
      </c>
      <c r="W59">
        <v>909</v>
      </c>
      <c r="X59">
        <v>909</v>
      </c>
      <c r="Y59">
        <v>909</v>
      </c>
      <c r="Z59">
        <v>909</v>
      </c>
      <c r="AA59">
        <v>909</v>
      </c>
      <c r="AB59">
        <v>909</v>
      </c>
      <c r="AC59">
        <v>909</v>
      </c>
      <c r="AD59">
        <v>909</v>
      </c>
      <c r="AE59">
        <v>909</v>
      </c>
      <c r="AF59">
        <v>909</v>
      </c>
      <c r="AG59">
        <v>909</v>
      </c>
      <c r="AH59">
        <v>909</v>
      </c>
    </row>
    <row r="61" spans="2:36" x14ac:dyDescent="0.25">
      <c r="B61" s="1" t="s">
        <v>122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J61">
        <f>SUM(C61:AI61)</f>
        <v>32</v>
      </c>
    </row>
    <row r="62" spans="2:36" x14ac:dyDescent="0.25">
      <c r="C62">
        <f>52*909/1000</f>
        <v>47.268000000000001</v>
      </c>
      <c r="F62" s="5"/>
    </row>
    <row r="63" spans="2:36" x14ac:dyDescent="0.25">
      <c r="F63" s="5"/>
    </row>
    <row r="64" spans="2:36" x14ac:dyDescent="0.25">
      <c r="B64" s="1" t="s">
        <v>82</v>
      </c>
      <c r="C64">
        <v>16</v>
      </c>
      <c r="D64">
        <v>17</v>
      </c>
      <c r="E64">
        <v>18</v>
      </c>
      <c r="F64">
        <v>19</v>
      </c>
      <c r="G64">
        <v>20</v>
      </c>
      <c r="H64">
        <v>21</v>
      </c>
      <c r="I64">
        <v>22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28</v>
      </c>
      <c r="P64">
        <v>29</v>
      </c>
      <c r="Q64">
        <v>30</v>
      </c>
      <c r="R64">
        <v>31</v>
      </c>
      <c r="S64">
        <v>0</v>
      </c>
      <c r="T64">
        <v>1</v>
      </c>
      <c r="U64">
        <v>2</v>
      </c>
      <c r="V64">
        <v>3</v>
      </c>
      <c r="W64">
        <v>4</v>
      </c>
      <c r="X64">
        <v>5</v>
      </c>
      <c r="Y64">
        <v>6</v>
      </c>
      <c r="Z64">
        <v>7</v>
      </c>
      <c r="AA64">
        <v>8</v>
      </c>
      <c r="AB64">
        <v>9</v>
      </c>
      <c r="AC64">
        <v>10</v>
      </c>
      <c r="AD64">
        <v>11</v>
      </c>
      <c r="AE64" s="7">
        <v>12</v>
      </c>
      <c r="AF64">
        <v>13</v>
      </c>
      <c r="AG64">
        <v>14</v>
      </c>
      <c r="AH64">
        <v>15</v>
      </c>
    </row>
    <row r="65" spans="2:36" x14ac:dyDescent="0.25">
      <c r="B65" s="1" t="s">
        <v>94</v>
      </c>
      <c r="C65">
        <v>1605344700</v>
      </c>
      <c r="D65">
        <v>1604739900</v>
      </c>
      <c r="E65">
        <v>1605360000</v>
      </c>
      <c r="F65">
        <v>1605344700</v>
      </c>
      <c r="G65">
        <v>1605416400</v>
      </c>
      <c r="H65">
        <v>1604739900</v>
      </c>
      <c r="I65">
        <v>1605416400</v>
      </c>
      <c r="J65">
        <v>1605416400</v>
      </c>
      <c r="K65">
        <v>1604739900</v>
      </c>
      <c r="L65">
        <v>1605344700</v>
      </c>
      <c r="M65">
        <v>1605416400</v>
      </c>
      <c r="N65">
        <v>1605416400</v>
      </c>
      <c r="O65">
        <v>1605416400</v>
      </c>
      <c r="P65">
        <v>1604739900</v>
      </c>
      <c r="Q65">
        <v>1605416400</v>
      </c>
      <c r="R65">
        <v>1604739900</v>
      </c>
      <c r="S65">
        <v>1605344700</v>
      </c>
      <c r="T65">
        <v>1604739900</v>
      </c>
      <c r="U65">
        <v>1605345900</v>
      </c>
      <c r="V65">
        <v>1605344700</v>
      </c>
      <c r="W65">
        <v>1604739900</v>
      </c>
      <c r="X65">
        <v>1605360000</v>
      </c>
      <c r="Y65">
        <v>1605345900</v>
      </c>
      <c r="Z65">
        <v>1605416400</v>
      </c>
      <c r="AA65">
        <v>1605344700</v>
      </c>
      <c r="AB65">
        <v>1605416400</v>
      </c>
      <c r="AC65">
        <v>1605416400</v>
      </c>
      <c r="AD65">
        <v>1605345900</v>
      </c>
      <c r="AE65">
        <v>1605345900</v>
      </c>
      <c r="AF65">
        <v>1605416400</v>
      </c>
      <c r="AG65">
        <v>1604739900</v>
      </c>
      <c r="AH65">
        <v>1605416400</v>
      </c>
    </row>
    <row r="66" spans="2:36" x14ac:dyDescent="0.25">
      <c r="B66" s="1" t="s">
        <v>88</v>
      </c>
      <c r="C66">
        <v>909</v>
      </c>
      <c r="D66">
        <v>909</v>
      </c>
      <c r="E66">
        <v>909</v>
      </c>
      <c r="F66">
        <v>909</v>
      </c>
      <c r="G66">
        <v>909</v>
      </c>
      <c r="H66">
        <v>909</v>
      </c>
      <c r="I66">
        <v>909</v>
      </c>
      <c r="J66">
        <v>909</v>
      </c>
      <c r="K66">
        <v>909</v>
      </c>
      <c r="L66">
        <v>909</v>
      </c>
      <c r="M66">
        <v>909</v>
      </c>
      <c r="N66">
        <v>909</v>
      </c>
      <c r="O66">
        <v>909</v>
      </c>
      <c r="P66">
        <v>909</v>
      </c>
      <c r="Q66">
        <v>909</v>
      </c>
      <c r="R66">
        <v>909</v>
      </c>
      <c r="S66">
        <v>909</v>
      </c>
      <c r="T66">
        <v>909</v>
      </c>
      <c r="U66">
        <v>909</v>
      </c>
      <c r="V66">
        <v>909</v>
      </c>
      <c r="W66">
        <v>909</v>
      </c>
      <c r="X66">
        <v>909</v>
      </c>
      <c r="Y66">
        <v>909</v>
      </c>
      <c r="Z66">
        <v>909</v>
      </c>
      <c r="AA66">
        <v>909</v>
      </c>
      <c r="AB66">
        <v>909</v>
      </c>
      <c r="AC66">
        <v>909</v>
      </c>
      <c r="AD66">
        <v>909</v>
      </c>
      <c r="AE66">
        <v>909</v>
      </c>
      <c r="AF66">
        <v>909</v>
      </c>
      <c r="AG66">
        <v>909</v>
      </c>
      <c r="AH66">
        <v>909</v>
      </c>
    </row>
    <row r="68" spans="2:36" x14ac:dyDescent="0.25">
      <c r="B68" s="1" t="s">
        <v>122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f>SUM(C68:AI68)</f>
        <v>32</v>
      </c>
    </row>
    <row r="71" spans="2:36" x14ac:dyDescent="0.25">
      <c r="B71" s="1" t="s">
        <v>82</v>
      </c>
      <c r="C71">
        <v>16</v>
      </c>
      <c r="D71">
        <v>17</v>
      </c>
      <c r="E71">
        <v>18</v>
      </c>
      <c r="F71">
        <v>19</v>
      </c>
      <c r="G71">
        <v>20</v>
      </c>
      <c r="H71">
        <v>21</v>
      </c>
      <c r="I71">
        <v>22</v>
      </c>
      <c r="J71">
        <v>23</v>
      </c>
      <c r="K71">
        <v>24</v>
      </c>
      <c r="L71">
        <v>25</v>
      </c>
      <c r="M71">
        <v>26</v>
      </c>
      <c r="N71">
        <v>27</v>
      </c>
      <c r="O71">
        <v>28</v>
      </c>
      <c r="P71">
        <v>29</v>
      </c>
      <c r="Q71">
        <v>30</v>
      </c>
      <c r="R71">
        <v>31</v>
      </c>
      <c r="S71">
        <v>0</v>
      </c>
      <c r="T71">
        <v>1</v>
      </c>
      <c r="U71">
        <v>2</v>
      </c>
      <c r="V71">
        <v>3</v>
      </c>
      <c r="W71">
        <v>4</v>
      </c>
      <c r="X71">
        <v>5</v>
      </c>
      <c r="Y71">
        <v>6</v>
      </c>
      <c r="Z71">
        <v>7</v>
      </c>
      <c r="AA71">
        <v>8</v>
      </c>
      <c r="AB71">
        <v>9</v>
      </c>
      <c r="AC71">
        <v>10</v>
      </c>
      <c r="AD71">
        <v>11</v>
      </c>
      <c r="AE71" s="7">
        <v>12</v>
      </c>
      <c r="AF71">
        <v>13</v>
      </c>
      <c r="AG71">
        <v>14</v>
      </c>
      <c r="AH71">
        <v>15</v>
      </c>
    </row>
    <row r="72" spans="2:36" x14ac:dyDescent="0.25">
      <c r="B72" s="1" t="s">
        <v>94</v>
      </c>
      <c r="C72">
        <v>1605344700</v>
      </c>
      <c r="D72">
        <v>1605344700</v>
      </c>
      <c r="E72">
        <v>1605344700</v>
      </c>
      <c r="F72">
        <v>1605344700</v>
      </c>
      <c r="G72">
        <v>1605344700</v>
      </c>
      <c r="H72">
        <v>1605344700</v>
      </c>
      <c r="I72">
        <v>1605344700</v>
      </c>
      <c r="J72">
        <v>1605344700</v>
      </c>
      <c r="K72">
        <v>1605344700</v>
      </c>
      <c r="L72">
        <v>1605344700</v>
      </c>
      <c r="M72">
        <v>1605344700</v>
      </c>
      <c r="N72">
        <v>1605344700</v>
      </c>
      <c r="O72">
        <v>1605344700</v>
      </c>
      <c r="P72">
        <v>1605344700</v>
      </c>
      <c r="Q72">
        <v>1605344700</v>
      </c>
      <c r="R72">
        <v>1605344700</v>
      </c>
      <c r="S72">
        <v>1605344700</v>
      </c>
      <c r="T72">
        <v>1605344700</v>
      </c>
      <c r="U72">
        <v>1605344700</v>
      </c>
      <c r="V72">
        <v>1605344700</v>
      </c>
      <c r="W72">
        <v>1605344700</v>
      </c>
      <c r="X72">
        <v>1605344700</v>
      </c>
      <c r="Y72">
        <v>1605344700</v>
      </c>
      <c r="Z72">
        <v>1605344700</v>
      </c>
      <c r="AA72">
        <v>1605344700</v>
      </c>
      <c r="AB72">
        <v>1605344700</v>
      </c>
      <c r="AC72">
        <v>1605344700</v>
      </c>
      <c r="AD72">
        <v>1605344700</v>
      </c>
      <c r="AE72">
        <v>1605344700</v>
      </c>
      <c r="AF72">
        <v>1605344700</v>
      </c>
      <c r="AG72">
        <v>1605344700</v>
      </c>
      <c r="AH72">
        <v>1605344700</v>
      </c>
    </row>
    <row r="73" spans="2:36" x14ac:dyDescent="0.25">
      <c r="B73" s="1" t="s">
        <v>88</v>
      </c>
      <c r="C73">
        <v>909</v>
      </c>
      <c r="D73">
        <v>909</v>
      </c>
      <c r="E73">
        <v>909</v>
      </c>
      <c r="F73">
        <v>909</v>
      </c>
      <c r="G73">
        <v>909</v>
      </c>
      <c r="H73">
        <v>909</v>
      </c>
      <c r="I73">
        <v>909</v>
      </c>
      <c r="J73">
        <v>909</v>
      </c>
      <c r="K73">
        <v>909</v>
      </c>
      <c r="L73">
        <v>909</v>
      </c>
      <c r="M73">
        <v>909</v>
      </c>
      <c r="N73">
        <v>909</v>
      </c>
      <c r="O73">
        <v>909</v>
      </c>
      <c r="P73">
        <v>909</v>
      </c>
      <c r="Q73">
        <v>909</v>
      </c>
      <c r="R73">
        <v>909</v>
      </c>
      <c r="S73">
        <v>909</v>
      </c>
      <c r="T73">
        <v>909</v>
      </c>
      <c r="U73">
        <v>909</v>
      </c>
      <c r="V73">
        <v>909</v>
      </c>
      <c r="W73">
        <v>909</v>
      </c>
      <c r="X73">
        <v>909</v>
      </c>
      <c r="Y73">
        <v>909</v>
      </c>
      <c r="Z73">
        <v>909</v>
      </c>
      <c r="AA73">
        <v>909</v>
      </c>
      <c r="AB73">
        <v>909</v>
      </c>
      <c r="AC73">
        <v>909</v>
      </c>
      <c r="AD73">
        <v>909</v>
      </c>
      <c r="AE73">
        <v>909</v>
      </c>
      <c r="AF73">
        <v>909</v>
      </c>
      <c r="AG73">
        <v>909</v>
      </c>
      <c r="AH73">
        <v>909</v>
      </c>
    </row>
    <row r="75" spans="2:36" x14ac:dyDescent="0.25">
      <c r="B75" s="1" t="s">
        <v>122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7" spans="2:36" x14ac:dyDescent="0.25">
      <c r="F77" s="5"/>
    </row>
    <row r="78" spans="2:36" x14ac:dyDescent="0.25">
      <c r="F78" s="5"/>
    </row>
    <row r="79" spans="2:36" x14ac:dyDescent="0.25">
      <c r="F79" s="5"/>
    </row>
    <row r="80" spans="2:36" x14ac:dyDescent="0.25">
      <c r="F80" s="5"/>
    </row>
    <row r="81" spans="6:6" x14ac:dyDescent="0.25">
      <c r="F81" s="5"/>
    </row>
    <row r="83" spans="6:6" x14ac:dyDescent="0.25">
      <c r="F83" s="5"/>
    </row>
    <row r="92" spans="6:6" x14ac:dyDescent="0.25">
      <c r="F92" s="5"/>
    </row>
    <row r="93" spans="6:6" x14ac:dyDescent="0.25">
      <c r="F93" s="5"/>
    </row>
    <row r="94" spans="6:6" x14ac:dyDescent="0.25">
      <c r="F94" s="5"/>
    </row>
    <row r="95" spans="6:6" x14ac:dyDescent="0.25">
      <c r="F95" s="5"/>
    </row>
    <row r="96" spans="6:6" x14ac:dyDescent="0.25">
      <c r="F96" s="5"/>
    </row>
    <row r="98" spans="6:6" x14ac:dyDescent="0.25">
      <c r="F98" s="5"/>
    </row>
    <row r="107" spans="6:6" x14ac:dyDescent="0.25">
      <c r="F107" s="5"/>
    </row>
    <row r="108" spans="6:6" x14ac:dyDescent="0.25">
      <c r="F108" s="5"/>
    </row>
    <row r="109" spans="6:6" x14ac:dyDescent="0.25">
      <c r="F109" s="5"/>
    </row>
    <row r="110" spans="6:6" x14ac:dyDescent="0.25">
      <c r="F110" s="5"/>
    </row>
    <row r="111" spans="6:6" x14ac:dyDescent="0.25">
      <c r="F111" s="5"/>
    </row>
    <row r="113" spans="6:6" x14ac:dyDescent="0.25">
      <c r="F113" s="5"/>
    </row>
    <row r="121" spans="6:6" x14ac:dyDescent="0.25">
      <c r="F121" s="5"/>
    </row>
    <row r="122" spans="6:6" x14ac:dyDescent="0.25">
      <c r="F122" s="5"/>
    </row>
    <row r="123" spans="6:6" x14ac:dyDescent="0.25">
      <c r="F123" s="5"/>
    </row>
    <row r="124" spans="6:6" x14ac:dyDescent="0.25">
      <c r="F124" s="5"/>
    </row>
    <row r="125" spans="6:6" x14ac:dyDescent="0.25">
      <c r="F125" s="5"/>
    </row>
    <row r="127" spans="6:6" x14ac:dyDescent="0.25">
      <c r="F127" s="5"/>
    </row>
    <row r="136" spans="6:6" x14ac:dyDescent="0.25">
      <c r="F136" s="5"/>
    </row>
    <row r="137" spans="6:6" x14ac:dyDescent="0.25">
      <c r="F137" s="5"/>
    </row>
    <row r="138" spans="6:6" x14ac:dyDescent="0.25">
      <c r="F138" s="5"/>
    </row>
    <row r="139" spans="6:6" x14ac:dyDescent="0.25">
      <c r="F139" s="5"/>
    </row>
    <row r="140" spans="6:6" x14ac:dyDescent="0.25">
      <c r="F140" s="5"/>
    </row>
    <row r="142" spans="6:6" x14ac:dyDescent="0.25">
      <c r="F142" s="5"/>
    </row>
    <row r="149" spans="6:6" x14ac:dyDescent="0.25">
      <c r="F149" s="5"/>
    </row>
    <row r="150" spans="6:6" x14ac:dyDescent="0.25">
      <c r="F150" s="5"/>
    </row>
    <row r="151" spans="6:6" x14ac:dyDescent="0.25">
      <c r="F151" s="5"/>
    </row>
    <row r="152" spans="6:6" x14ac:dyDescent="0.25">
      <c r="F152" s="5"/>
    </row>
    <row r="153" spans="6:6" x14ac:dyDescent="0.25">
      <c r="F153" s="5"/>
    </row>
    <row r="154" spans="6:6" x14ac:dyDescent="0.25">
      <c r="F154" s="5"/>
    </row>
    <row r="155" spans="6:6" x14ac:dyDescent="0.25">
      <c r="F155" s="5"/>
    </row>
    <row r="157" spans="6:6" x14ac:dyDescent="0.25">
      <c r="F157" s="5"/>
    </row>
    <row r="166" spans="6:6" x14ac:dyDescent="0.25">
      <c r="F166" s="5"/>
    </row>
    <row r="167" spans="6:6" x14ac:dyDescent="0.25">
      <c r="F167" s="5"/>
    </row>
    <row r="168" spans="6:6" x14ac:dyDescent="0.25">
      <c r="F168" s="5"/>
    </row>
    <row r="169" spans="6:6" x14ac:dyDescent="0.25">
      <c r="F169" s="5"/>
    </row>
    <row r="171" spans="6:6" x14ac:dyDescent="0.25">
      <c r="F171" s="5"/>
    </row>
    <row r="172" spans="6:6" x14ac:dyDescent="0.25">
      <c r="F172" s="5"/>
    </row>
    <row r="173" spans="6:6" x14ac:dyDescent="0.25">
      <c r="F173" s="5"/>
    </row>
    <row r="182" spans="6:6" x14ac:dyDescent="0.25">
      <c r="F182" s="5"/>
    </row>
    <row r="183" spans="6:6" x14ac:dyDescent="0.25">
      <c r="F183" s="5"/>
    </row>
    <row r="184" spans="6:6" x14ac:dyDescent="0.25">
      <c r="F184" s="5"/>
    </row>
    <row r="185" spans="6:6" x14ac:dyDescent="0.25">
      <c r="F185" s="5"/>
    </row>
    <row r="186" spans="6:6" x14ac:dyDescent="0.25">
      <c r="F186" s="5"/>
    </row>
    <row r="188" spans="6:6" x14ac:dyDescent="0.25">
      <c r="F188" s="5"/>
    </row>
    <row r="197" spans="6:6" x14ac:dyDescent="0.25">
      <c r="F197" s="5"/>
    </row>
    <row r="198" spans="6:6" x14ac:dyDescent="0.25">
      <c r="F198" s="5"/>
    </row>
    <row r="199" spans="6:6" x14ac:dyDescent="0.25">
      <c r="F199" s="5"/>
    </row>
    <row r="200" spans="6:6" x14ac:dyDescent="0.25">
      <c r="F200" s="5"/>
    </row>
    <row r="201" spans="6:6" x14ac:dyDescent="0.25">
      <c r="F201" s="5"/>
    </row>
    <row r="202" spans="6:6" x14ac:dyDescent="0.25">
      <c r="F202" s="5"/>
    </row>
    <row r="204" spans="6:6" x14ac:dyDescent="0.25">
      <c r="F204" s="5"/>
    </row>
    <row r="213" spans="6:6" x14ac:dyDescent="0.25">
      <c r="F213" s="5"/>
    </row>
    <row r="214" spans="6:6" x14ac:dyDescent="0.25">
      <c r="F214" s="5"/>
    </row>
    <row r="215" spans="6:6" x14ac:dyDescent="0.25">
      <c r="F215" s="5"/>
    </row>
    <row r="216" spans="6:6" x14ac:dyDescent="0.25">
      <c r="F216" s="5"/>
    </row>
    <row r="217" spans="6:6" x14ac:dyDescent="0.25">
      <c r="F217" s="5"/>
    </row>
    <row r="218" spans="6:6" x14ac:dyDescent="0.25">
      <c r="F218" s="5"/>
    </row>
    <row r="219" spans="6:6" x14ac:dyDescent="0.25">
      <c r="F219" s="5"/>
    </row>
    <row r="221" spans="6:6" x14ac:dyDescent="0.25">
      <c r="F221" s="5"/>
    </row>
    <row r="233" spans="6:6" x14ac:dyDescent="0.25">
      <c r="F233" s="5"/>
    </row>
    <row r="234" spans="6:6" x14ac:dyDescent="0.25">
      <c r="F234" s="5"/>
    </row>
    <row r="235" spans="6:6" x14ac:dyDescent="0.25">
      <c r="F235" s="5"/>
    </row>
    <row r="236" spans="6:6" x14ac:dyDescent="0.25">
      <c r="F236" s="5"/>
    </row>
    <row r="250" spans="6:6" x14ac:dyDescent="0.25">
      <c r="F250" s="5"/>
    </row>
    <row r="251" spans="6:6" x14ac:dyDescent="0.25">
      <c r="F251" s="5"/>
    </row>
    <row r="252" spans="6:6" x14ac:dyDescent="0.25">
      <c r="F252" s="5"/>
    </row>
    <row r="253" spans="6:6" x14ac:dyDescent="0.25">
      <c r="F253" s="5"/>
    </row>
    <row r="268" spans="6:10" x14ac:dyDescent="0.25">
      <c r="F268" s="5"/>
    </row>
    <row r="269" spans="6:10" x14ac:dyDescent="0.25">
      <c r="F269" s="5"/>
    </row>
    <row r="270" spans="6:10" x14ac:dyDescent="0.25">
      <c r="F270" s="5"/>
    </row>
    <row r="271" spans="6:10" x14ac:dyDescent="0.25">
      <c r="H271" s="3"/>
      <c r="I271" s="3"/>
      <c r="J271" s="3"/>
    </row>
  </sheetData>
  <sortState xmlns:xlrd2="http://schemas.microsoft.com/office/spreadsheetml/2017/richdata2" columnSort="1" ref="S54:AH54">
    <sortCondition ref="S54:AH54"/>
  </sortState>
  <conditionalFormatting sqref="N3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76E2-17EB-4371-8F22-8E4B4465C0D4}">
  <dimension ref="A2:AJ47"/>
  <sheetViews>
    <sheetView zoomScale="75" zoomScaleNormal="75" workbookViewId="0">
      <pane xSplit="15270" ySplit="4485" topLeftCell="AE34"/>
      <selection activeCell="F7" sqref="F7"/>
      <selection pane="topRight" activeCell="J3" sqref="J3"/>
      <selection pane="bottomLeft" activeCell="D42" sqref="D42"/>
      <selection pane="bottomRight" activeCell="AI46" sqref="AI46"/>
    </sheetView>
  </sheetViews>
  <sheetFormatPr defaultRowHeight="15" x14ac:dyDescent="0.25"/>
  <cols>
    <col min="3" max="3" width="17.42578125" bestFit="1" customWidth="1"/>
    <col min="4" max="4" width="13.7109375" customWidth="1"/>
    <col min="5" max="6" width="17.42578125" bestFit="1" customWidth="1"/>
    <col min="7" max="7" width="25.5703125" customWidth="1"/>
    <col min="8" max="8" width="20" customWidth="1"/>
    <col min="9" max="17" width="17.42578125" bestFit="1" customWidth="1"/>
    <col min="18" max="18" width="23.140625" bestFit="1" customWidth="1"/>
    <col min="19" max="19" width="17.42578125" bestFit="1" customWidth="1"/>
    <col min="20" max="20" width="20.5703125" bestFit="1" customWidth="1"/>
    <col min="21" max="34" width="17.42578125" bestFit="1" customWidth="1"/>
  </cols>
  <sheetData>
    <row r="2" spans="1:22" x14ac:dyDescent="0.25">
      <c r="K2" t="s">
        <v>82</v>
      </c>
      <c r="L2" t="s">
        <v>94</v>
      </c>
      <c r="M2" t="s">
        <v>88</v>
      </c>
      <c r="N2" t="s">
        <v>122</v>
      </c>
    </row>
    <row r="3" spans="1:22" x14ac:dyDescent="0.25">
      <c r="F3" s="6" t="s">
        <v>134</v>
      </c>
      <c r="G3" s="6" t="s">
        <v>135</v>
      </c>
      <c r="J3">
        <v>0</v>
      </c>
      <c r="K3">
        <v>3</v>
      </c>
      <c r="L3">
        <f>IF(ISNUMBER(O3),O3,1604739900)</f>
        <v>1605370074</v>
      </c>
      <c r="M3">
        <v>909</v>
      </c>
      <c r="N3">
        <v>2</v>
      </c>
      <c r="O3">
        <f>VLOOKUP(J3,F$12:G$21,2,FALSE)</f>
        <v>1605370074</v>
      </c>
      <c r="P3">
        <f t="array" ref="P3:P34">TRANSPOSE(C40:AH40)</f>
        <v>1605627168</v>
      </c>
      <c r="Q3" s="6">
        <v>0</v>
      </c>
      <c r="R3" s="4" t="s">
        <v>18</v>
      </c>
    </row>
    <row r="4" spans="1:22" x14ac:dyDescent="0.25">
      <c r="B4">
        <v>1</v>
      </c>
      <c r="C4" t="s">
        <v>131</v>
      </c>
      <c r="D4">
        <v>0</v>
      </c>
      <c r="E4">
        <f>VLOOKUP(D4,J$3:K$34,2,FALSE)</f>
        <v>3</v>
      </c>
      <c r="F4" s="9" t="s">
        <v>123</v>
      </c>
      <c r="G4" t="s">
        <v>21</v>
      </c>
      <c r="H4" s="6" t="s">
        <v>136</v>
      </c>
      <c r="J4">
        <v>1</v>
      </c>
      <c r="K4">
        <v>1</v>
      </c>
      <c r="L4">
        <f t="shared" ref="L4:L34" si="0">IF(ISNUMBER(O4),O4,1604739900)</f>
        <v>1604739900</v>
      </c>
      <c r="M4">
        <v>1000</v>
      </c>
      <c r="N4">
        <v>1</v>
      </c>
      <c r="O4" t="e">
        <f t="shared" ref="O4:O34" si="1">VLOOKUP(J4,F$12:G$21,2,FALSE)</f>
        <v>#N/A</v>
      </c>
      <c r="P4">
        <v>1604739900</v>
      </c>
      <c r="Q4" s="6">
        <v>1</v>
      </c>
      <c r="R4" s="4" t="s">
        <v>19</v>
      </c>
    </row>
    <row r="5" spans="1:22" x14ac:dyDescent="0.25">
      <c r="B5">
        <v>2</v>
      </c>
      <c r="C5" t="s">
        <v>131</v>
      </c>
      <c r="D5">
        <v>4</v>
      </c>
      <c r="E5">
        <f t="shared" ref="E5:E8" si="2">VLOOKUP(D5,J$3:K$34,2,FALSE)</f>
        <v>29</v>
      </c>
      <c r="F5" s="9" t="s">
        <v>124</v>
      </c>
      <c r="G5" s="32" t="s">
        <v>47</v>
      </c>
      <c r="H5" s="6" t="s">
        <v>137</v>
      </c>
      <c r="J5">
        <v>2</v>
      </c>
      <c r="K5">
        <v>21</v>
      </c>
      <c r="L5">
        <f t="shared" si="0"/>
        <v>1604739900</v>
      </c>
      <c r="M5">
        <v>1000</v>
      </c>
      <c r="N5">
        <v>2</v>
      </c>
      <c r="O5" t="e">
        <f t="shared" si="1"/>
        <v>#N/A</v>
      </c>
      <c r="P5">
        <v>1604739900</v>
      </c>
      <c r="Q5" s="6">
        <v>2</v>
      </c>
      <c r="R5" s="4" t="s">
        <v>20</v>
      </c>
    </row>
    <row r="6" spans="1:22" x14ac:dyDescent="0.25">
      <c r="B6">
        <v>3</v>
      </c>
      <c r="C6" t="s">
        <v>132</v>
      </c>
      <c r="D6">
        <v>6</v>
      </c>
      <c r="E6">
        <f t="shared" si="2"/>
        <v>26</v>
      </c>
      <c r="F6" s="9" t="s">
        <v>125</v>
      </c>
      <c r="G6" s="9" t="s">
        <v>128</v>
      </c>
      <c r="H6" s="6" t="s">
        <v>136</v>
      </c>
      <c r="I6">
        <v>869</v>
      </c>
      <c r="J6">
        <v>3</v>
      </c>
      <c r="K6">
        <v>0</v>
      </c>
      <c r="L6">
        <f t="shared" si="0"/>
        <v>1605370074</v>
      </c>
      <c r="M6">
        <v>669</v>
      </c>
      <c r="N6">
        <v>0</v>
      </c>
      <c r="O6">
        <f t="shared" si="1"/>
        <v>1605370074</v>
      </c>
      <c r="P6">
        <v>1605627168</v>
      </c>
      <c r="Q6" s="6">
        <v>3</v>
      </c>
      <c r="R6" s="4" t="s">
        <v>21</v>
      </c>
    </row>
    <row r="7" spans="1:22" x14ac:dyDescent="0.25">
      <c r="A7" t="s">
        <v>142</v>
      </c>
      <c r="B7">
        <v>4</v>
      </c>
      <c r="C7" t="s">
        <v>133</v>
      </c>
      <c r="D7">
        <v>10</v>
      </c>
      <c r="E7">
        <f t="shared" si="2"/>
        <v>31</v>
      </c>
      <c r="F7" s="9" t="s">
        <v>126</v>
      </c>
      <c r="G7" s="9" t="s">
        <v>129</v>
      </c>
      <c r="H7" s="6" t="s">
        <v>137</v>
      </c>
      <c r="I7">
        <v>1000</v>
      </c>
      <c r="J7">
        <v>4</v>
      </c>
      <c r="K7">
        <v>29</v>
      </c>
      <c r="L7">
        <f t="shared" si="0"/>
        <v>1605370074</v>
      </c>
      <c r="M7">
        <v>909</v>
      </c>
      <c r="N7">
        <v>0</v>
      </c>
      <c r="O7">
        <f t="shared" si="1"/>
        <v>1605370074</v>
      </c>
      <c r="P7">
        <v>1605627168</v>
      </c>
      <c r="Q7" s="6">
        <v>4</v>
      </c>
      <c r="R7" s="4" t="s">
        <v>22</v>
      </c>
    </row>
    <row r="8" spans="1:22" x14ac:dyDescent="0.25">
      <c r="A8" t="s">
        <v>142</v>
      </c>
      <c r="B8">
        <v>5</v>
      </c>
      <c r="C8" t="s">
        <v>133</v>
      </c>
      <c r="D8">
        <v>11</v>
      </c>
      <c r="E8">
        <f t="shared" si="2"/>
        <v>14</v>
      </c>
      <c r="F8" s="9" t="s">
        <v>127</v>
      </c>
      <c r="G8" s="9" t="s">
        <v>130</v>
      </c>
      <c r="H8" s="6" t="s">
        <v>136</v>
      </c>
      <c r="I8">
        <v>1000</v>
      </c>
      <c r="J8">
        <v>5</v>
      </c>
      <c r="K8">
        <v>5</v>
      </c>
      <c r="L8">
        <f t="shared" si="0"/>
        <v>1604739900</v>
      </c>
      <c r="M8">
        <v>833</v>
      </c>
      <c r="N8">
        <v>1</v>
      </c>
      <c r="O8" t="e">
        <f t="shared" si="1"/>
        <v>#N/A</v>
      </c>
      <c r="P8">
        <v>1604739900</v>
      </c>
      <c r="Q8" s="6">
        <v>5</v>
      </c>
      <c r="R8" s="4" t="s">
        <v>23</v>
      </c>
    </row>
    <row r="9" spans="1:22" x14ac:dyDescent="0.25">
      <c r="J9">
        <v>6</v>
      </c>
      <c r="K9">
        <v>26</v>
      </c>
      <c r="L9">
        <f t="shared" si="0"/>
        <v>1605370074</v>
      </c>
      <c r="M9">
        <v>869</v>
      </c>
      <c r="N9">
        <v>2</v>
      </c>
      <c r="O9">
        <f t="shared" si="1"/>
        <v>1605370074</v>
      </c>
      <c r="P9">
        <v>1605627168</v>
      </c>
      <c r="Q9" s="6">
        <v>6</v>
      </c>
      <c r="R9" s="4" t="s">
        <v>24</v>
      </c>
      <c r="T9" t="s">
        <v>158</v>
      </c>
      <c r="U9" t="s">
        <v>157</v>
      </c>
      <c r="V9" t="s">
        <v>157</v>
      </c>
    </row>
    <row r="10" spans="1:22" x14ac:dyDescent="0.25">
      <c r="J10">
        <v>7</v>
      </c>
      <c r="K10">
        <v>12</v>
      </c>
      <c r="L10">
        <f t="shared" si="0"/>
        <v>1604739900</v>
      </c>
      <c r="M10">
        <v>833</v>
      </c>
      <c r="N10">
        <v>2</v>
      </c>
      <c r="O10" t="e">
        <f t="shared" si="1"/>
        <v>#N/A</v>
      </c>
      <c r="P10">
        <v>1604739900</v>
      </c>
      <c r="Q10" s="6">
        <v>7</v>
      </c>
      <c r="R10" s="4" t="s">
        <v>25</v>
      </c>
      <c r="T10" t="s">
        <v>150</v>
      </c>
      <c r="U10" t="s">
        <v>153</v>
      </c>
      <c r="V10" t="s">
        <v>153</v>
      </c>
    </row>
    <row r="11" spans="1:22" x14ac:dyDescent="0.25">
      <c r="J11">
        <v>8</v>
      </c>
      <c r="K11">
        <v>8</v>
      </c>
      <c r="L11">
        <f t="shared" si="0"/>
        <v>1604739900</v>
      </c>
      <c r="M11">
        <v>1000</v>
      </c>
      <c r="N11">
        <v>1</v>
      </c>
      <c r="O11" t="e">
        <f t="shared" si="1"/>
        <v>#N/A</v>
      </c>
      <c r="P11">
        <v>1604739900</v>
      </c>
      <c r="Q11" s="6">
        <v>8</v>
      </c>
      <c r="R11" s="4" t="s">
        <v>26</v>
      </c>
      <c r="T11" t="s">
        <v>151</v>
      </c>
      <c r="U11" t="s">
        <v>154</v>
      </c>
      <c r="V11" t="s">
        <v>154</v>
      </c>
    </row>
    <row r="12" spans="1:22" ht="16.5" x14ac:dyDescent="0.3">
      <c r="F12" s="7">
        <v>0</v>
      </c>
      <c r="G12" s="28">
        <v>1605370074</v>
      </c>
      <c r="H12" t="str">
        <f>VLOOKUP(F12,Q$3:R$34,2,FALSE)</f>
        <v>Arizona Cardinals</v>
      </c>
      <c r="J12">
        <v>9</v>
      </c>
      <c r="K12">
        <v>16</v>
      </c>
      <c r="L12">
        <f t="shared" si="0"/>
        <v>1604739900</v>
      </c>
      <c r="M12">
        <v>909</v>
      </c>
      <c r="N12">
        <v>2</v>
      </c>
      <c r="O12" t="e">
        <f t="shared" si="1"/>
        <v>#N/A</v>
      </c>
      <c r="P12">
        <v>1604739900</v>
      </c>
      <c r="Q12" s="6">
        <v>9</v>
      </c>
      <c r="R12" s="4" t="s">
        <v>27</v>
      </c>
      <c r="T12" t="s">
        <v>152</v>
      </c>
      <c r="U12" t="s">
        <v>155</v>
      </c>
      <c r="V12" t="s">
        <v>156</v>
      </c>
    </row>
    <row r="13" spans="1:22" ht="16.5" x14ac:dyDescent="0.3">
      <c r="F13" s="7">
        <v>3</v>
      </c>
      <c r="G13" s="28">
        <v>1605370074</v>
      </c>
      <c r="H13" t="str">
        <f t="shared" ref="H13:H21" si="3">VLOOKUP(F13,Q$3:R$34,2,FALSE)</f>
        <v>Buffalo Bills</v>
      </c>
      <c r="J13">
        <v>10</v>
      </c>
      <c r="K13">
        <v>31</v>
      </c>
      <c r="L13">
        <f t="shared" si="0"/>
        <v>1605370074</v>
      </c>
      <c r="M13">
        <v>1000</v>
      </c>
      <c r="N13">
        <v>0</v>
      </c>
      <c r="O13">
        <f t="shared" si="1"/>
        <v>1605370074</v>
      </c>
      <c r="P13">
        <v>1605627168</v>
      </c>
      <c r="Q13" s="6">
        <v>10</v>
      </c>
      <c r="R13" s="4" t="s">
        <v>28</v>
      </c>
      <c r="T13" t="s">
        <v>159</v>
      </c>
      <c r="U13" t="s">
        <v>160</v>
      </c>
      <c r="V13" t="s">
        <v>160</v>
      </c>
    </row>
    <row r="14" spans="1:22" ht="16.5" x14ac:dyDescent="0.3">
      <c r="B14" t="s">
        <v>139</v>
      </c>
      <c r="C14" t="s">
        <v>138</v>
      </c>
      <c r="F14" s="7">
        <v>4</v>
      </c>
      <c r="G14" s="28">
        <v>1605370074</v>
      </c>
      <c r="H14" t="str">
        <f t="shared" si="3"/>
        <v>Carolina Panthers</v>
      </c>
      <c r="J14">
        <v>11</v>
      </c>
      <c r="K14">
        <v>14</v>
      </c>
      <c r="L14">
        <f t="shared" si="0"/>
        <v>1605370074</v>
      </c>
      <c r="M14">
        <v>1000</v>
      </c>
      <c r="N14">
        <v>2</v>
      </c>
      <c r="O14">
        <f t="shared" si="1"/>
        <v>1605370074</v>
      </c>
      <c r="P14">
        <v>1605627168</v>
      </c>
      <c r="Q14" s="6">
        <v>11</v>
      </c>
      <c r="R14" s="4" t="s">
        <v>29</v>
      </c>
    </row>
    <row r="15" spans="1:22" ht="16.5" x14ac:dyDescent="0.3">
      <c r="C15" t="s">
        <v>140</v>
      </c>
      <c r="F15" s="7">
        <v>6</v>
      </c>
      <c r="G15" s="28">
        <v>1605370074</v>
      </c>
      <c r="H15" t="str">
        <f t="shared" si="3"/>
        <v>Cincinnati Bengals</v>
      </c>
      <c r="J15">
        <v>12</v>
      </c>
      <c r="K15">
        <v>7</v>
      </c>
      <c r="L15">
        <f t="shared" si="0"/>
        <v>1604739900</v>
      </c>
      <c r="M15">
        <v>1000</v>
      </c>
      <c r="N15">
        <v>0</v>
      </c>
      <c r="O15" t="e">
        <f t="shared" si="1"/>
        <v>#N/A</v>
      </c>
      <c r="P15">
        <v>1604739900</v>
      </c>
      <c r="Q15" s="6">
        <v>12</v>
      </c>
      <c r="R15" s="4" t="s">
        <v>30</v>
      </c>
    </row>
    <row r="16" spans="1:22" ht="16.5" x14ac:dyDescent="0.3">
      <c r="C16" t="s">
        <v>141</v>
      </c>
      <c r="F16" s="7">
        <v>10</v>
      </c>
      <c r="G16" s="28">
        <v>1605370074</v>
      </c>
      <c r="H16" t="str">
        <f t="shared" si="3"/>
        <v>Detroit Lions</v>
      </c>
      <c r="J16">
        <v>13</v>
      </c>
      <c r="K16">
        <v>13</v>
      </c>
      <c r="L16">
        <f t="shared" si="0"/>
        <v>1604739900</v>
      </c>
      <c r="M16">
        <v>952</v>
      </c>
      <c r="N16">
        <v>1</v>
      </c>
      <c r="O16" t="e">
        <f t="shared" si="1"/>
        <v>#N/A</v>
      </c>
      <c r="P16">
        <v>1604739900</v>
      </c>
      <c r="Q16" s="6">
        <v>13</v>
      </c>
      <c r="R16" s="4" t="s">
        <v>31</v>
      </c>
    </row>
    <row r="17" spans="4:20" ht="16.5" x14ac:dyDescent="0.3">
      <c r="F17" s="7">
        <v>11</v>
      </c>
      <c r="G17" s="28">
        <v>1605370074</v>
      </c>
      <c r="H17" t="str">
        <f t="shared" si="3"/>
        <v>Green Bay Packers</v>
      </c>
      <c r="J17">
        <v>14</v>
      </c>
      <c r="K17">
        <v>11</v>
      </c>
      <c r="L17">
        <f t="shared" si="0"/>
        <v>1605370074</v>
      </c>
      <c r="M17">
        <v>909</v>
      </c>
      <c r="N17">
        <v>0</v>
      </c>
      <c r="O17">
        <f t="shared" si="1"/>
        <v>1605370074</v>
      </c>
      <c r="P17">
        <v>1605627168</v>
      </c>
      <c r="Q17" s="6">
        <v>14</v>
      </c>
      <c r="R17" s="4" t="s">
        <v>32</v>
      </c>
      <c r="T17">
        <v>11.23</v>
      </c>
    </row>
    <row r="18" spans="4:20" ht="16.5" x14ac:dyDescent="0.3">
      <c r="F18" s="7">
        <v>14</v>
      </c>
      <c r="G18" s="28">
        <v>1605370074</v>
      </c>
      <c r="H18" t="str">
        <f t="shared" si="3"/>
        <v>Jacksonville Jaguars</v>
      </c>
      <c r="J18">
        <v>15</v>
      </c>
      <c r="K18">
        <v>15</v>
      </c>
      <c r="L18">
        <f t="shared" si="0"/>
        <v>1604739900</v>
      </c>
      <c r="M18">
        <v>1000</v>
      </c>
      <c r="N18">
        <v>1</v>
      </c>
      <c r="O18" t="e">
        <f t="shared" si="1"/>
        <v>#N/A</v>
      </c>
      <c r="P18">
        <v>1604739900</v>
      </c>
      <c r="Q18" s="6">
        <v>15</v>
      </c>
      <c r="R18" s="4" t="s">
        <v>33</v>
      </c>
      <c r="T18">
        <v>10.69</v>
      </c>
    </row>
    <row r="19" spans="4:20" ht="16.5" x14ac:dyDescent="0.3">
      <c r="F19" s="7">
        <v>26</v>
      </c>
      <c r="G19" s="28">
        <v>1605370074</v>
      </c>
      <c r="H19" t="str">
        <f t="shared" si="3"/>
        <v>Pittsburgh Steelers</v>
      </c>
      <c r="J19">
        <v>16</v>
      </c>
      <c r="K19">
        <v>9</v>
      </c>
      <c r="L19">
        <f t="shared" si="0"/>
        <v>1604739900</v>
      </c>
      <c r="M19">
        <v>909</v>
      </c>
      <c r="N19">
        <v>0</v>
      </c>
      <c r="O19" t="e">
        <f t="shared" si="1"/>
        <v>#N/A</v>
      </c>
      <c r="P19">
        <v>1604739900</v>
      </c>
      <c r="Q19" s="6">
        <v>16</v>
      </c>
      <c r="R19" s="4" t="s">
        <v>34</v>
      </c>
    </row>
    <row r="20" spans="4:20" ht="16.5" x14ac:dyDescent="0.3">
      <c r="F20" s="7">
        <v>29</v>
      </c>
      <c r="G20" s="28">
        <v>1605370074</v>
      </c>
      <c r="H20" t="str">
        <f t="shared" si="3"/>
        <v>Tampa Bay Buccaneers</v>
      </c>
      <c r="J20">
        <v>17</v>
      </c>
      <c r="K20">
        <v>17</v>
      </c>
      <c r="L20">
        <f t="shared" si="0"/>
        <v>1604739900</v>
      </c>
      <c r="M20">
        <v>833</v>
      </c>
      <c r="N20">
        <v>1</v>
      </c>
      <c r="O20" t="e">
        <f t="shared" si="1"/>
        <v>#N/A</v>
      </c>
      <c r="P20">
        <v>1604739900</v>
      </c>
      <c r="Q20" s="6">
        <v>17</v>
      </c>
      <c r="R20" s="4" t="s">
        <v>35</v>
      </c>
      <c r="T20">
        <v>5</v>
      </c>
    </row>
    <row r="21" spans="4:20" ht="16.5" x14ac:dyDescent="0.3">
      <c r="F21" s="7">
        <v>31</v>
      </c>
      <c r="G21" s="28">
        <v>1605370074</v>
      </c>
      <c r="H21" t="str">
        <f t="shared" si="3"/>
        <v>Washington Warriors</v>
      </c>
      <c r="J21">
        <v>18</v>
      </c>
      <c r="K21">
        <v>28</v>
      </c>
      <c r="L21">
        <f t="shared" si="0"/>
        <v>1604739900</v>
      </c>
      <c r="M21">
        <v>909</v>
      </c>
      <c r="N21">
        <v>0</v>
      </c>
      <c r="O21" t="e">
        <f t="shared" si="1"/>
        <v>#N/A</v>
      </c>
      <c r="P21">
        <v>1604739900</v>
      </c>
      <c r="Q21" s="6">
        <v>18</v>
      </c>
      <c r="R21" s="4" t="s">
        <v>36</v>
      </c>
      <c r="T21">
        <f>0.869*T20</f>
        <v>4.3449999999999998</v>
      </c>
    </row>
    <row r="22" spans="4:20" x14ac:dyDescent="0.25">
      <c r="J22">
        <v>19</v>
      </c>
      <c r="K22">
        <v>24</v>
      </c>
      <c r="L22">
        <f t="shared" si="0"/>
        <v>1604739900</v>
      </c>
      <c r="M22">
        <v>1000</v>
      </c>
      <c r="N22">
        <v>2</v>
      </c>
      <c r="O22" t="e">
        <f t="shared" si="1"/>
        <v>#N/A</v>
      </c>
      <c r="P22">
        <v>1604739900</v>
      </c>
      <c r="Q22" s="6">
        <v>19</v>
      </c>
      <c r="R22" s="4" t="s">
        <v>37</v>
      </c>
    </row>
    <row r="23" spans="4:20" x14ac:dyDescent="0.25">
      <c r="J23">
        <v>20</v>
      </c>
      <c r="K23">
        <v>20</v>
      </c>
      <c r="L23">
        <f t="shared" si="0"/>
        <v>1604739900</v>
      </c>
      <c r="M23">
        <v>1000</v>
      </c>
      <c r="N23">
        <v>1</v>
      </c>
      <c r="O23" t="e">
        <f t="shared" si="1"/>
        <v>#N/A</v>
      </c>
      <c r="P23">
        <v>1604739900</v>
      </c>
      <c r="Q23" s="6">
        <v>20</v>
      </c>
      <c r="R23" s="4" t="s">
        <v>38</v>
      </c>
    </row>
    <row r="24" spans="4:20" x14ac:dyDescent="0.25">
      <c r="J24">
        <v>21</v>
      </c>
      <c r="K24">
        <v>2</v>
      </c>
      <c r="L24">
        <f t="shared" si="0"/>
        <v>1604739900</v>
      </c>
      <c r="M24">
        <v>833</v>
      </c>
      <c r="N24">
        <v>0</v>
      </c>
      <c r="O24" t="e">
        <f t="shared" si="1"/>
        <v>#N/A</v>
      </c>
      <c r="P24">
        <v>1604739900</v>
      </c>
      <c r="Q24" s="6">
        <v>21</v>
      </c>
      <c r="R24" s="4" t="s">
        <v>39</v>
      </c>
    </row>
    <row r="25" spans="4:20" x14ac:dyDescent="0.25">
      <c r="D25" t="s">
        <v>143</v>
      </c>
      <c r="J25">
        <v>22</v>
      </c>
      <c r="K25">
        <v>27</v>
      </c>
      <c r="L25">
        <f t="shared" si="0"/>
        <v>1604739900</v>
      </c>
      <c r="M25">
        <v>909</v>
      </c>
      <c r="N25">
        <v>2</v>
      </c>
      <c r="O25" t="e">
        <f t="shared" si="1"/>
        <v>#N/A</v>
      </c>
      <c r="P25">
        <v>1604739900</v>
      </c>
      <c r="Q25" s="6">
        <v>22</v>
      </c>
      <c r="R25" s="4" t="s">
        <v>40</v>
      </c>
    </row>
    <row r="26" spans="4:20" x14ac:dyDescent="0.25">
      <c r="D26">
        <v>6</v>
      </c>
      <c r="E26" t="s">
        <v>144</v>
      </c>
      <c r="J26">
        <v>23</v>
      </c>
      <c r="K26">
        <v>25</v>
      </c>
      <c r="L26">
        <f t="shared" si="0"/>
        <v>1604739900</v>
      </c>
      <c r="M26">
        <v>952</v>
      </c>
      <c r="N26">
        <v>0</v>
      </c>
      <c r="O26" t="e">
        <f t="shared" si="1"/>
        <v>#N/A</v>
      </c>
      <c r="P26">
        <v>1604739900</v>
      </c>
      <c r="Q26" s="6">
        <v>23</v>
      </c>
      <c r="R26" s="4" t="s">
        <v>41</v>
      </c>
    </row>
    <row r="27" spans="4:20" x14ac:dyDescent="0.25">
      <c r="D27">
        <v>10</v>
      </c>
      <c r="E27" t="s">
        <v>144</v>
      </c>
      <c r="J27">
        <v>24</v>
      </c>
      <c r="K27">
        <v>19</v>
      </c>
      <c r="L27">
        <f t="shared" si="0"/>
        <v>1604739900</v>
      </c>
      <c r="M27">
        <v>1000</v>
      </c>
      <c r="N27">
        <v>0</v>
      </c>
      <c r="O27" t="e">
        <f t="shared" si="1"/>
        <v>#N/A</v>
      </c>
      <c r="P27">
        <v>1604739900</v>
      </c>
      <c r="Q27" s="6">
        <v>24</v>
      </c>
      <c r="R27" s="4" t="s">
        <v>42</v>
      </c>
    </row>
    <row r="28" spans="4:20" x14ac:dyDescent="0.25">
      <c r="D28">
        <v>11</v>
      </c>
      <c r="E28" t="s">
        <v>144</v>
      </c>
      <c r="J28">
        <v>25</v>
      </c>
      <c r="K28">
        <v>23</v>
      </c>
      <c r="L28">
        <f t="shared" si="0"/>
        <v>1604739900</v>
      </c>
      <c r="M28">
        <v>1000</v>
      </c>
      <c r="N28">
        <v>2</v>
      </c>
      <c r="O28" t="e">
        <f t="shared" si="1"/>
        <v>#N/A</v>
      </c>
      <c r="P28">
        <v>1604739900</v>
      </c>
      <c r="Q28" s="6">
        <v>25</v>
      </c>
      <c r="R28" s="4" t="s">
        <v>43</v>
      </c>
    </row>
    <row r="29" spans="4:20" x14ac:dyDescent="0.25">
      <c r="D29">
        <v>11</v>
      </c>
      <c r="E29" t="s">
        <v>145</v>
      </c>
      <c r="J29">
        <v>26</v>
      </c>
      <c r="K29">
        <v>6</v>
      </c>
      <c r="L29">
        <f t="shared" si="0"/>
        <v>1605370074</v>
      </c>
      <c r="M29">
        <v>952</v>
      </c>
      <c r="N29">
        <v>0</v>
      </c>
      <c r="O29">
        <f t="shared" si="1"/>
        <v>1605370074</v>
      </c>
      <c r="P29">
        <v>1605627168</v>
      </c>
      <c r="Q29" s="6">
        <v>26</v>
      </c>
      <c r="R29" s="4" t="s">
        <v>44</v>
      </c>
    </row>
    <row r="30" spans="4:20" x14ac:dyDescent="0.25">
      <c r="J30">
        <v>27</v>
      </c>
      <c r="K30">
        <v>22</v>
      </c>
      <c r="L30">
        <f t="shared" si="0"/>
        <v>1604739900</v>
      </c>
      <c r="M30">
        <v>909</v>
      </c>
      <c r="N30">
        <v>0</v>
      </c>
      <c r="O30" t="e">
        <f t="shared" si="1"/>
        <v>#N/A</v>
      </c>
      <c r="P30">
        <v>1604739900</v>
      </c>
      <c r="Q30" s="6">
        <v>27</v>
      </c>
      <c r="R30" s="4" t="s">
        <v>45</v>
      </c>
    </row>
    <row r="31" spans="4:20" x14ac:dyDescent="0.25">
      <c r="D31" t="s">
        <v>146</v>
      </c>
      <c r="J31">
        <v>28</v>
      </c>
      <c r="K31">
        <v>18</v>
      </c>
      <c r="L31">
        <f t="shared" si="0"/>
        <v>1604739900</v>
      </c>
      <c r="M31">
        <v>909</v>
      </c>
      <c r="N31">
        <v>2</v>
      </c>
      <c r="O31" t="e">
        <f t="shared" si="1"/>
        <v>#N/A</v>
      </c>
      <c r="P31">
        <v>1604739900</v>
      </c>
      <c r="Q31" s="6">
        <v>28</v>
      </c>
      <c r="R31" s="4" t="s">
        <v>46</v>
      </c>
    </row>
    <row r="32" spans="4:20" x14ac:dyDescent="0.25">
      <c r="D32" t="s">
        <v>147</v>
      </c>
      <c r="J32">
        <v>29</v>
      </c>
      <c r="K32">
        <v>4</v>
      </c>
      <c r="L32">
        <f t="shared" si="0"/>
        <v>1605370074</v>
      </c>
      <c r="M32">
        <v>909</v>
      </c>
      <c r="N32">
        <v>2</v>
      </c>
      <c r="O32">
        <f t="shared" si="1"/>
        <v>1605370074</v>
      </c>
      <c r="P32">
        <v>1605627168</v>
      </c>
      <c r="Q32" s="6">
        <v>29</v>
      </c>
      <c r="R32" s="4" t="s">
        <v>47</v>
      </c>
    </row>
    <row r="33" spans="3:36" x14ac:dyDescent="0.25">
      <c r="J33">
        <v>30</v>
      </c>
      <c r="K33">
        <v>30</v>
      </c>
      <c r="L33">
        <f t="shared" si="0"/>
        <v>1604739900</v>
      </c>
      <c r="M33">
        <v>869</v>
      </c>
      <c r="N33">
        <v>1</v>
      </c>
      <c r="O33" t="e">
        <f t="shared" si="1"/>
        <v>#N/A</v>
      </c>
      <c r="P33">
        <v>1604739900</v>
      </c>
      <c r="Q33" s="6">
        <v>30</v>
      </c>
      <c r="R33" s="4" t="s">
        <v>48</v>
      </c>
    </row>
    <row r="34" spans="3:36" x14ac:dyDescent="0.25">
      <c r="D34" t="s">
        <v>148</v>
      </c>
      <c r="J34">
        <v>31</v>
      </c>
      <c r="K34">
        <v>10</v>
      </c>
      <c r="L34">
        <f t="shared" si="0"/>
        <v>1605370074</v>
      </c>
      <c r="M34">
        <v>1000</v>
      </c>
      <c r="N34">
        <v>2</v>
      </c>
      <c r="O34">
        <f t="shared" si="1"/>
        <v>1605370074</v>
      </c>
      <c r="P34">
        <v>1605627168</v>
      </c>
      <c r="Q34" s="6">
        <v>31</v>
      </c>
      <c r="R34" s="4" t="s">
        <v>49</v>
      </c>
    </row>
    <row r="35" spans="3:36" x14ac:dyDescent="0.25">
      <c r="D35" t="s">
        <v>149</v>
      </c>
    </row>
    <row r="39" spans="3:36" x14ac:dyDescent="0.25">
      <c r="C39" s="6">
        <v>0</v>
      </c>
      <c r="D39" s="6">
        <v>1</v>
      </c>
      <c r="E39" s="6">
        <v>2</v>
      </c>
      <c r="F39" s="6">
        <v>3</v>
      </c>
      <c r="G39" s="6">
        <v>4</v>
      </c>
      <c r="H39" s="6">
        <v>5</v>
      </c>
      <c r="I39" s="6">
        <v>6</v>
      </c>
      <c r="J39" s="6">
        <v>7</v>
      </c>
      <c r="K39" s="6">
        <v>8</v>
      </c>
      <c r="L39" s="6">
        <v>9</v>
      </c>
      <c r="M39" s="6">
        <v>10</v>
      </c>
      <c r="N39" s="6">
        <v>11</v>
      </c>
      <c r="O39" s="6">
        <v>12</v>
      </c>
      <c r="P39" s="6">
        <v>13</v>
      </c>
      <c r="Q39" s="6">
        <v>14</v>
      </c>
      <c r="R39" s="6">
        <v>15</v>
      </c>
      <c r="S39" s="6">
        <v>16</v>
      </c>
      <c r="T39" s="6">
        <v>17</v>
      </c>
      <c r="U39" s="6">
        <v>18</v>
      </c>
      <c r="V39" s="6">
        <v>19</v>
      </c>
      <c r="W39" s="6">
        <v>20</v>
      </c>
      <c r="X39" s="6">
        <v>21</v>
      </c>
      <c r="Y39" s="6">
        <v>22</v>
      </c>
      <c r="Z39" s="6">
        <v>23</v>
      </c>
      <c r="AA39" s="6">
        <v>24</v>
      </c>
      <c r="AB39" s="6">
        <v>25</v>
      </c>
      <c r="AC39" s="6">
        <v>26</v>
      </c>
      <c r="AD39" s="6">
        <v>27</v>
      </c>
      <c r="AE39" s="6">
        <v>28</v>
      </c>
      <c r="AF39" s="6">
        <v>29</v>
      </c>
      <c r="AG39" s="6">
        <v>30</v>
      </c>
      <c r="AH39" s="6">
        <v>31</v>
      </c>
    </row>
    <row r="40" spans="3:36" x14ac:dyDescent="0.25">
      <c r="C40">
        <v>1605627168</v>
      </c>
      <c r="D40">
        <v>1604739900</v>
      </c>
      <c r="E40">
        <v>1604739900</v>
      </c>
      <c r="F40">
        <v>1605627168</v>
      </c>
      <c r="G40">
        <v>1605627168</v>
      </c>
      <c r="H40">
        <v>1604739900</v>
      </c>
      <c r="I40">
        <v>1605627168</v>
      </c>
      <c r="J40">
        <v>1604739900</v>
      </c>
      <c r="K40">
        <v>1604739900</v>
      </c>
      <c r="L40">
        <v>1604739900</v>
      </c>
      <c r="M40">
        <v>1605627168</v>
      </c>
      <c r="N40">
        <v>1605627168</v>
      </c>
      <c r="O40">
        <v>1604739900</v>
      </c>
      <c r="P40">
        <v>1604739900</v>
      </c>
      <c r="Q40">
        <v>1605627168</v>
      </c>
      <c r="R40">
        <v>1604739900</v>
      </c>
      <c r="S40">
        <v>1604739900</v>
      </c>
      <c r="T40">
        <v>1604739900</v>
      </c>
      <c r="U40">
        <v>1604739900</v>
      </c>
      <c r="V40">
        <v>1604739900</v>
      </c>
      <c r="W40">
        <v>1604739900</v>
      </c>
      <c r="X40">
        <v>1604739900</v>
      </c>
      <c r="Y40">
        <v>1604739900</v>
      </c>
      <c r="Z40">
        <v>1604739900</v>
      </c>
      <c r="AA40">
        <v>1604739900</v>
      </c>
      <c r="AB40">
        <v>1604739900</v>
      </c>
      <c r="AC40">
        <v>1605627168</v>
      </c>
      <c r="AD40">
        <v>1604739900</v>
      </c>
      <c r="AE40">
        <v>1604739900</v>
      </c>
      <c r="AF40">
        <v>1605627168</v>
      </c>
      <c r="AG40">
        <v>1604739900</v>
      </c>
      <c r="AH40">
        <v>1605627168</v>
      </c>
    </row>
    <row r="43" spans="3:36" x14ac:dyDescent="0.25">
      <c r="C43">
        <v>1</v>
      </c>
      <c r="D43">
        <v>0</v>
      </c>
      <c r="E43">
        <v>3</v>
      </c>
      <c r="F43">
        <v>2</v>
      </c>
      <c r="G43">
        <f>E43+2</f>
        <v>5</v>
      </c>
      <c r="H43">
        <f t="shared" ref="H43:AH43" si="4">F43+2</f>
        <v>4</v>
      </c>
      <c r="I43">
        <f t="shared" si="4"/>
        <v>7</v>
      </c>
      <c r="J43">
        <f t="shared" si="4"/>
        <v>6</v>
      </c>
      <c r="K43">
        <f t="shared" si="4"/>
        <v>9</v>
      </c>
      <c r="L43">
        <f t="shared" si="4"/>
        <v>8</v>
      </c>
      <c r="M43">
        <f t="shared" si="4"/>
        <v>11</v>
      </c>
      <c r="N43">
        <f t="shared" si="4"/>
        <v>10</v>
      </c>
      <c r="O43">
        <f t="shared" si="4"/>
        <v>13</v>
      </c>
      <c r="P43">
        <f t="shared" si="4"/>
        <v>12</v>
      </c>
      <c r="Q43">
        <f t="shared" si="4"/>
        <v>15</v>
      </c>
      <c r="R43">
        <f t="shared" si="4"/>
        <v>14</v>
      </c>
      <c r="S43">
        <f t="shared" si="4"/>
        <v>17</v>
      </c>
      <c r="T43">
        <f t="shared" si="4"/>
        <v>16</v>
      </c>
      <c r="U43">
        <f t="shared" si="4"/>
        <v>19</v>
      </c>
      <c r="V43">
        <f t="shared" si="4"/>
        <v>18</v>
      </c>
      <c r="W43">
        <f t="shared" si="4"/>
        <v>21</v>
      </c>
      <c r="X43">
        <f t="shared" si="4"/>
        <v>20</v>
      </c>
      <c r="Y43">
        <f t="shared" si="4"/>
        <v>23</v>
      </c>
      <c r="Z43">
        <f t="shared" si="4"/>
        <v>22</v>
      </c>
      <c r="AA43">
        <f t="shared" si="4"/>
        <v>25</v>
      </c>
      <c r="AB43">
        <f t="shared" si="4"/>
        <v>24</v>
      </c>
      <c r="AC43">
        <f t="shared" si="4"/>
        <v>27</v>
      </c>
      <c r="AD43">
        <f t="shared" si="4"/>
        <v>26</v>
      </c>
      <c r="AE43">
        <f t="shared" si="4"/>
        <v>29</v>
      </c>
      <c r="AF43">
        <f t="shared" si="4"/>
        <v>28</v>
      </c>
      <c r="AG43">
        <f t="shared" si="4"/>
        <v>31</v>
      </c>
      <c r="AH43">
        <f t="shared" si="4"/>
        <v>30</v>
      </c>
    </row>
    <row r="44" spans="3:36" x14ac:dyDescent="0.25">
      <c r="C44" s="7">
        <v>1606370074</v>
      </c>
      <c r="D44" s="7">
        <v>1606370074</v>
      </c>
      <c r="E44" s="7">
        <v>1606370074</v>
      </c>
      <c r="F44" s="7">
        <v>1606370074</v>
      </c>
      <c r="G44" s="7">
        <v>1606370074</v>
      </c>
      <c r="H44" s="7">
        <v>1606370074</v>
      </c>
      <c r="I44" s="7">
        <v>1606370074</v>
      </c>
      <c r="J44" s="7">
        <v>1606370074</v>
      </c>
      <c r="K44" s="7">
        <v>1606370074</v>
      </c>
      <c r="L44" s="7">
        <v>1606370074</v>
      </c>
      <c r="M44" s="7">
        <v>1606370074</v>
      </c>
      <c r="N44" s="7">
        <v>1606370074</v>
      </c>
      <c r="O44" s="7">
        <f t="shared" ref="O44" si="5">IF(ISNUMBER(R44),R44,1604739900)</f>
        <v>1604739900</v>
      </c>
      <c r="P44" s="7">
        <f t="shared" ref="P44" si="6">IF(ISNUMBER(S44),S44,1604739900)</f>
        <v>1604739900</v>
      </c>
      <c r="Q44" s="7">
        <f t="shared" ref="Q44" si="7">IF(ISNUMBER(T44),T44,1604739900)</f>
        <v>1604739900</v>
      </c>
      <c r="R44" s="7">
        <f t="shared" ref="R44" si="8">IF(ISNUMBER(U44),U44,1604739900)</f>
        <v>1604739900</v>
      </c>
      <c r="S44" s="7">
        <f t="shared" ref="S44" si="9">IF(ISNUMBER(V44),V44,1604739900)</f>
        <v>1604739900</v>
      </c>
      <c r="T44" s="7">
        <f t="shared" ref="T44" si="10">IF(ISNUMBER(W44),W44,1604739900)</f>
        <v>1604739900</v>
      </c>
      <c r="U44" s="7">
        <f t="shared" ref="U44" si="11">IF(ISNUMBER(X44),X44,1604739900)</f>
        <v>1604739900</v>
      </c>
      <c r="V44" s="7">
        <f t="shared" ref="V44" si="12">IF(ISNUMBER(Y44),Y44,1604739900)</f>
        <v>1604739900</v>
      </c>
      <c r="W44" s="7">
        <f t="shared" ref="W44" si="13">IF(ISNUMBER(Z44),Z44,1604739900)</f>
        <v>1604739900</v>
      </c>
      <c r="X44" s="7">
        <f t="shared" ref="X44" si="14">IF(ISNUMBER(AA44),AA44,1604739900)</f>
        <v>1604739900</v>
      </c>
      <c r="Y44" s="7">
        <f t="shared" ref="Y44" si="15">IF(ISNUMBER(AB44),AB44,1604739900)</f>
        <v>1604739900</v>
      </c>
      <c r="Z44" s="7">
        <f t="shared" ref="Z44" si="16">IF(ISNUMBER(AC44),AC44,1604739900)</f>
        <v>1604739900</v>
      </c>
      <c r="AA44" s="7">
        <f t="shared" ref="AA44" si="17">IF(ISNUMBER(AD44),AD44,1604739900)</f>
        <v>1604739900</v>
      </c>
      <c r="AB44" s="7">
        <f t="shared" ref="AB44" si="18">IF(ISNUMBER(AE44),AE44,1604739900)</f>
        <v>1604739900</v>
      </c>
      <c r="AC44" s="7">
        <f t="shared" ref="AC44" si="19">IF(ISNUMBER(AF44),AF44,1604739900)</f>
        <v>1604739900</v>
      </c>
      <c r="AD44" s="7">
        <f t="shared" ref="AD44" si="20">IF(ISNUMBER(AG44),AG44,1604739900)</f>
        <v>1604739900</v>
      </c>
      <c r="AE44" s="7">
        <f t="shared" ref="AE44" si="21">IF(ISNUMBER(AH44),AH44,1604739900)</f>
        <v>1604739900</v>
      </c>
      <c r="AF44" s="7">
        <f t="shared" ref="AF44" si="22">IF(ISNUMBER(AI44),AI44,1604739900)</f>
        <v>1604739900</v>
      </c>
      <c r="AG44" s="7">
        <f t="shared" ref="AG44" si="23">IF(ISNUMBER(AJ44),AJ44,1604739900)</f>
        <v>1604739900</v>
      </c>
      <c r="AH44" s="7">
        <f t="shared" ref="AH44" si="24">IF(ISNUMBER(AK44),AK44,1604739900)</f>
        <v>1604739900</v>
      </c>
    </row>
    <row r="45" spans="3:36" x14ac:dyDescent="0.25">
      <c r="C45">
        <v>1500</v>
      </c>
      <c r="D45" s="9">
        <f>INT(1000000/(C45+90)-90)</f>
        <v>538</v>
      </c>
      <c r="E45">
        <v>1000</v>
      </c>
      <c r="F45">
        <v>1000</v>
      </c>
      <c r="G45">
        <v>2000</v>
      </c>
      <c r="H45">
        <v>388</v>
      </c>
      <c r="I45">
        <v>909</v>
      </c>
      <c r="J45">
        <v>909</v>
      </c>
      <c r="K45">
        <v>909</v>
      </c>
      <c r="L45">
        <v>909</v>
      </c>
      <c r="M45">
        <v>909</v>
      </c>
      <c r="N45">
        <v>909</v>
      </c>
      <c r="O45">
        <v>909</v>
      </c>
      <c r="P45">
        <v>909</v>
      </c>
      <c r="Q45">
        <v>909</v>
      </c>
      <c r="R45">
        <v>909</v>
      </c>
      <c r="S45">
        <v>909</v>
      </c>
      <c r="T45">
        <v>909</v>
      </c>
      <c r="U45">
        <v>909</v>
      </c>
      <c r="V45">
        <v>909</v>
      </c>
      <c r="W45">
        <v>909</v>
      </c>
      <c r="X45">
        <v>909</v>
      </c>
      <c r="Y45">
        <v>909</v>
      </c>
      <c r="Z45">
        <v>909</v>
      </c>
      <c r="AA45">
        <v>909</v>
      </c>
      <c r="AB45">
        <v>909</v>
      </c>
      <c r="AC45">
        <v>909</v>
      </c>
      <c r="AD45">
        <v>909</v>
      </c>
      <c r="AE45">
        <v>909</v>
      </c>
      <c r="AF45">
        <v>909</v>
      </c>
      <c r="AG45">
        <v>909</v>
      </c>
      <c r="AH45">
        <v>909</v>
      </c>
    </row>
    <row r="46" spans="3:36" x14ac:dyDescent="0.25">
      <c r="C46">
        <v>2</v>
      </c>
      <c r="D46">
        <v>0</v>
      </c>
      <c r="E46">
        <f>C46</f>
        <v>2</v>
      </c>
      <c r="F46">
        <f t="shared" ref="F46:J46" si="25">D46</f>
        <v>0</v>
      </c>
      <c r="G46">
        <f t="shared" si="25"/>
        <v>2</v>
      </c>
      <c r="H46">
        <f t="shared" si="25"/>
        <v>0</v>
      </c>
      <c r="I46">
        <f t="shared" si="25"/>
        <v>2</v>
      </c>
      <c r="J46">
        <f t="shared" si="25"/>
        <v>0</v>
      </c>
      <c r="K46">
        <v>1</v>
      </c>
      <c r="L46">
        <v>1</v>
      </c>
      <c r="M46">
        <v>2</v>
      </c>
      <c r="N46">
        <v>0</v>
      </c>
      <c r="O46">
        <v>2</v>
      </c>
      <c r="P46">
        <v>0</v>
      </c>
      <c r="Q46">
        <v>2</v>
      </c>
      <c r="R46">
        <v>0</v>
      </c>
      <c r="S46">
        <v>2</v>
      </c>
      <c r="T46">
        <v>0</v>
      </c>
      <c r="U46">
        <v>2</v>
      </c>
      <c r="V46">
        <v>0</v>
      </c>
      <c r="W46">
        <v>2</v>
      </c>
      <c r="X46">
        <v>0</v>
      </c>
      <c r="Y46">
        <v>2</v>
      </c>
      <c r="Z46">
        <v>0</v>
      </c>
      <c r="AA46">
        <v>2</v>
      </c>
      <c r="AB46">
        <v>0</v>
      </c>
      <c r="AC46">
        <v>2</v>
      </c>
      <c r="AD46">
        <v>0</v>
      </c>
      <c r="AE46">
        <f>AC46</f>
        <v>2</v>
      </c>
      <c r="AF46">
        <f t="shared" ref="AF46" si="26">AD46</f>
        <v>0</v>
      </c>
      <c r="AG46">
        <f t="shared" ref="AG46" si="27">AE46</f>
        <v>2</v>
      </c>
      <c r="AH46">
        <f t="shared" ref="AH46" si="28">AF46</f>
        <v>0</v>
      </c>
      <c r="AI46">
        <f>SUM(C46:AH46)</f>
        <v>32</v>
      </c>
      <c r="AJ46">
        <f t="shared" ref="AJ46" si="29">AH46</f>
        <v>0</v>
      </c>
    </row>
    <row r="47" spans="3:36" x14ac:dyDescent="0.25">
      <c r="D47">
        <f>8.123*538/1000</f>
        <v>4.3701739999999996</v>
      </c>
    </row>
  </sheetData>
  <sortState xmlns:xlrd2="http://schemas.microsoft.com/office/spreadsheetml/2017/richdata2" ref="F12:F21">
    <sortCondition ref="F12:F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5401-DF7B-4789-AB4C-9BA3174B72E7}">
  <dimension ref="C3:P36"/>
  <sheetViews>
    <sheetView zoomScale="75" zoomScaleNormal="75" workbookViewId="0">
      <selection activeCell="L13" sqref="L13"/>
    </sheetView>
  </sheetViews>
  <sheetFormatPr defaultRowHeight="15" x14ac:dyDescent="0.25"/>
  <cols>
    <col min="4" max="4" width="13.7109375" bestFit="1" customWidth="1"/>
    <col min="5" max="5" width="11" bestFit="1" customWidth="1"/>
    <col min="6" max="6" width="14.85546875" bestFit="1" customWidth="1"/>
    <col min="7" max="7" width="12.140625" customWidth="1"/>
    <col min="8" max="8" width="10.28515625" customWidth="1"/>
    <col min="10" max="10" width="23.140625" bestFit="1" customWidth="1"/>
    <col min="16" max="16" width="12.7109375" customWidth="1"/>
  </cols>
  <sheetData>
    <row r="3" spans="3:16" x14ac:dyDescent="0.25">
      <c r="J3">
        <f>539</f>
        <v>539</v>
      </c>
      <c r="K3">
        <v>1500</v>
      </c>
      <c r="L3">
        <f>1000000/J3</f>
        <v>1855.2875695732839</v>
      </c>
      <c r="M3">
        <f>1000000/K3</f>
        <v>666.66666666666663</v>
      </c>
    </row>
    <row r="4" spans="3:16" x14ac:dyDescent="0.25">
      <c r="E4" s="3" t="s">
        <v>91</v>
      </c>
      <c r="F4" s="3" t="s">
        <v>87</v>
      </c>
      <c r="G4" s="21" t="s">
        <v>92</v>
      </c>
      <c r="H4" s="3" t="s">
        <v>93</v>
      </c>
      <c r="I4" s="3" t="s">
        <v>86</v>
      </c>
      <c r="K4" s="3"/>
      <c r="L4" s="21"/>
      <c r="M4" s="3"/>
      <c r="N4" s="3"/>
    </row>
    <row r="5" spans="3:16" x14ac:dyDescent="0.25">
      <c r="E5" s="9">
        <v>-110</v>
      </c>
      <c r="F5" s="9">
        <f>INT(IF(E5&lt;0,-(100-E5)/E5,(100+E5)/100)*1000)-1000</f>
        <v>909</v>
      </c>
      <c r="G5">
        <f>1+F5/1000</f>
        <v>1.909</v>
      </c>
      <c r="H5" s="19">
        <f>IF(E5&lt;0,-100/E5,E5/100)</f>
        <v>0.90909090909090906</v>
      </c>
      <c r="I5" s="20">
        <f>1/G5</f>
        <v>0.52383446830801461</v>
      </c>
      <c r="J5" s="23"/>
      <c r="K5" s="9"/>
      <c r="M5" s="19"/>
      <c r="N5" s="20"/>
      <c r="P5" s="23"/>
    </row>
    <row r="6" spans="3:16" x14ac:dyDescent="0.25">
      <c r="E6" s="9">
        <v>200</v>
      </c>
      <c r="F6" s="9">
        <v>1100</v>
      </c>
      <c r="G6">
        <f>1+F6/1000</f>
        <v>2.1</v>
      </c>
      <c r="H6" s="19">
        <f>IF(E6&lt;0,-100/E6,E6/100)</f>
        <v>2</v>
      </c>
      <c r="I6" s="20">
        <f>1/G6</f>
        <v>0.47619047619047616</v>
      </c>
      <c r="J6" s="27">
        <f>SUM(I5:I6)</f>
        <v>1.0000249444984908</v>
      </c>
    </row>
    <row r="7" spans="3:16" x14ac:dyDescent="0.25">
      <c r="E7" s="9">
        <v>-200</v>
      </c>
      <c r="F7" s="9">
        <f>INT(IF(E7&lt;0,-(100-E7)/E7,(100+E7)/100)*1000)-1000</f>
        <v>500</v>
      </c>
      <c r="G7">
        <f>1+F7/1000</f>
        <v>1.5</v>
      </c>
      <c r="H7" s="19">
        <f>IF(E7&lt;0,-100/E7,E7/100)</f>
        <v>0.5</v>
      </c>
      <c r="I7" s="20">
        <f>1/G7</f>
        <v>0.66666666666666663</v>
      </c>
    </row>
    <row r="8" spans="3:16" x14ac:dyDescent="0.25">
      <c r="I8" s="22">
        <f>1/0.666666</f>
        <v>1.5000015000015001</v>
      </c>
    </row>
    <row r="9" spans="3:16" x14ac:dyDescent="0.25">
      <c r="E9" s="3" t="s">
        <v>87</v>
      </c>
      <c r="F9" s="3" t="s">
        <v>84</v>
      </c>
      <c r="G9" s="21" t="s">
        <v>92</v>
      </c>
      <c r="H9" s="3" t="s">
        <v>93</v>
      </c>
      <c r="I9" s="3" t="s">
        <v>86</v>
      </c>
      <c r="K9" s="9"/>
    </row>
    <row r="10" spans="3:16" x14ac:dyDescent="0.25">
      <c r="D10" s="9">
        <f>1000000/E10</f>
        <v>1100.1100110011</v>
      </c>
      <c r="E10">
        <v>909</v>
      </c>
      <c r="F10" s="9">
        <f>IF(E10&lt;1000,-100000/E10,E10/10)</f>
        <v>-110.01100110011001</v>
      </c>
      <c r="G10">
        <f>1+E10/1000</f>
        <v>1.909</v>
      </c>
      <c r="H10" s="19">
        <f>IF(F10&lt;0,-100/F10,F10/100)</f>
        <v>0.90900000000000003</v>
      </c>
      <c r="I10" s="20">
        <f>1/G10</f>
        <v>0.52383446830801461</v>
      </c>
      <c r="J10" s="16"/>
      <c r="K10" s="16"/>
      <c r="N10" s="20"/>
    </row>
    <row r="11" spans="3:16" x14ac:dyDescent="0.25">
      <c r="D11" s="9">
        <f>1000000/E11</f>
        <v>1000</v>
      </c>
      <c r="E11">
        <v>1000</v>
      </c>
      <c r="F11" s="9">
        <f>IF(E11&lt;=1000,-100000/E11,E11/10)</f>
        <v>-100</v>
      </c>
      <c r="G11">
        <f t="shared" ref="G11:G12" si="0">1+E11/1000</f>
        <v>2</v>
      </c>
      <c r="H11" s="19">
        <f t="shared" ref="H11:H12" si="1">IF(F11&lt;0,-100/F11,F11/100)</f>
        <v>1</v>
      </c>
      <c r="I11" s="20">
        <f t="shared" ref="I11:I12" si="2">1/G11</f>
        <v>0.5</v>
      </c>
      <c r="J11" s="26">
        <f>I11+I10</f>
        <v>1.0238344683080145</v>
      </c>
    </row>
    <row r="12" spans="3:16" x14ac:dyDescent="0.25">
      <c r="D12" s="9">
        <f>1000000/E12</f>
        <v>2500</v>
      </c>
      <c r="E12">
        <v>400</v>
      </c>
      <c r="F12" s="9">
        <f t="shared" ref="F12" si="3">IF(E12&lt;1000,-100000/E12,E12/10)</f>
        <v>-250</v>
      </c>
      <c r="G12">
        <f t="shared" si="0"/>
        <v>1.4</v>
      </c>
      <c r="H12" s="19">
        <f t="shared" si="1"/>
        <v>0.4</v>
      </c>
      <c r="I12" s="20">
        <f t="shared" si="2"/>
        <v>0.7142857142857143</v>
      </c>
      <c r="J12" s="23">
        <f>I12+I11</f>
        <v>1.2142857142857144</v>
      </c>
    </row>
    <row r="13" spans="3:16" x14ac:dyDescent="0.25">
      <c r="E13">
        <v>500</v>
      </c>
      <c r="F13" s="9">
        <f t="shared" ref="F13:F14" si="4">IF(E13&lt;1000,-100000/E13,E13/10)</f>
        <v>-200</v>
      </c>
      <c r="G13">
        <f t="shared" ref="G13:G14" si="5">1+E13/1000</f>
        <v>1.5</v>
      </c>
      <c r="H13" s="19">
        <f t="shared" ref="H13:H14" si="6">IF(F13&lt;0,-100/F13,F13/100)</f>
        <v>0.5</v>
      </c>
      <c r="I13" s="20">
        <f t="shared" ref="I13:I14" si="7">1/G13</f>
        <v>0.66666666666666663</v>
      </c>
    </row>
    <row r="14" spans="3:16" x14ac:dyDescent="0.25">
      <c r="E14">
        <v>500</v>
      </c>
      <c r="F14" s="9">
        <f t="shared" si="4"/>
        <v>-200</v>
      </c>
      <c r="G14">
        <f t="shared" si="5"/>
        <v>1.5</v>
      </c>
      <c r="H14" s="19">
        <f t="shared" si="6"/>
        <v>0.5</v>
      </c>
      <c r="I14" s="20">
        <f t="shared" si="7"/>
        <v>0.66666666666666663</v>
      </c>
    </row>
    <row r="15" spans="3:16" x14ac:dyDescent="0.25">
      <c r="E15">
        <v>909</v>
      </c>
      <c r="F15" s="9">
        <f t="shared" ref="F15:F18" si="8">IF(E15&lt;1000,-100000/E15,E15/10)</f>
        <v>-110.01100110011001</v>
      </c>
      <c r="G15">
        <f t="shared" ref="G15:G18" si="9">1+E15/1000</f>
        <v>1.909</v>
      </c>
      <c r="H15" s="19">
        <f t="shared" ref="H15:H18" si="10">IF(F15&lt;0,-100/F15,F15/100)</f>
        <v>0.90900000000000003</v>
      </c>
      <c r="I15" s="20">
        <f t="shared" ref="I15:I18" si="11">1/G15</f>
        <v>0.52383446830801461</v>
      </c>
    </row>
    <row r="16" spans="3:16" x14ac:dyDescent="0.25">
      <c r="C16">
        <v>90</v>
      </c>
      <c r="D16">
        <v>90</v>
      </c>
      <c r="E16">
        <f>1000000/(E15+D16)-C16</f>
        <v>911.00100100100099</v>
      </c>
      <c r="F16" s="9">
        <f t="shared" si="8"/>
        <v>-109.76936346954697</v>
      </c>
      <c r="G16">
        <f t="shared" si="9"/>
        <v>1.911001001001001</v>
      </c>
      <c r="H16" s="19">
        <f t="shared" si="10"/>
        <v>0.9110010010010009</v>
      </c>
      <c r="I16" s="20">
        <f t="shared" si="11"/>
        <v>0.5232859634695064</v>
      </c>
      <c r="J16" s="8">
        <f>I16+I15-1</f>
        <v>4.7120431777520899E-2</v>
      </c>
    </row>
    <row r="17" spans="3:11" x14ac:dyDescent="0.25">
      <c r="E17">
        <v>500</v>
      </c>
      <c r="F17" s="9">
        <f t="shared" si="8"/>
        <v>-200</v>
      </c>
      <c r="G17">
        <f t="shared" si="9"/>
        <v>1.5</v>
      </c>
      <c r="H17" s="19">
        <f t="shared" si="10"/>
        <v>0.5</v>
      </c>
      <c r="I17" s="20">
        <f t="shared" si="11"/>
        <v>0.66666666666666663</v>
      </c>
      <c r="K17" s="25"/>
    </row>
    <row r="18" spans="3:11" x14ac:dyDescent="0.25">
      <c r="C18">
        <v>90</v>
      </c>
      <c r="D18">
        <v>90</v>
      </c>
      <c r="E18">
        <f>1000000/(E17+D18)-C18</f>
        <v>1604.9152542372881</v>
      </c>
      <c r="F18" s="9">
        <f t="shared" si="8"/>
        <v>160.4915254237288</v>
      </c>
      <c r="G18">
        <f t="shared" si="9"/>
        <v>2.6049152542372882</v>
      </c>
      <c r="H18" s="19">
        <f t="shared" si="10"/>
        <v>1.604915254237288</v>
      </c>
      <c r="I18" s="20">
        <f t="shared" si="11"/>
        <v>0.38388964799271258</v>
      </c>
      <c r="J18" s="8">
        <f>I18+I17-1</f>
        <v>5.0556314659379264E-2</v>
      </c>
      <c r="K18" s="25"/>
    </row>
    <row r="19" spans="3:11" x14ac:dyDescent="0.25">
      <c r="E19">
        <v>1604</v>
      </c>
      <c r="F19" s="9">
        <f t="shared" ref="F19:F22" si="12">IF(E19&lt;1000,-100000/E19,E19/10)</f>
        <v>160.4</v>
      </c>
      <c r="G19">
        <f t="shared" ref="G19:G22" si="13">1+E19/1000</f>
        <v>2.6040000000000001</v>
      </c>
      <c r="H19" s="19">
        <f t="shared" ref="H19:H22" si="14">IF(F19&lt;0,-100/F19,F19/100)</f>
        <v>1.6040000000000001</v>
      </c>
      <c r="I19" s="20">
        <f t="shared" ref="I19:I22" si="15">1/G19</f>
        <v>0.38402457757296465</v>
      </c>
      <c r="K19" s="25"/>
    </row>
    <row r="20" spans="3:11" x14ac:dyDescent="0.25">
      <c r="C20">
        <v>90</v>
      </c>
      <c r="D20">
        <v>90</v>
      </c>
      <c r="E20">
        <f>1000000/(E19+D20)-C20</f>
        <v>500.31877213695395</v>
      </c>
      <c r="F20" s="9">
        <f t="shared" si="12"/>
        <v>-199.87257238596408</v>
      </c>
      <c r="G20">
        <f t="shared" si="13"/>
        <v>1.500318772136954</v>
      </c>
      <c r="H20" s="19">
        <f t="shared" si="14"/>
        <v>0.50031877213695397</v>
      </c>
      <c r="I20" s="20">
        <f t="shared" si="15"/>
        <v>0.66652502026330496</v>
      </c>
      <c r="J20" s="8">
        <f>I20+I19-1</f>
        <v>5.0549597836269555E-2</v>
      </c>
      <c r="K20" s="25"/>
    </row>
    <row r="21" spans="3:11" x14ac:dyDescent="0.25">
      <c r="E21">
        <v>3000</v>
      </c>
      <c r="F21" s="9">
        <f t="shared" si="12"/>
        <v>300</v>
      </c>
      <c r="G21">
        <f t="shared" si="13"/>
        <v>4</v>
      </c>
      <c r="H21" s="19">
        <f t="shared" si="14"/>
        <v>3</v>
      </c>
      <c r="I21" s="20">
        <f t="shared" si="15"/>
        <v>0.25</v>
      </c>
      <c r="K21" s="25"/>
    </row>
    <row r="22" spans="3:11" x14ac:dyDescent="0.25">
      <c r="C22">
        <v>90</v>
      </c>
      <c r="D22">
        <v>90</v>
      </c>
      <c r="E22">
        <f>1000000/(E21+D22)-C22</f>
        <v>233.62459546925567</v>
      </c>
      <c r="F22" s="9">
        <f t="shared" si="12"/>
        <v>-428.03712425543705</v>
      </c>
      <c r="G22">
        <f t="shared" si="13"/>
        <v>1.2336245954692557</v>
      </c>
      <c r="H22" s="19">
        <f t="shared" si="14"/>
        <v>0.23362459546925565</v>
      </c>
      <c r="I22" s="20">
        <f t="shared" si="15"/>
        <v>0.81061937616411761</v>
      </c>
      <c r="J22" s="8">
        <f>I22+I21-1</f>
        <v>6.0619376164117611E-2</v>
      </c>
      <c r="K22" s="25"/>
    </row>
    <row r="23" spans="3:11" x14ac:dyDescent="0.25">
      <c r="E23">
        <v>233</v>
      </c>
      <c r="F23" s="9">
        <f t="shared" ref="F23:F24" si="16">IF(E23&lt;1000,-100000/E23,E23/10)</f>
        <v>-429.18454935622316</v>
      </c>
      <c r="G23">
        <f t="shared" ref="G23:G24" si="17">1+E23/1000</f>
        <v>1.2330000000000001</v>
      </c>
      <c r="H23" s="19">
        <f t="shared" ref="H23:H24" si="18">IF(F23&lt;0,-100/F23,F23/100)</f>
        <v>0.23300000000000001</v>
      </c>
      <c r="I23" s="20">
        <f t="shared" ref="I23:I24" si="19">1/G23</f>
        <v>0.81103000811030002</v>
      </c>
    </row>
    <row r="24" spans="3:11" x14ac:dyDescent="0.25">
      <c r="C24">
        <v>90</v>
      </c>
      <c r="D24">
        <v>90</v>
      </c>
      <c r="E24">
        <f>1000000/(E23+D24)-C24</f>
        <v>3005.9752321981423</v>
      </c>
      <c r="F24" s="9">
        <f t="shared" si="16"/>
        <v>300.59752321981421</v>
      </c>
      <c r="G24">
        <f t="shared" si="17"/>
        <v>4.0059752321981428</v>
      </c>
      <c r="H24" s="19">
        <f t="shared" si="18"/>
        <v>3.0059752321981419</v>
      </c>
      <c r="I24" s="20">
        <f t="shared" si="19"/>
        <v>0.24962710502113714</v>
      </c>
      <c r="J24" s="8">
        <f>I24+I23-1</f>
        <v>6.0657113131437068E-2</v>
      </c>
    </row>
    <row r="25" spans="3:11" x14ac:dyDescent="0.25">
      <c r="F25" s="9"/>
      <c r="G25" s="24"/>
      <c r="H25" s="20"/>
    </row>
    <row r="26" spans="3:11" x14ac:dyDescent="0.25">
      <c r="F26" s="9"/>
      <c r="G26" s="24"/>
      <c r="H26" s="20"/>
    </row>
    <row r="27" spans="3:11" x14ac:dyDescent="0.25">
      <c r="F27" s="9"/>
      <c r="G27" s="24"/>
      <c r="H27" s="20"/>
    </row>
    <row r="28" spans="3:11" x14ac:dyDescent="0.25">
      <c r="F28" s="9"/>
      <c r="G28" s="24"/>
      <c r="H28" s="20"/>
    </row>
    <row r="29" spans="3:11" x14ac:dyDescent="0.25">
      <c r="F29" s="9"/>
      <c r="G29" s="24"/>
      <c r="H29" s="20"/>
    </row>
    <row r="30" spans="3:11" x14ac:dyDescent="0.25">
      <c r="F30" s="9"/>
      <c r="G30" s="24"/>
      <c r="H30" s="20"/>
    </row>
    <row r="31" spans="3:11" x14ac:dyDescent="0.25">
      <c r="F31" s="9"/>
      <c r="G31" s="24"/>
      <c r="H31" s="20"/>
    </row>
    <row r="32" spans="3:11" x14ac:dyDescent="0.25">
      <c r="F32" s="9"/>
      <c r="G32" s="24"/>
      <c r="H32" s="20"/>
    </row>
    <row r="33" spans="6:8" x14ac:dyDescent="0.25">
      <c r="F33" s="9"/>
      <c r="G33" s="24"/>
      <c r="H33" s="20"/>
    </row>
    <row r="34" spans="6:8" x14ac:dyDescent="0.25">
      <c r="F34" s="9"/>
      <c r="G34" s="24"/>
      <c r="H34" s="20"/>
    </row>
    <row r="35" spans="6:8" x14ac:dyDescent="0.25">
      <c r="F35" s="9"/>
      <c r="G35" s="24"/>
      <c r="H35" s="20"/>
    </row>
    <row r="36" spans="6:8" x14ac:dyDescent="0.25">
      <c r="F36" s="9"/>
      <c r="G36" s="24"/>
      <c r="H36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524A-F649-42D5-B531-EF1C40608E85}">
  <dimension ref="A1:AH67"/>
  <sheetViews>
    <sheetView tabSelected="1" zoomScale="75" zoomScaleNormal="75" workbookViewId="0">
      <selection activeCell="E5" sqref="E5"/>
    </sheetView>
  </sheetViews>
  <sheetFormatPr defaultRowHeight="15" x14ac:dyDescent="0.25"/>
  <cols>
    <col min="1" max="1" width="9.140625" style="33"/>
    <col min="2" max="2" width="12.7109375" style="33" customWidth="1"/>
    <col min="3" max="3" width="14.42578125" style="33" bestFit="1" customWidth="1"/>
    <col min="4" max="4" width="13.140625" style="33" customWidth="1"/>
    <col min="5" max="9" width="12.7109375" style="33" bestFit="1" customWidth="1"/>
    <col min="10" max="10" width="10" style="33" customWidth="1"/>
    <col min="11" max="11" width="11.140625" style="33" customWidth="1"/>
    <col min="12" max="12" width="14.85546875" style="33" customWidth="1"/>
    <col min="13" max="13" width="14.140625" style="33" bestFit="1" customWidth="1"/>
    <col min="14" max="14" width="12.140625" style="33" customWidth="1"/>
    <col min="15" max="15" width="14.140625" style="33" bestFit="1" customWidth="1"/>
    <col min="16" max="18" width="14" style="33" bestFit="1" customWidth="1"/>
    <col min="19" max="19" width="12.7109375" style="33" bestFit="1" customWidth="1"/>
    <col min="20" max="20" width="12.140625" style="33" customWidth="1"/>
    <col min="21" max="21" width="11.5703125" style="33" customWidth="1"/>
    <col min="22" max="23" width="12.85546875" style="33" bestFit="1" customWidth="1"/>
    <col min="24" max="34" width="12.7109375" style="33" bestFit="1" customWidth="1"/>
    <col min="35" max="16384" width="9.140625" style="33"/>
  </cols>
  <sheetData>
    <row r="1" spans="1:25" x14ac:dyDescent="0.25">
      <c r="B1" s="34"/>
      <c r="C1" s="34"/>
      <c r="F1" s="36"/>
      <c r="G1" s="36"/>
      <c r="H1" s="58"/>
      <c r="I1" s="35"/>
      <c r="J1" s="58"/>
      <c r="K1" s="35"/>
      <c r="L1" s="36"/>
      <c r="M1" s="36"/>
      <c r="N1" s="56"/>
      <c r="O1" s="35"/>
      <c r="P1" s="58"/>
      <c r="Q1" s="36"/>
      <c r="R1" s="35"/>
      <c r="S1" s="38"/>
      <c r="T1" s="38"/>
      <c r="U1" s="34"/>
    </row>
    <row r="2" spans="1:25" x14ac:dyDescent="0.25">
      <c r="B2" s="34"/>
      <c r="C2" s="34"/>
      <c r="F2" s="36" t="s">
        <v>181</v>
      </c>
      <c r="G2" s="36"/>
      <c r="H2" s="58" t="s">
        <v>188</v>
      </c>
      <c r="I2" s="35"/>
      <c r="J2" s="58" t="s">
        <v>189</v>
      </c>
      <c r="K2" s="35"/>
      <c r="L2" s="56" t="s">
        <v>182</v>
      </c>
      <c r="M2" s="36"/>
      <c r="N2" s="56"/>
      <c r="O2" s="35"/>
      <c r="P2" s="59" t="s">
        <v>161</v>
      </c>
      <c r="Q2" s="40" t="s">
        <v>162</v>
      </c>
      <c r="R2" s="39" t="s">
        <v>163</v>
      </c>
      <c r="S2" s="41" t="s">
        <v>172</v>
      </c>
      <c r="T2" s="41" t="s">
        <v>173</v>
      </c>
      <c r="U2" s="40" t="s">
        <v>184</v>
      </c>
      <c r="V2" s="54" t="s">
        <v>185</v>
      </c>
    </row>
    <row r="3" spans="1:25" x14ac:dyDescent="0.25">
      <c r="A3" s="53" t="s">
        <v>183</v>
      </c>
      <c r="B3" s="42" t="s">
        <v>164</v>
      </c>
      <c r="C3" s="42" t="s">
        <v>165</v>
      </c>
      <c r="F3" s="40" t="s">
        <v>168</v>
      </c>
      <c r="G3" s="40" t="s">
        <v>169</v>
      </c>
      <c r="H3" s="59" t="s">
        <v>166</v>
      </c>
      <c r="I3" s="39" t="s">
        <v>167</v>
      </c>
      <c r="J3" s="59" t="s">
        <v>170</v>
      </c>
      <c r="K3" s="39" t="s">
        <v>171</v>
      </c>
      <c r="L3" s="57" t="s">
        <v>179</v>
      </c>
      <c r="M3" s="40" t="s">
        <v>180</v>
      </c>
      <c r="N3" s="57" t="s">
        <v>187</v>
      </c>
      <c r="O3" s="39" t="s">
        <v>175</v>
      </c>
      <c r="P3" s="60">
        <v>150</v>
      </c>
      <c r="Q3" s="43">
        <v>0</v>
      </c>
      <c r="R3" s="35"/>
      <c r="S3" s="38"/>
      <c r="T3" s="38"/>
      <c r="U3" s="34"/>
    </row>
    <row r="4" spans="1:25" x14ac:dyDescent="0.25">
      <c r="A4" s="33">
        <v>0</v>
      </c>
      <c r="B4" s="50">
        <v>909</v>
      </c>
      <c r="C4" s="61">
        <f>INT(1000000/(B4+90)-90)</f>
        <v>911</v>
      </c>
      <c r="D4" s="33">
        <f>909</f>
        <v>909</v>
      </c>
      <c r="E4" s="61">
        <f>INT(1000000/(D4+90)-90)</f>
        <v>911</v>
      </c>
      <c r="F4" s="50">
        <f>L4</f>
        <v>10</v>
      </c>
      <c r="G4" s="50">
        <f>M4</f>
        <v>0</v>
      </c>
      <c r="H4" s="58">
        <f>F4*B4/1000</f>
        <v>9.09</v>
      </c>
      <c r="I4" s="51">
        <v>0</v>
      </c>
      <c r="J4" s="58">
        <f>H4-G4</f>
        <v>9.09</v>
      </c>
      <c r="K4" s="35">
        <f>I4-F4</f>
        <v>-10</v>
      </c>
      <c r="L4" s="56">
        <v>10</v>
      </c>
      <c r="M4" s="36">
        <v>0</v>
      </c>
      <c r="N4" s="58">
        <f>MAX(J4:K4,0)</f>
        <v>9.09</v>
      </c>
      <c r="O4" s="39">
        <f>MAX(J4:K4)</f>
        <v>9.09</v>
      </c>
      <c r="P4" s="60">
        <f>P3-O4</f>
        <v>140.91</v>
      </c>
      <c r="Q4" s="43">
        <f>Q3+O4</f>
        <v>9.09</v>
      </c>
      <c r="R4" s="35">
        <f>SUM(L4:M4)</f>
        <v>10</v>
      </c>
      <c r="S4" s="38"/>
      <c r="T4" s="38"/>
      <c r="U4" s="36">
        <f t="shared" ref="U4:V6" si="0">L4*B4/1000+L4</f>
        <v>19.09</v>
      </c>
      <c r="V4" s="36">
        <f t="shared" si="0"/>
        <v>0</v>
      </c>
      <c r="W4" s="33">
        <f>U4*99/100</f>
        <v>18.899100000000001</v>
      </c>
      <c r="X4" s="36"/>
      <c r="Y4" s="36"/>
    </row>
    <row r="5" spans="1:25" x14ac:dyDescent="0.25">
      <c r="B5" s="50">
        <v>915</v>
      </c>
      <c r="C5" s="61">
        <f t="shared" ref="C5:C19" si="1">INT(1000000/(B5+90)-90)</f>
        <v>905</v>
      </c>
      <c r="D5" s="33">
        <v>1500</v>
      </c>
      <c r="E5" s="61">
        <f>INT(1000000/(D5+90)-90)</f>
        <v>538</v>
      </c>
      <c r="F5" s="50">
        <f>F4+L5</f>
        <v>10</v>
      </c>
      <c r="G5" s="50">
        <f>G4+M5</f>
        <v>10</v>
      </c>
      <c r="H5" s="58">
        <f>F5*B5/1000</f>
        <v>9.15</v>
      </c>
      <c r="I5" s="51">
        <f>C5*G5/1000</f>
        <v>9.0500000000000007</v>
      </c>
      <c r="J5" s="58">
        <f>H5-G5</f>
        <v>-0.84999999999999964</v>
      </c>
      <c r="K5" s="35">
        <f>I5-F5</f>
        <v>-0.94999999999999929</v>
      </c>
      <c r="L5" s="56">
        <v>0</v>
      </c>
      <c r="M5" s="36">
        <v>10</v>
      </c>
      <c r="N5" s="58">
        <f t="shared" ref="N5:N19" si="2">MAX(J5:K5,0)</f>
        <v>0</v>
      </c>
      <c r="O5" s="39">
        <f>N5-N4</f>
        <v>-9.09</v>
      </c>
      <c r="P5" s="60">
        <f>P4-O5</f>
        <v>150</v>
      </c>
      <c r="Q5" s="43">
        <f>Q4+O5</f>
        <v>0</v>
      </c>
      <c r="R5" s="35">
        <f>SUM(L5:M5)+R4</f>
        <v>20</v>
      </c>
      <c r="S5" s="38"/>
      <c r="T5" s="38"/>
      <c r="U5" s="36">
        <f t="shared" si="0"/>
        <v>0</v>
      </c>
      <c r="V5" s="36">
        <f t="shared" si="0"/>
        <v>19.05</v>
      </c>
      <c r="X5" s="36"/>
      <c r="Y5" s="36"/>
    </row>
    <row r="6" spans="1:25" x14ac:dyDescent="0.25">
      <c r="B6" s="50">
        <v>915</v>
      </c>
      <c r="C6" s="61">
        <f t="shared" si="1"/>
        <v>905</v>
      </c>
      <c r="F6" s="50">
        <f>F5+L6</f>
        <v>10</v>
      </c>
      <c r="G6" s="50">
        <f>G5+M6</f>
        <v>10</v>
      </c>
      <c r="H6" s="58">
        <f>F6*B6/1000</f>
        <v>9.15</v>
      </c>
      <c r="I6" s="51">
        <f>C6*G6/1000</f>
        <v>9.0500000000000007</v>
      </c>
      <c r="J6" s="58">
        <f>H6-G6</f>
        <v>-0.84999999999999964</v>
      </c>
      <c r="K6" s="35">
        <f>I6-F6</f>
        <v>-0.94999999999999929</v>
      </c>
      <c r="L6" s="56">
        <v>0</v>
      </c>
      <c r="M6" s="36">
        <v>0</v>
      </c>
      <c r="N6" s="58">
        <f t="shared" si="2"/>
        <v>0</v>
      </c>
      <c r="O6" s="39">
        <f>N6-N5</f>
        <v>0</v>
      </c>
      <c r="P6" s="60">
        <f>P5-O6</f>
        <v>150</v>
      </c>
      <c r="Q6" s="43">
        <f>Q5+O6</f>
        <v>0</v>
      </c>
      <c r="R6" s="35">
        <f t="shared" ref="R6:R10" si="3">SUM(L6:M6)+R5</f>
        <v>20</v>
      </c>
      <c r="S6" s="38"/>
      <c r="T6" s="38"/>
      <c r="U6" s="36">
        <f t="shared" si="0"/>
        <v>0</v>
      </c>
      <c r="V6" s="36">
        <f t="shared" si="0"/>
        <v>0</v>
      </c>
      <c r="X6" s="36"/>
      <c r="Y6" s="36"/>
    </row>
    <row r="7" spans="1:25" x14ac:dyDescent="0.25">
      <c r="B7" s="50"/>
      <c r="C7" s="61"/>
      <c r="F7" s="50"/>
      <c r="G7" s="50"/>
      <c r="H7" s="58"/>
      <c r="I7" s="51"/>
      <c r="J7" s="59"/>
      <c r="K7" s="39"/>
      <c r="L7" s="56"/>
      <c r="M7" s="36"/>
      <c r="N7" s="58"/>
      <c r="O7" s="39"/>
      <c r="P7" s="60"/>
      <c r="Q7" s="43"/>
      <c r="R7" s="35"/>
      <c r="S7" s="38"/>
      <c r="T7" s="38"/>
      <c r="U7" s="36"/>
      <c r="V7" s="36"/>
      <c r="X7" s="36"/>
      <c r="Y7" s="36"/>
    </row>
    <row r="8" spans="1:25" x14ac:dyDescent="0.25">
      <c r="A8" s="33">
        <v>1</v>
      </c>
      <c r="B8" s="50">
        <v>1450</v>
      </c>
      <c r="C8" s="61">
        <f t="shared" si="1"/>
        <v>559</v>
      </c>
      <c r="F8" s="50">
        <f>L8</f>
        <v>5</v>
      </c>
      <c r="G8" s="50">
        <f>M8</f>
        <v>0</v>
      </c>
      <c r="H8" s="58">
        <f>F8*B8/1000</f>
        <v>7.25</v>
      </c>
      <c r="I8" s="51">
        <v>0</v>
      </c>
      <c r="J8" s="58">
        <f>H8-G8</f>
        <v>7.25</v>
      </c>
      <c r="K8" s="35">
        <f>I8-F8</f>
        <v>-5</v>
      </c>
      <c r="L8" s="56">
        <v>5</v>
      </c>
      <c r="M8" s="36">
        <v>0</v>
      </c>
      <c r="N8" s="58">
        <f t="shared" si="2"/>
        <v>7.25</v>
      </c>
      <c r="O8" s="39">
        <f>MAX(J8:K8)</f>
        <v>7.25</v>
      </c>
      <c r="P8" s="60">
        <f>P6-O8</f>
        <v>142.75</v>
      </c>
      <c r="Q8" s="43">
        <f>Q6+O8</f>
        <v>7.25</v>
      </c>
      <c r="R8" s="35">
        <f>SUM(L8:M8)+R6</f>
        <v>25</v>
      </c>
      <c r="S8" s="38"/>
      <c r="T8" s="38"/>
      <c r="U8" s="36">
        <f t="shared" ref="U8:V10" si="4">L8*B8/1000+L8</f>
        <v>12.25</v>
      </c>
      <c r="V8" s="36">
        <f t="shared" si="4"/>
        <v>0</v>
      </c>
      <c r="X8" s="36"/>
      <c r="Y8" s="36"/>
    </row>
    <row r="9" spans="1:25" x14ac:dyDescent="0.25">
      <c r="B9" s="50">
        <v>1450</v>
      </c>
      <c r="C9" s="61">
        <f t="shared" si="1"/>
        <v>559</v>
      </c>
      <c r="F9" s="50">
        <f>F8+L9</f>
        <v>5</v>
      </c>
      <c r="G9" s="50">
        <f>G8+M9</f>
        <v>5</v>
      </c>
      <c r="H9" s="58">
        <f>F9*B9/1000</f>
        <v>7.25</v>
      </c>
      <c r="I9" s="51">
        <f>C9*G9/1000</f>
        <v>2.7949999999999999</v>
      </c>
      <c r="J9" s="58">
        <f>H9-G9</f>
        <v>2.25</v>
      </c>
      <c r="K9" s="35">
        <f>I9-F9</f>
        <v>-2.2050000000000001</v>
      </c>
      <c r="L9" s="56">
        <v>0</v>
      </c>
      <c r="M9" s="36">
        <v>5</v>
      </c>
      <c r="N9" s="58">
        <f t="shared" si="2"/>
        <v>2.25</v>
      </c>
      <c r="O9" s="39">
        <f>N9-N8</f>
        <v>-5</v>
      </c>
      <c r="P9" s="60">
        <f>P8-O9</f>
        <v>147.75</v>
      </c>
      <c r="Q9" s="43">
        <f>Q8+O9</f>
        <v>2.25</v>
      </c>
      <c r="R9" s="35">
        <f t="shared" si="3"/>
        <v>30</v>
      </c>
      <c r="S9" s="38"/>
      <c r="T9" s="38"/>
      <c r="U9" s="36">
        <f t="shared" si="4"/>
        <v>0</v>
      </c>
      <c r="V9" s="36">
        <f t="shared" si="4"/>
        <v>7.7949999999999999</v>
      </c>
      <c r="X9" s="36"/>
      <c r="Y9" s="36"/>
    </row>
    <row r="10" spans="1:25" x14ac:dyDescent="0.25">
      <c r="B10" s="50">
        <v>1450</v>
      </c>
      <c r="C10" s="61">
        <f t="shared" si="1"/>
        <v>559</v>
      </c>
      <c r="F10" s="50">
        <f>F9+L10</f>
        <v>5</v>
      </c>
      <c r="G10" s="50">
        <f>G9+M10</f>
        <v>10</v>
      </c>
      <c r="H10" s="58">
        <f>F10*B10/1000</f>
        <v>7.25</v>
      </c>
      <c r="I10" s="51">
        <f>C10*G10/1000</f>
        <v>5.59</v>
      </c>
      <c r="J10" s="58">
        <f>H10-G10</f>
        <v>-2.75</v>
      </c>
      <c r="K10" s="35">
        <f>I10-F10</f>
        <v>0.58999999999999986</v>
      </c>
      <c r="L10" s="56">
        <v>0</v>
      </c>
      <c r="M10" s="36">
        <v>5</v>
      </c>
      <c r="N10" s="58">
        <f t="shared" si="2"/>
        <v>0.58999999999999986</v>
      </c>
      <c r="O10" s="39">
        <f>N10-N9</f>
        <v>-1.6600000000000001</v>
      </c>
      <c r="P10" s="60">
        <f>P9-O10</f>
        <v>149.41</v>
      </c>
      <c r="Q10" s="43">
        <f>Q9+O10</f>
        <v>0.58999999999999986</v>
      </c>
      <c r="R10" s="35">
        <f t="shared" si="3"/>
        <v>35</v>
      </c>
      <c r="S10" s="38"/>
      <c r="T10" s="38"/>
      <c r="U10" s="36">
        <f t="shared" si="4"/>
        <v>0</v>
      </c>
      <c r="V10" s="36">
        <f t="shared" si="4"/>
        <v>7.7949999999999999</v>
      </c>
      <c r="X10" s="36"/>
      <c r="Y10" s="36"/>
    </row>
    <row r="11" spans="1:25" x14ac:dyDescent="0.25">
      <c r="B11" s="50"/>
      <c r="C11" s="61"/>
      <c r="F11" s="50"/>
      <c r="G11" s="50"/>
      <c r="H11" s="58"/>
      <c r="I11" s="51"/>
      <c r="J11" s="58"/>
      <c r="K11" s="35"/>
      <c r="L11" s="56"/>
      <c r="M11" s="36"/>
      <c r="N11" s="58"/>
      <c r="O11" s="35"/>
      <c r="P11" s="60"/>
      <c r="Q11" s="43"/>
      <c r="R11" s="35"/>
      <c r="S11" s="38"/>
      <c r="T11" s="38"/>
      <c r="U11" s="36"/>
      <c r="V11" s="36"/>
      <c r="X11" s="36"/>
      <c r="Y11" s="36"/>
    </row>
    <row r="12" spans="1:25" x14ac:dyDescent="0.25">
      <c r="A12" s="33">
        <v>2</v>
      </c>
      <c r="B12" s="52">
        <v>2450</v>
      </c>
      <c r="C12" s="61">
        <f t="shared" si="1"/>
        <v>303</v>
      </c>
      <c r="F12" s="50">
        <f>L12</f>
        <v>0</v>
      </c>
      <c r="G12" s="50">
        <f>M12</f>
        <v>5</v>
      </c>
      <c r="H12" s="58">
        <f>F12*B12/1000</f>
        <v>0</v>
      </c>
      <c r="I12" s="51">
        <f>G12*C12/1000</f>
        <v>1.5149999999999999</v>
      </c>
      <c r="J12" s="58">
        <f>H12-G12</f>
        <v>-5</v>
      </c>
      <c r="K12" s="35">
        <f>I12-F12</f>
        <v>1.5149999999999999</v>
      </c>
      <c r="L12" s="56">
        <v>0</v>
      </c>
      <c r="M12" s="36">
        <v>5</v>
      </c>
      <c r="N12" s="58">
        <f t="shared" si="2"/>
        <v>1.5149999999999999</v>
      </c>
      <c r="O12" s="39">
        <f>MAX(J12:K12)</f>
        <v>1.5149999999999999</v>
      </c>
      <c r="P12" s="60">
        <f>P10-O12</f>
        <v>147.89500000000001</v>
      </c>
      <c r="Q12" s="43">
        <f>Q10+O12</f>
        <v>2.1049999999999995</v>
      </c>
      <c r="R12" s="35">
        <f>SUM(L12:M12)+R10</f>
        <v>40</v>
      </c>
      <c r="S12" s="38"/>
      <c r="T12" s="38"/>
      <c r="U12" s="36">
        <f>L12*B12/1000+L12</f>
        <v>0</v>
      </c>
      <c r="V12" s="36">
        <f>M12*C12/1000+M12</f>
        <v>6.5149999999999997</v>
      </c>
      <c r="X12" s="36"/>
      <c r="Y12" s="36"/>
    </row>
    <row r="13" spans="1:25" x14ac:dyDescent="0.25">
      <c r="B13" s="52">
        <v>2450</v>
      </c>
      <c r="C13" s="61">
        <f t="shared" si="1"/>
        <v>303</v>
      </c>
      <c r="F13" s="50">
        <f>F12+L13</f>
        <v>5</v>
      </c>
      <c r="G13" s="50">
        <f>G12+M13</f>
        <v>5</v>
      </c>
      <c r="H13" s="58">
        <f>F13*B13/1000</f>
        <v>12.25</v>
      </c>
      <c r="I13" s="51">
        <f>G13*C13/1000</f>
        <v>1.5149999999999999</v>
      </c>
      <c r="J13" s="58">
        <f>H13-G13</f>
        <v>7.25</v>
      </c>
      <c r="K13" s="35">
        <f>I13-F13</f>
        <v>-3.4850000000000003</v>
      </c>
      <c r="L13" s="56">
        <v>5</v>
      </c>
      <c r="M13" s="36">
        <v>0</v>
      </c>
      <c r="N13" s="58">
        <f t="shared" si="2"/>
        <v>7.25</v>
      </c>
      <c r="O13" s="39">
        <f>N13-N12</f>
        <v>5.7350000000000003</v>
      </c>
      <c r="P13" s="60">
        <f>P12-O13</f>
        <v>142.16</v>
      </c>
      <c r="Q13" s="43">
        <f>Q12+O13</f>
        <v>7.84</v>
      </c>
      <c r="R13" s="35">
        <f>SUM(L13:M13)+R12</f>
        <v>45</v>
      </c>
      <c r="S13" s="38"/>
      <c r="T13" s="38"/>
      <c r="U13" s="36">
        <f>L13*B13/1000+L13</f>
        <v>17.25</v>
      </c>
      <c r="V13" s="36">
        <f>M13*C13/1000+M13</f>
        <v>0</v>
      </c>
      <c r="X13" s="36"/>
      <c r="Y13" s="36"/>
    </row>
    <row r="14" spans="1:25" x14ac:dyDescent="0.25">
      <c r="B14" s="36"/>
      <c r="C14" s="61"/>
      <c r="F14" s="36"/>
      <c r="G14" s="36"/>
      <c r="H14" s="58"/>
      <c r="I14" s="35"/>
      <c r="J14" s="58"/>
      <c r="K14" s="35"/>
      <c r="L14" s="56"/>
      <c r="M14" s="36"/>
      <c r="N14" s="58"/>
      <c r="O14" s="35"/>
      <c r="P14" s="60"/>
      <c r="Q14" s="43"/>
      <c r="R14" s="35"/>
      <c r="S14" s="38"/>
      <c r="T14" s="38"/>
      <c r="U14" s="36"/>
      <c r="V14" s="36"/>
      <c r="X14" s="36"/>
      <c r="Y14" s="36"/>
    </row>
    <row r="15" spans="1:25" x14ac:dyDescent="0.25">
      <c r="A15" s="33">
        <v>10</v>
      </c>
      <c r="B15" s="52">
        <v>2450</v>
      </c>
      <c r="C15" s="61">
        <f t="shared" si="1"/>
        <v>303</v>
      </c>
      <c r="F15" s="50">
        <f>L15</f>
        <v>100</v>
      </c>
      <c r="G15" s="50">
        <f>M15</f>
        <v>0</v>
      </c>
      <c r="H15" s="58">
        <f>F15*B15/1000</f>
        <v>245</v>
      </c>
      <c r="I15" s="51">
        <f>G15*C15/1000</f>
        <v>0</v>
      </c>
      <c r="J15" s="58">
        <f>H15-G15</f>
        <v>245</v>
      </c>
      <c r="K15" s="35">
        <f>I15-F15</f>
        <v>-100</v>
      </c>
      <c r="L15" s="56">
        <v>100</v>
      </c>
      <c r="M15" s="36">
        <v>0</v>
      </c>
      <c r="N15" s="58">
        <f>MAX(J15:K15,0)</f>
        <v>245</v>
      </c>
      <c r="O15" s="39">
        <f>MAX(J15:K15)</f>
        <v>245</v>
      </c>
      <c r="P15" s="58"/>
      <c r="Q15" s="35"/>
      <c r="R15" s="35">
        <f>L15+R13+M15</f>
        <v>145</v>
      </c>
      <c r="S15" s="38"/>
      <c r="T15" s="38"/>
      <c r="U15" s="36">
        <f>L15*B15/1000+L15</f>
        <v>345</v>
      </c>
      <c r="V15" s="36">
        <f>M15*C15/1000+M15</f>
        <v>0</v>
      </c>
      <c r="X15" s="36"/>
      <c r="Y15" s="36"/>
    </row>
    <row r="16" spans="1:25" x14ac:dyDescent="0.25">
      <c r="B16" s="52">
        <v>2450</v>
      </c>
      <c r="C16" s="61">
        <f t="shared" si="1"/>
        <v>303</v>
      </c>
      <c r="F16" s="50">
        <f>F15+L16</f>
        <v>100</v>
      </c>
      <c r="G16" s="50">
        <f>G15+M16</f>
        <v>245</v>
      </c>
      <c r="H16" s="58">
        <f>F16*B16/1000</f>
        <v>245</v>
      </c>
      <c r="I16" s="51">
        <f>G16*C16/1000</f>
        <v>74.234999999999999</v>
      </c>
      <c r="J16" s="58">
        <f>H16-G16</f>
        <v>0</v>
      </c>
      <c r="K16" s="35">
        <f>I16-F16</f>
        <v>-25.765000000000001</v>
      </c>
      <c r="L16" s="56">
        <v>0</v>
      </c>
      <c r="M16" s="36">
        <v>245</v>
      </c>
      <c r="N16" s="58">
        <f t="shared" si="2"/>
        <v>0</v>
      </c>
      <c r="O16" s="39">
        <f>MAX(J16:K16,0)-O15</f>
        <v>-245</v>
      </c>
      <c r="P16" s="58"/>
      <c r="Q16" s="35"/>
      <c r="R16" s="35">
        <f>L16+R15+M16</f>
        <v>390</v>
      </c>
      <c r="S16" s="38"/>
      <c r="T16" s="38"/>
      <c r="U16" s="36">
        <f>L16*B16/1000+L16</f>
        <v>0</v>
      </c>
      <c r="V16" s="36">
        <f>M16*C16/1000+M16</f>
        <v>319.23500000000001</v>
      </c>
      <c r="X16" s="36"/>
      <c r="Y16" s="36"/>
    </row>
    <row r="17" spans="1:25" x14ac:dyDescent="0.25">
      <c r="B17" s="50"/>
      <c r="C17" s="61"/>
      <c r="F17" s="50"/>
      <c r="G17" s="50"/>
      <c r="H17" s="58"/>
      <c r="I17" s="51"/>
      <c r="J17" s="58"/>
      <c r="K17" s="35"/>
      <c r="L17" s="56"/>
      <c r="M17" s="36"/>
      <c r="N17" s="58"/>
      <c r="O17" s="39"/>
      <c r="P17" s="58"/>
      <c r="Q17" s="36"/>
      <c r="R17" s="35"/>
      <c r="S17" s="38"/>
      <c r="T17" s="38"/>
      <c r="U17" s="36"/>
      <c r="V17" s="36"/>
      <c r="X17" s="36"/>
      <c r="Y17" s="36"/>
    </row>
    <row r="18" spans="1:25" x14ac:dyDescent="0.25">
      <c r="B18" s="52">
        <v>1000</v>
      </c>
      <c r="C18" s="61">
        <f t="shared" si="1"/>
        <v>827</v>
      </c>
      <c r="F18" s="50">
        <f>L18</f>
        <v>0</v>
      </c>
      <c r="G18" s="50">
        <f>M18</f>
        <v>0</v>
      </c>
      <c r="H18" s="58">
        <f>F18*B18/1000</f>
        <v>0</v>
      </c>
      <c r="I18" s="51">
        <f>G18*C18/1000</f>
        <v>0</v>
      </c>
      <c r="J18" s="58">
        <f>H18-G18</f>
        <v>0</v>
      </c>
      <c r="K18" s="35">
        <f>I18-F18</f>
        <v>0</v>
      </c>
      <c r="L18" s="56">
        <v>0</v>
      </c>
      <c r="M18" s="36">
        <v>0</v>
      </c>
      <c r="N18" s="58">
        <f t="shared" si="2"/>
        <v>0</v>
      </c>
      <c r="O18" s="39">
        <f>MAX(J18:K18)</f>
        <v>0</v>
      </c>
      <c r="P18" s="58"/>
      <c r="Q18" s="35"/>
      <c r="R18" s="35"/>
      <c r="S18" s="38"/>
      <c r="T18" s="38"/>
      <c r="U18" s="36">
        <f>L18*B18/1000+L18</f>
        <v>0</v>
      </c>
      <c r="V18" s="36">
        <f>M18*C18/1000+M18</f>
        <v>0</v>
      </c>
      <c r="X18" s="36"/>
      <c r="Y18" s="36"/>
    </row>
    <row r="19" spans="1:25" x14ac:dyDescent="0.25">
      <c r="B19" s="52">
        <v>1000</v>
      </c>
      <c r="C19" s="61">
        <f t="shared" si="1"/>
        <v>827</v>
      </c>
      <c r="F19" s="50">
        <f>F18+L19</f>
        <v>0</v>
      </c>
      <c r="G19" s="50">
        <f>G18+M19</f>
        <v>0</v>
      </c>
      <c r="H19" s="58">
        <f>F19*B19/1000</f>
        <v>0</v>
      </c>
      <c r="I19" s="51">
        <f>G19*C19/1000</f>
        <v>0</v>
      </c>
      <c r="J19" s="58">
        <f>H19-G19</f>
        <v>0</v>
      </c>
      <c r="K19" s="35">
        <f>I19-F19</f>
        <v>0</v>
      </c>
      <c r="L19" s="56">
        <v>0</v>
      </c>
      <c r="M19" s="36">
        <v>0</v>
      </c>
      <c r="N19" s="58">
        <f t="shared" si="2"/>
        <v>0</v>
      </c>
      <c r="O19" s="39">
        <f>MAX(J19:K19,0)-O18</f>
        <v>0</v>
      </c>
      <c r="P19" s="58"/>
      <c r="Q19" s="36"/>
      <c r="R19" s="35">
        <f>R16+150</f>
        <v>540</v>
      </c>
      <c r="S19" s="38"/>
      <c r="T19" s="38"/>
      <c r="U19" s="36">
        <f>L19*B19/1000+L19</f>
        <v>0</v>
      </c>
      <c r="V19" s="36">
        <f>M19*C19/1000+M19</f>
        <v>0</v>
      </c>
      <c r="X19" s="36"/>
      <c r="Y19" s="36"/>
    </row>
    <row r="20" spans="1:25" x14ac:dyDescent="0.25">
      <c r="B20" s="36"/>
      <c r="C20" s="36"/>
      <c r="F20" s="36"/>
      <c r="G20" s="36"/>
      <c r="H20" s="58"/>
      <c r="I20" s="35"/>
      <c r="J20" s="58"/>
      <c r="K20" s="35"/>
      <c r="L20" s="56"/>
      <c r="M20" s="36"/>
      <c r="N20" s="56"/>
      <c r="O20" s="35"/>
      <c r="P20" s="58"/>
      <c r="Q20" s="36"/>
      <c r="R20" s="35"/>
      <c r="S20" s="38"/>
      <c r="T20" s="38"/>
      <c r="U20" s="34"/>
    </row>
    <row r="21" spans="1:25" x14ac:dyDescent="0.25">
      <c r="B21" s="36"/>
      <c r="C21" s="36"/>
      <c r="F21" s="36"/>
      <c r="G21" s="36"/>
      <c r="H21" s="58"/>
      <c r="I21" s="35"/>
      <c r="J21" s="58"/>
      <c r="K21" s="35"/>
      <c r="L21" s="56"/>
      <c r="M21" s="36"/>
      <c r="N21" s="56"/>
      <c r="O21" s="35"/>
      <c r="P21" s="58"/>
      <c r="Q21" s="36"/>
      <c r="R21" s="35"/>
      <c r="S21" s="38"/>
      <c r="T21" s="38" t="s">
        <v>174</v>
      </c>
      <c r="U21" s="34">
        <f>SUM(U4:U19)</f>
        <v>393.59000000000003</v>
      </c>
      <c r="V21" s="34">
        <f>SUM(V4:V19)</f>
        <v>360.39</v>
      </c>
    </row>
    <row r="22" spans="1:25" x14ac:dyDescent="0.25">
      <c r="B22" s="36"/>
      <c r="C22" s="36"/>
      <c r="F22" s="36"/>
      <c r="G22" s="36"/>
      <c r="H22" s="58"/>
      <c r="I22" s="35"/>
      <c r="J22" s="58"/>
      <c r="K22" s="35"/>
      <c r="L22" s="56"/>
      <c r="M22" s="36"/>
      <c r="N22" s="56"/>
      <c r="O22" s="35"/>
      <c r="P22" s="58"/>
      <c r="Q22" s="36"/>
      <c r="R22" s="35"/>
      <c r="S22" s="38"/>
      <c r="T22" s="38"/>
      <c r="U22" s="34"/>
    </row>
    <row r="23" spans="1:25" x14ac:dyDescent="0.25">
      <c r="B23" s="36"/>
      <c r="C23" s="36"/>
      <c r="D23" s="35"/>
      <c r="E23" s="35"/>
      <c r="F23" s="36"/>
      <c r="G23" s="36"/>
      <c r="H23" s="36"/>
      <c r="I23" s="36"/>
      <c r="J23" s="58"/>
      <c r="K23" s="35"/>
      <c r="L23" s="36"/>
      <c r="M23" s="36"/>
      <c r="N23" s="36"/>
      <c r="O23" s="36"/>
      <c r="P23" s="58"/>
      <c r="Q23" s="35"/>
      <c r="R23" s="47"/>
      <c r="S23" s="35"/>
      <c r="T23" s="38" t="s">
        <v>172</v>
      </c>
      <c r="U23" s="38">
        <f>U21*0.01</f>
        <v>3.9359000000000006</v>
      </c>
      <c r="V23" s="38">
        <f>V21*0.01</f>
        <v>3.6038999999999999</v>
      </c>
    </row>
    <row r="24" spans="1:25" x14ac:dyDescent="0.25">
      <c r="B24" s="36"/>
      <c r="C24" s="36"/>
      <c r="D24" s="35"/>
      <c r="E24" s="35"/>
      <c r="F24" s="36"/>
      <c r="G24" s="36"/>
      <c r="H24" s="36"/>
      <c r="I24" s="36"/>
      <c r="J24" s="35"/>
      <c r="K24" s="35"/>
      <c r="L24" s="36"/>
      <c r="M24" s="36"/>
      <c r="N24" s="36"/>
      <c r="O24" s="36"/>
      <c r="P24" s="35"/>
      <c r="Q24" s="35"/>
      <c r="R24" s="47"/>
      <c r="S24" s="35"/>
    </row>
    <row r="25" spans="1:25" x14ac:dyDescent="0.25">
      <c r="B25" s="36"/>
      <c r="C25" s="36"/>
      <c r="D25" s="35"/>
      <c r="E25" s="35"/>
      <c r="F25" s="36"/>
      <c r="G25" s="36"/>
      <c r="H25" s="36"/>
      <c r="I25" s="36"/>
      <c r="J25" s="35"/>
      <c r="K25" s="35"/>
      <c r="L25" s="36">
        <v>20</v>
      </c>
      <c r="M25" s="36"/>
      <c r="N25" s="36"/>
      <c r="O25" s="36"/>
      <c r="P25" s="35"/>
      <c r="Q25" s="35"/>
      <c r="R25" s="47"/>
      <c r="S25" s="35"/>
      <c r="T25" s="38" t="s">
        <v>173</v>
      </c>
      <c r="U25" s="35">
        <f>P3+R19</f>
        <v>690</v>
      </c>
      <c r="V25" s="34"/>
    </row>
    <row r="26" spans="1:25" x14ac:dyDescent="0.25">
      <c r="B26" s="44"/>
      <c r="C26" s="44"/>
      <c r="L26" s="46"/>
      <c r="M26" s="46"/>
      <c r="N26" s="46"/>
      <c r="O26" s="46"/>
      <c r="P26" s="45"/>
      <c r="Q26" s="48"/>
      <c r="R26" s="33">
        <v>194.13499999999999</v>
      </c>
      <c r="S26" s="48">
        <f>P13</f>
        <v>142.16</v>
      </c>
      <c r="T26" s="38" t="s">
        <v>161</v>
      </c>
      <c r="U26" s="43">
        <f>P13+Q13+R16-U21</f>
        <v>146.40999999999997</v>
      </c>
      <c r="V26" s="43">
        <f>P13+Q13+R16-V21</f>
        <v>179.61</v>
      </c>
    </row>
    <row r="27" spans="1:25" x14ac:dyDescent="0.25">
      <c r="B27" s="44"/>
      <c r="C27" s="44"/>
      <c r="L27" s="46"/>
      <c r="M27" s="46"/>
      <c r="N27" s="46"/>
      <c r="O27" s="46"/>
      <c r="P27" s="45"/>
      <c r="S27" s="48">
        <f>Q13</f>
        <v>7.84</v>
      </c>
      <c r="T27" s="38" t="s">
        <v>162</v>
      </c>
      <c r="U27" s="55">
        <v>0</v>
      </c>
      <c r="V27" s="55">
        <v>0</v>
      </c>
    </row>
    <row r="28" spans="1:25" x14ac:dyDescent="0.25">
      <c r="A28" s="33">
        <v>0</v>
      </c>
      <c r="B28" s="33">
        <v>199002</v>
      </c>
      <c r="C28" s="33" t="s">
        <v>205</v>
      </c>
      <c r="D28" s="33">
        <v>1617586540</v>
      </c>
      <c r="E28" s="33">
        <v>909</v>
      </c>
      <c r="F28" s="33">
        <v>909</v>
      </c>
      <c r="J28" s="46"/>
      <c r="K28" s="46"/>
      <c r="L28" s="46"/>
      <c r="M28" s="46"/>
      <c r="N28" s="45"/>
      <c r="O28" s="48"/>
      <c r="R28" s="33">
        <v>20</v>
      </c>
      <c r="S28" s="48">
        <f>R16</f>
        <v>390</v>
      </c>
      <c r="T28" s="38" t="s">
        <v>163</v>
      </c>
      <c r="U28" s="33">
        <v>0</v>
      </c>
      <c r="V28" s="33">
        <v>0</v>
      </c>
    </row>
    <row r="29" spans="1:25" x14ac:dyDescent="0.25">
      <c r="A29" s="33">
        <v>1</v>
      </c>
      <c r="B29" s="33">
        <f>B28+200002</f>
        <v>399004</v>
      </c>
      <c r="C29" s="33" t="s">
        <v>190</v>
      </c>
      <c r="D29" s="33">
        <v>1617586540</v>
      </c>
      <c r="E29" s="33">
        <v>1500</v>
      </c>
      <c r="F29" s="33">
        <v>538</v>
      </c>
      <c r="J29" s="46"/>
      <c r="K29" s="46"/>
      <c r="L29" s="46"/>
      <c r="M29" s="46"/>
      <c r="N29" s="45"/>
      <c r="S29" s="33">
        <v>0</v>
      </c>
      <c r="T29" s="38" t="s">
        <v>186</v>
      </c>
      <c r="U29" s="43">
        <f>U21-U23</f>
        <v>389.65410000000003</v>
      </c>
      <c r="V29" s="55">
        <f>V21-V23</f>
        <v>356.78609999999998</v>
      </c>
      <c r="W29" s="49">
        <f>U29-432.224</f>
        <v>-42.569899999999961</v>
      </c>
      <c r="X29" s="49">
        <f>U29-W29-350*99/100</f>
        <v>85.72399999999999</v>
      </c>
    </row>
    <row r="30" spans="1:25" x14ac:dyDescent="0.25">
      <c r="A30" s="33">
        <v>2</v>
      </c>
      <c r="B30" s="33">
        <f t="shared" ref="B30:B43" si="5">B29+200002</f>
        <v>599006</v>
      </c>
      <c r="C30" s="33" t="s">
        <v>191</v>
      </c>
      <c r="D30" s="33">
        <v>1617586540</v>
      </c>
      <c r="E30" s="33">
        <v>2500</v>
      </c>
      <c r="F30" s="33">
        <v>296</v>
      </c>
      <c r="J30" s="46"/>
      <c r="K30" s="46"/>
      <c r="L30" s="46"/>
      <c r="M30" s="46"/>
      <c r="N30" s="45">
        <v>100</v>
      </c>
      <c r="O30" s="33">
        <v>2500</v>
      </c>
      <c r="U30" s="49">
        <f>U29-(J4+F4)*99/100</f>
        <v>370.75500000000005</v>
      </c>
      <c r="X30" s="49">
        <f>U29-W29-85.724</f>
        <v>346.5</v>
      </c>
    </row>
    <row r="31" spans="1:25" x14ac:dyDescent="0.25">
      <c r="A31" s="33">
        <v>3</v>
      </c>
      <c r="B31" s="33">
        <f t="shared" si="5"/>
        <v>799008</v>
      </c>
      <c r="C31" s="33" t="s">
        <v>192</v>
      </c>
      <c r="D31" s="33">
        <v>1617586540</v>
      </c>
      <c r="E31" s="33">
        <v>1000</v>
      </c>
      <c r="F31" s="33">
        <v>827</v>
      </c>
      <c r="J31" s="46"/>
      <c r="K31" s="46"/>
      <c r="L31" s="46"/>
      <c r="M31" s="46"/>
      <c r="N31" s="45">
        <v>250</v>
      </c>
      <c r="O31" s="33">
        <v>296</v>
      </c>
    </row>
    <row r="32" spans="1:25" x14ac:dyDescent="0.25">
      <c r="A32" s="33">
        <v>4</v>
      </c>
      <c r="B32" s="33">
        <f t="shared" si="5"/>
        <v>999010</v>
      </c>
      <c r="C32" s="33" t="s">
        <v>193</v>
      </c>
      <c r="D32" s="33">
        <v>1617586540</v>
      </c>
      <c r="E32" s="33">
        <v>909</v>
      </c>
      <c r="F32" s="33">
        <v>911</v>
      </c>
      <c r="J32" s="46"/>
      <c r="K32" s="46"/>
      <c r="L32" s="46"/>
      <c r="M32" s="46"/>
      <c r="N32" s="45">
        <v>100</v>
      </c>
      <c r="O32" s="33">
        <v>1000</v>
      </c>
      <c r="U32" s="33">
        <v>129.32</v>
      </c>
      <c r="W32" s="33">
        <v>99.805398999999994</v>
      </c>
    </row>
    <row r="33" spans="1:23" x14ac:dyDescent="0.25">
      <c r="A33" s="33">
        <v>5</v>
      </c>
      <c r="B33" s="33">
        <f t="shared" si="5"/>
        <v>1199012</v>
      </c>
      <c r="C33" s="33" t="s">
        <v>194</v>
      </c>
      <c r="D33" s="33">
        <v>1617586540</v>
      </c>
      <c r="E33" s="33">
        <v>1500</v>
      </c>
      <c r="F33" s="33">
        <v>538</v>
      </c>
      <c r="J33" s="46"/>
      <c r="K33" s="46"/>
      <c r="L33" s="46"/>
      <c r="M33" s="46"/>
      <c r="N33" s="45">
        <v>100</v>
      </c>
      <c r="O33" s="33">
        <v>1000</v>
      </c>
      <c r="U33" s="33">
        <v>30</v>
      </c>
      <c r="W33" s="33">
        <v>99.831263000000007</v>
      </c>
    </row>
    <row r="34" spans="1:23" x14ac:dyDescent="0.25">
      <c r="A34" s="33">
        <v>6</v>
      </c>
      <c r="B34" s="33">
        <f t="shared" si="5"/>
        <v>1399014</v>
      </c>
      <c r="C34" s="33" t="s">
        <v>195</v>
      </c>
      <c r="D34" s="33">
        <v>1617586540</v>
      </c>
      <c r="E34" s="33">
        <v>2500</v>
      </c>
      <c r="F34" s="33">
        <v>296</v>
      </c>
      <c r="I34" s="35"/>
      <c r="J34" s="36"/>
      <c r="K34" s="36"/>
      <c r="L34" s="36"/>
      <c r="M34" s="36"/>
      <c r="N34" s="35"/>
      <c r="O34" s="35"/>
      <c r="P34" s="36"/>
      <c r="Q34" s="37"/>
      <c r="R34" s="38"/>
      <c r="S34" s="38"/>
      <c r="T34" s="34"/>
      <c r="U34" s="33">
        <v>150</v>
      </c>
      <c r="V34" s="33">
        <f>U33/U34</f>
        <v>0.2</v>
      </c>
      <c r="W34" s="33">
        <f>W33-W32</f>
        <v>2.5864000000012766E-2</v>
      </c>
    </row>
    <row r="35" spans="1:23" x14ac:dyDescent="0.25">
      <c r="A35" s="33">
        <v>7</v>
      </c>
      <c r="B35" s="33">
        <f t="shared" si="5"/>
        <v>1599016</v>
      </c>
      <c r="C35" s="33" t="s">
        <v>196</v>
      </c>
      <c r="D35" s="33">
        <v>1617586540</v>
      </c>
      <c r="E35" s="33">
        <v>1000</v>
      </c>
      <c r="F35" s="33">
        <v>827</v>
      </c>
      <c r="I35" s="35"/>
      <c r="J35" s="36"/>
      <c r="K35" s="36"/>
      <c r="L35" s="36"/>
      <c r="M35" s="36"/>
      <c r="N35" s="35">
        <f>SUM(N30:N34)</f>
        <v>550</v>
      </c>
      <c r="O35" s="35"/>
      <c r="P35" s="36"/>
      <c r="Q35" s="37"/>
      <c r="R35" s="38"/>
      <c r="S35" s="38"/>
      <c r="T35" s="34"/>
      <c r="W35" s="33">
        <f>V34*U26</f>
        <v>29.281999999999996</v>
      </c>
    </row>
    <row r="36" spans="1:23" x14ac:dyDescent="0.25">
      <c r="A36" s="33">
        <v>8</v>
      </c>
      <c r="B36" s="33">
        <f t="shared" si="5"/>
        <v>1799018</v>
      </c>
      <c r="C36" s="33" t="s">
        <v>197</v>
      </c>
      <c r="D36" s="33">
        <v>1617586540</v>
      </c>
      <c r="E36" s="33">
        <v>909</v>
      </c>
      <c r="F36" s="33">
        <v>911</v>
      </c>
      <c r="I36" s="35"/>
      <c r="J36" s="36"/>
      <c r="K36" s="36"/>
      <c r="L36" s="36"/>
      <c r="M36" s="36"/>
      <c r="N36" s="35"/>
      <c r="O36" s="35"/>
      <c r="P36" s="36"/>
      <c r="Q36" s="37"/>
      <c r="R36" s="38"/>
      <c r="S36" s="38"/>
      <c r="T36" s="34"/>
    </row>
    <row r="37" spans="1:23" x14ac:dyDescent="0.25">
      <c r="A37" s="33">
        <v>9</v>
      </c>
      <c r="B37" s="33">
        <f t="shared" si="5"/>
        <v>1999020</v>
      </c>
      <c r="C37" s="33" t="s">
        <v>198</v>
      </c>
      <c r="D37" s="33">
        <v>1617586540</v>
      </c>
      <c r="E37" s="33">
        <v>1500</v>
      </c>
      <c r="F37" s="33">
        <v>538</v>
      </c>
      <c r="I37" s="35"/>
      <c r="J37" s="36"/>
      <c r="K37" s="36"/>
      <c r="L37" s="36"/>
      <c r="M37" s="35"/>
      <c r="N37" s="35"/>
      <c r="O37" s="36"/>
      <c r="P37" s="37"/>
      <c r="Q37" s="35"/>
      <c r="R37" s="38"/>
      <c r="S37" s="34"/>
    </row>
    <row r="38" spans="1:23" x14ac:dyDescent="0.25">
      <c r="A38" s="33">
        <v>10</v>
      </c>
      <c r="B38" s="33">
        <f t="shared" si="5"/>
        <v>2199022</v>
      </c>
      <c r="C38" s="33" t="s">
        <v>199</v>
      </c>
      <c r="D38" s="33">
        <v>1617586540</v>
      </c>
      <c r="E38" s="33">
        <v>1000</v>
      </c>
      <c r="F38" s="33">
        <v>1000</v>
      </c>
    </row>
    <row r="39" spans="1:23" x14ac:dyDescent="0.25">
      <c r="A39" s="33">
        <v>11</v>
      </c>
      <c r="B39" s="33">
        <f t="shared" si="5"/>
        <v>2399024</v>
      </c>
      <c r="C39" s="33" t="s">
        <v>200</v>
      </c>
      <c r="D39" s="33">
        <v>1617586540</v>
      </c>
      <c r="E39" s="33">
        <v>1000</v>
      </c>
      <c r="F39" s="33">
        <v>827</v>
      </c>
    </row>
    <row r="40" spans="1:23" x14ac:dyDescent="0.25">
      <c r="A40" s="33">
        <v>12</v>
      </c>
      <c r="B40" s="33">
        <f t="shared" si="5"/>
        <v>2599026</v>
      </c>
      <c r="C40" s="33" t="s">
        <v>201</v>
      </c>
      <c r="D40" s="33">
        <v>1617586540</v>
      </c>
      <c r="E40" s="33">
        <v>909</v>
      </c>
      <c r="F40" s="33">
        <v>911</v>
      </c>
    </row>
    <row r="41" spans="1:23" x14ac:dyDescent="0.25">
      <c r="A41" s="33">
        <v>13</v>
      </c>
      <c r="B41" s="33">
        <f t="shared" si="5"/>
        <v>2799028</v>
      </c>
      <c r="C41" s="33" t="s">
        <v>202</v>
      </c>
      <c r="D41" s="33">
        <v>1617586540</v>
      </c>
      <c r="E41" s="33">
        <v>1500</v>
      </c>
      <c r="F41" s="33">
        <v>538</v>
      </c>
    </row>
    <row r="42" spans="1:23" x14ac:dyDescent="0.25">
      <c r="A42" s="33">
        <v>14</v>
      </c>
      <c r="B42" s="33">
        <f t="shared" si="5"/>
        <v>2999030</v>
      </c>
      <c r="C42" s="33" t="s">
        <v>203</v>
      </c>
      <c r="D42" s="33">
        <v>1617586540</v>
      </c>
      <c r="E42" s="33">
        <v>2500</v>
      </c>
      <c r="F42" s="33">
        <v>296</v>
      </c>
      <c r="H42" s="46">
        <v>0</v>
      </c>
      <c r="I42" s="46">
        <v>1</v>
      </c>
      <c r="J42" s="46">
        <v>2</v>
      </c>
      <c r="K42" s="46">
        <v>3</v>
      </c>
      <c r="L42" s="46">
        <v>4</v>
      </c>
      <c r="M42" s="46">
        <v>5</v>
      </c>
      <c r="N42" s="46">
        <v>6</v>
      </c>
      <c r="O42" s="46">
        <v>7</v>
      </c>
      <c r="P42" s="46">
        <v>8</v>
      </c>
      <c r="Q42" s="46">
        <v>9</v>
      </c>
      <c r="R42" s="46">
        <v>10</v>
      </c>
      <c r="S42" s="46">
        <v>11</v>
      </c>
      <c r="T42" s="46">
        <v>12</v>
      </c>
      <c r="U42" s="46">
        <v>13</v>
      </c>
      <c r="V42" s="46">
        <v>14</v>
      </c>
      <c r="W42" s="46">
        <v>15</v>
      </c>
    </row>
    <row r="43" spans="1:23" x14ac:dyDescent="0.25">
      <c r="A43" s="33">
        <v>15</v>
      </c>
      <c r="B43" s="33">
        <f t="shared" si="5"/>
        <v>3199032</v>
      </c>
      <c r="C43" s="33" t="s">
        <v>204</v>
      </c>
      <c r="D43" s="33">
        <v>1617586540</v>
      </c>
      <c r="E43" s="33">
        <v>1000</v>
      </c>
      <c r="F43" s="33">
        <v>1000</v>
      </c>
      <c r="H43" s="33" t="s">
        <v>176</v>
      </c>
      <c r="I43" s="33">
        <v>1500</v>
      </c>
      <c r="J43" s="33">
        <v>2500</v>
      </c>
      <c r="K43" s="33">
        <v>1000</v>
      </c>
      <c r="L43" s="33">
        <v>909</v>
      </c>
      <c r="M43" s="33">
        <v>1500</v>
      </c>
      <c r="N43" s="33">
        <v>1000</v>
      </c>
      <c r="O43" s="33">
        <v>1000</v>
      </c>
      <c r="P43" s="33">
        <v>909</v>
      </c>
      <c r="Q43" s="33">
        <v>1500</v>
      </c>
      <c r="R43" s="33">
        <v>2500</v>
      </c>
      <c r="S43" s="33">
        <v>1000</v>
      </c>
      <c r="T43" s="33">
        <v>909</v>
      </c>
      <c r="U43" s="33">
        <v>1500</v>
      </c>
      <c r="V43" s="33">
        <v>2500</v>
      </c>
      <c r="W43" s="33" t="s">
        <v>177</v>
      </c>
    </row>
    <row r="44" spans="1:23" x14ac:dyDescent="0.25">
      <c r="B44" s="33">
        <f>LEN(C44)</f>
        <v>21</v>
      </c>
      <c r="C44" s="33" t="s">
        <v>207</v>
      </c>
      <c r="D44" s="33">
        <v>1617586540</v>
      </c>
      <c r="E44" s="33">
        <v>1000</v>
      </c>
      <c r="F44" s="33">
        <v>1000</v>
      </c>
      <c r="H44" s="33" t="s">
        <v>176</v>
      </c>
      <c r="I44" s="33">
        <v>538</v>
      </c>
      <c r="J44" s="33">
        <v>296</v>
      </c>
      <c r="K44" s="33">
        <v>827</v>
      </c>
      <c r="L44" s="33">
        <v>911</v>
      </c>
      <c r="M44" s="33">
        <v>538</v>
      </c>
      <c r="N44" s="33">
        <v>100</v>
      </c>
      <c r="O44" s="33">
        <v>827</v>
      </c>
      <c r="P44" s="33">
        <v>911</v>
      </c>
      <c r="Q44" s="33">
        <v>538</v>
      </c>
      <c r="R44" s="33">
        <v>296</v>
      </c>
      <c r="S44" s="33">
        <v>827</v>
      </c>
      <c r="T44" s="33">
        <v>911</v>
      </c>
      <c r="U44" s="33">
        <v>538</v>
      </c>
      <c r="V44" s="33">
        <v>296</v>
      </c>
      <c r="W44" s="33" t="s">
        <v>178</v>
      </c>
    </row>
    <row r="45" spans="1:23" x14ac:dyDescent="0.25">
      <c r="B45" s="33">
        <f t="shared" ref="B45:B49" si="6">LEN(C45)</f>
        <v>21</v>
      </c>
      <c r="C45" s="33" t="s">
        <v>208</v>
      </c>
      <c r="D45" s="33">
        <v>1617586540</v>
      </c>
      <c r="E45" s="33">
        <v>1000</v>
      </c>
      <c r="F45" s="33">
        <v>1000</v>
      </c>
      <c r="H45" s="33">
        <v>2</v>
      </c>
      <c r="I45" s="33">
        <v>2</v>
      </c>
      <c r="J45" s="33">
        <v>2</v>
      </c>
      <c r="K45" s="33">
        <v>2</v>
      </c>
      <c r="L45" s="33">
        <v>2</v>
      </c>
      <c r="M45" s="33">
        <v>2</v>
      </c>
      <c r="N45" s="33">
        <v>2</v>
      </c>
      <c r="O45" s="33">
        <v>2</v>
      </c>
      <c r="P45" s="33">
        <v>2</v>
      </c>
      <c r="Q45" s="33">
        <v>2</v>
      </c>
      <c r="R45" s="33">
        <v>2</v>
      </c>
      <c r="S45" s="33">
        <v>2</v>
      </c>
      <c r="T45" s="33">
        <v>2</v>
      </c>
      <c r="U45" s="33">
        <v>2</v>
      </c>
      <c r="V45" s="33">
        <v>2</v>
      </c>
      <c r="W45" s="33">
        <v>2</v>
      </c>
    </row>
    <row r="46" spans="1:23" x14ac:dyDescent="0.25">
      <c r="B46" s="33">
        <f t="shared" si="6"/>
        <v>18</v>
      </c>
      <c r="C46" s="33" t="s">
        <v>209</v>
      </c>
      <c r="D46" s="33">
        <v>1617586540</v>
      </c>
      <c r="E46" s="33">
        <v>1000</v>
      </c>
      <c r="F46" s="33">
        <v>1000</v>
      </c>
      <c r="H46" s="33">
        <v>1</v>
      </c>
      <c r="I46" s="33">
        <v>1</v>
      </c>
      <c r="J46" s="33">
        <v>1</v>
      </c>
      <c r="K46" s="33">
        <v>1</v>
      </c>
      <c r="L46" s="33">
        <v>1</v>
      </c>
      <c r="M46" s="33">
        <v>1</v>
      </c>
      <c r="N46" s="33">
        <v>1</v>
      </c>
      <c r="O46" s="33">
        <v>1</v>
      </c>
      <c r="P46" s="33">
        <v>1</v>
      </c>
      <c r="Q46" s="33">
        <v>1</v>
      </c>
      <c r="R46" s="33">
        <v>1</v>
      </c>
      <c r="S46" s="33">
        <v>1</v>
      </c>
      <c r="T46" s="33">
        <v>1</v>
      </c>
      <c r="U46" s="33">
        <v>1</v>
      </c>
      <c r="V46" s="33">
        <v>1</v>
      </c>
      <c r="W46" s="33">
        <v>1</v>
      </c>
    </row>
    <row r="47" spans="1:23" x14ac:dyDescent="0.25">
      <c r="B47" s="33">
        <f t="shared" si="6"/>
        <v>17</v>
      </c>
      <c r="C47" s="33" t="s">
        <v>210</v>
      </c>
      <c r="D47" s="33">
        <v>1617586540</v>
      </c>
      <c r="E47" s="33">
        <v>1000</v>
      </c>
      <c r="F47" s="33">
        <v>1000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</row>
    <row r="48" spans="1:23" x14ac:dyDescent="0.25">
      <c r="B48" s="33">
        <f t="shared" si="6"/>
        <v>18</v>
      </c>
      <c r="C48" s="33" t="s">
        <v>211</v>
      </c>
      <c r="D48" s="33">
        <v>1617586540</v>
      </c>
      <c r="E48" s="33">
        <v>1000</v>
      </c>
      <c r="F48" s="33">
        <v>1000</v>
      </c>
    </row>
    <row r="49" spans="2:34" x14ac:dyDescent="0.25">
      <c r="B49" s="33">
        <f t="shared" si="6"/>
        <v>18</v>
      </c>
      <c r="C49" s="33" t="s">
        <v>212</v>
      </c>
      <c r="D49" s="33">
        <v>1617586540</v>
      </c>
      <c r="E49" s="33">
        <v>1000</v>
      </c>
      <c r="F49" s="33">
        <v>1000</v>
      </c>
    </row>
    <row r="50" spans="2:34" x14ac:dyDescent="0.25">
      <c r="C50" s="33" t="s">
        <v>206</v>
      </c>
      <c r="D50" s="33">
        <v>1607586540</v>
      </c>
    </row>
    <row r="51" spans="2:34" x14ac:dyDescent="0.25">
      <c r="C51" s="33" t="s">
        <v>206</v>
      </c>
      <c r="D51" s="33">
        <v>1607586540</v>
      </c>
    </row>
    <row r="52" spans="2:34" x14ac:dyDescent="0.25">
      <c r="C52" s="33" t="s">
        <v>206</v>
      </c>
      <c r="D52" s="33">
        <v>1607586540</v>
      </c>
    </row>
    <row r="53" spans="2:34" x14ac:dyDescent="0.25">
      <c r="C53" s="33" t="s">
        <v>206</v>
      </c>
      <c r="D53" s="33">
        <v>1607586540</v>
      </c>
    </row>
    <row r="54" spans="2:34" x14ac:dyDescent="0.25">
      <c r="C54" s="33" t="s">
        <v>206</v>
      </c>
      <c r="D54" s="33">
        <v>1607586540</v>
      </c>
    </row>
    <row r="55" spans="2:34" x14ac:dyDescent="0.25">
      <c r="C55" s="33" t="s">
        <v>206</v>
      </c>
      <c r="D55" s="33">
        <v>1607586540</v>
      </c>
    </row>
    <row r="56" spans="2:34" x14ac:dyDescent="0.25">
      <c r="C56" s="33" t="s">
        <v>206</v>
      </c>
      <c r="D56" s="33">
        <v>1607586540</v>
      </c>
    </row>
    <row r="57" spans="2:34" x14ac:dyDescent="0.25">
      <c r="C57" s="33" t="s">
        <v>206</v>
      </c>
      <c r="D57" s="33">
        <v>1607586540</v>
      </c>
    </row>
    <row r="58" spans="2:34" x14ac:dyDescent="0.25">
      <c r="C58" s="33" t="s">
        <v>206</v>
      </c>
      <c r="D58" s="33">
        <v>1607586540</v>
      </c>
    </row>
    <row r="59" spans="2:34" x14ac:dyDescent="0.25">
      <c r="C59" s="33" t="s">
        <v>206</v>
      </c>
      <c r="D59" s="33">
        <v>1607586540</v>
      </c>
    </row>
    <row r="62" spans="2:34" x14ac:dyDescent="0.25">
      <c r="C62" s="33">
        <v>0</v>
      </c>
      <c r="D62" s="33">
        <v>1</v>
      </c>
      <c r="E62" s="33">
        <v>2</v>
      </c>
      <c r="F62" s="33">
        <v>3</v>
      </c>
      <c r="G62" s="33">
        <v>4</v>
      </c>
      <c r="H62" s="33">
        <v>5</v>
      </c>
      <c r="I62" s="33">
        <v>6</v>
      </c>
      <c r="J62" s="33">
        <v>7</v>
      </c>
      <c r="K62" s="33">
        <v>8</v>
      </c>
      <c r="L62" s="33">
        <v>9</v>
      </c>
      <c r="M62" s="33">
        <v>10</v>
      </c>
      <c r="N62" s="33">
        <v>11</v>
      </c>
      <c r="O62" s="33">
        <v>12</v>
      </c>
      <c r="P62" s="33">
        <v>13</v>
      </c>
      <c r="Q62" s="33">
        <v>14</v>
      </c>
      <c r="R62" s="33">
        <v>15</v>
      </c>
      <c r="S62" s="33">
        <v>16</v>
      </c>
      <c r="T62" s="33">
        <v>17</v>
      </c>
      <c r="U62" s="33">
        <v>18</v>
      </c>
      <c r="V62" s="33">
        <v>19</v>
      </c>
      <c r="W62" s="33">
        <v>20</v>
      </c>
      <c r="X62" s="33">
        <v>21</v>
      </c>
      <c r="Y62" s="33">
        <v>22</v>
      </c>
      <c r="Z62" s="33">
        <v>23</v>
      </c>
      <c r="AA62" s="33">
        <v>24</v>
      </c>
      <c r="AB62" s="33">
        <v>25</v>
      </c>
      <c r="AC62" s="33">
        <v>26</v>
      </c>
      <c r="AD62" s="33">
        <v>27</v>
      </c>
      <c r="AE62" s="33">
        <v>28</v>
      </c>
      <c r="AF62" s="33">
        <v>29</v>
      </c>
      <c r="AG62" s="33">
        <v>30</v>
      </c>
      <c r="AH62" s="33">
        <v>31</v>
      </c>
    </row>
    <row r="63" spans="2:34" x14ac:dyDescent="0.25">
      <c r="C63" s="33" t="str">
        <f t="array" ref="C63:AH66">TRANSPOSE(C28:F59)</f>
        <v>NFL:Ariz:Lv</v>
      </c>
      <c r="D63" s="33" t="str">
        <v>NFL:Atl:LAC</v>
      </c>
      <c r="E63" s="33" t="str">
        <v>NFL:Bal:LAR</v>
      </c>
      <c r="F63" s="33" t="str">
        <v>NFL:Buf:Mia</v>
      </c>
      <c r="G63" s="33" t="str">
        <v>NFL:Car:Min</v>
      </c>
      <c r="H63" s="33" t="str">
        <v>NFL:Chi:NE</v>
      </c>
      <c r="I63" s="33" t="str">
        <v>NFL:Cin:NO</v>
      </c>
      <c r="J63" s="33" t="str">
        <v>NFL:Cle:NYG</v>
      </c>
      <c r="K63" s="33" t="str">
        <v>NFL:Dal:NYJ</v>
      </c>
      <c r="L63" s="33" t="str">
        <v>NFL:Den:Phi</v>
      </c>
      <c r="M63" s="33" t="str">
        <v>NFL:Det:Pitt</v>
      </c>
      <c r="N63" s="33" t="str">
        <v>NFL:GB:SF</v>
      </c>
      <c r="O63" s="33" t="str">
        <v>NFL:Hou:Sea</v>
      </c>
      <c r="P63" s="33" t="str">
        <v>NFL:Ind:TB</v>
      </c>
      <c r="Q63" s="33" t="str">
        <v>NFL:Jac:Ten</v>
      </c>
      <c r="R63" s="33" t="str">
        <v>NFL:Kan:Wash</v>
      </c>
      <c r="S63" s="33" t="str">
        <v>UFC:Figueiredo:Moreno</v>
      </c>
      <c r="T63" s="33" t="str">
        <v>UFC:Oliveira:Ferguson</v>
      </c>
      <c r="U63" s="33" t="str">
        <v>UFC:Dern:Jandiroba</v>
      </c>
      <c r="V63" s="33" t="str">
        <v>UFC:Holland:Souza</v>
      </c>
      <c r="W63" s="33" t="str">
        <v>UFC:Gane:dosSantos</v>
      </c>
      <c r="X63" s="33" t="str">
        <v>UFC:Swanson:Pineda</v>
      </c>
      <c r="Y63" s="33" t="str">
        <v>UFC:A:B</v>
      </c>
      <c r="Z63" s="33" t="str">
        <v>UFC:A:B</v>
      </c>
      <c r="AA63" s="33" t="str">
        <v>UFC:A:B</v>
      </c>
      <c r="AB63" s="33" t="str">
        <v>UFC:A:B</v>
      </c>
      <c r="AC63" s="33" t="str">
        <v>UFC:A:B</v>
      </c>
      <c r="AD63" s="33" t="str">
        <v>UFC:A:B</v>
      </c>
      <c r="AE63" s="33" t="str">
        <v>UFC:A:B</v>
      </c>
      <c r="AF63" s="33" t="str">
        <v>UFC:A:B</v>
      </c>
      <c r="AG63" s="33" t="str">
        <v>UFC:A:B</v>
      </c>
      <c r="AH63" s="33" t="str">
        <v>UFC:A:B</v>
      </c>
    </row>
    <row r="64" spans="2:34" x14ac:dyDescent="0.25">
      <c r="C64" s="33">
        <v>1617586540</v>
      </c>
      <c r="D64" s="33">
        <v>1617586540</v>
      </c>
      <c r="E64" s="33">
        <v>1617586540</v>
      </c>
      <c r="F64" s="33">
        <v>1617586540</v>
      </c>
      <c r="G64" s="33">
        <v>1617586540</v>
      </c>
      <c r="H64" s="33">
        <v>1617586540</v>
      </c>
      <c r="I64" s="33">
        <v>1617586540</v>
      </c>
      <c r="J64" s="33">
        <v>1617586540</v>
      </c>
      <c r="K64" s="33">
        <v>1617586540</v>
      </c>
      <c r="L64" s="33">
        <v>1617586540</v>
      </c>
      <c r="M64" s="33">
        <v>1617586540</v>
      </c>
      <c r="N64" s="33">
        <v>1617586540</v>
      </c>
      <c r="O64" s="33">
        <v>1617586540</v>
      </c>
      <c r="P64" s="33">
        <v>1617586540</v>
      </c>
      <c r="Q64" s="33">
        <v>1617586540</v>
      </c>
      <c r="R64" s="33">
        <v>1617586540</v>
      </c>
      <c r="S64" s="33">
        <v>1617586540</v>
      </c>
      <c r="T64" s="33">
        <v>1617586540</v>
      </c>
      <c r="U64" s="33">
        <v>1617586540</v>
      </c>
      <c r="V64" s="33">
        <v>1617586540</v>
      </c>
      <c r="W64" s="33">
        <v>1617586540</v>
      </c>
      <c r="X64" s="33">
        <v>1617586540</v>
      </c>
      <c r="Y64" s="33">
        <v>1607586540</v>
      </c>
      <c r="Z64" s="33">
        <v>1607586540</v>
      </c>
      <c r="AA64" s="33">
        <v>1607586540</v>
      </c>
      <c r="AB64" s="33">
        <v>1607586540</v>
      </c>
      <c r="AC64" s="33">
        <v>1607586540</v>
      </c>
      <c r="AD64" s="33">
        <v>1607586540</v>
      </c>
      <c r="AE64" s="33">
        <v>1607586540</v>
      </c>
      <c r="AF64" s="33">
        <v>1607586540</v>
      </c>
      <c r="AG64" s="33">
        <v>1607586540</v>
      </c>
      <c r="AH64" s="33">
        <v>1607586540</v>
      </c>
    </row>
    <row r="65" spans="3:34" x14ac:dyDescent="0.25">
      <c r="C65" s="33">
        <v>909</v>
      </c>
      <c r="D65" s="33">
        <v>1500</v>
      </c>
      <c r="E65" s="33">
        <v>2500</v>
      </c>
      <c r="F65" s="33">
        <v>1000</v>
      </c>
      <c r="G65" s="33">
        <v>909</v>
      </c>
      <c r="H65" s="33">
        <v>1500</v>
      </c>
      <c r="I65" s="33">
        <v>2500</v>
      </c>
      <c r="J65" s="33">
        <v>1000</v>
      </c>
      <c r="K65" s="33">
        <v>909</v>
      </c>
      <c r="L65" s="33">
        <v>1500</v>
      </c>
      <c r="M65" s="33">
        <v>1000</v>
      </c>
      <c r="N65" s="33">
        <v>1000</v>
      </c>
      <c r="O65" s="33">
        <v>909</v>
      </c>
      <c r="P65" s="33">
        <v>1500</v>
      </c>
      <c r="Q65" s="33">
        <v>2500</v>
      </c>
      <c r="R65" s="33">
        <v>1000</v>
      </c>
      <c r="S65" s="33">
        <v>1000</v>
      </c>
      <c r="T65" s="33">
        <v>1000</v>
      </c>
      <c r="U65" s="33">
        <v>1000</v>
      </c>
      <c r="V65" s="33">
        <v>1000</v>
      </c>
      <c r="W65" s="33">
        <v>1000</v>
      </c>
      <c r="X65" s="33">
        <v>1000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0</v>
      </c>
    </row>
    <row r="66" spans="3:34" x14ac:dyDescent="0.25">
      <c r="C66" s="33">
        <v>909</v>
      </c>
      <c r="D66" s="33">
        <v>538</v>
      </c>
      <c r="E66" s="33">
        <v>296</v>
      </c>
      <c r="F66" s="33">
        <v>827</v>
      </c>
      <c r="G66" s="33">
        <v>911</v>
      </c>
      <c r="H66" s="33">
        <v>538</v>
      </c>
      <c r="I66" s="33">
        <v>296</v>
      </c>
      <c r="J66" s="33">
        <v>827</v>
      </c>
      <c r="K66" s="33">
        <v>911</v>
      </c>
      <c r="L66" s="33">
        <v>538</v>
      </c>
      <c r="M66" s="33">
        <v>1000</v>
      </c>
      <c r="N66" s="33">
        <v>827</v>
      </c>
      <c r="O66" s="33">
        <v>911</v>
      </c>
      <c r="P66" s="33">
        <v>538</v>
      </c>
      <c r="Q66" s="33">
        <v>296</v>
      </c>
      <c r="R66" s="33">
        <v>1000</v>
      </c>
      <c r="S66" s="33">
        <v>1000</v>
      </c>
      <c r="T66" s="33">
        <v>1000</v>
      </c>
      <c r="U66" s="33">
        <v>1000</v>
      </c>
      <c r="V66" s="33">
        <v>1000</v>
      </c>
      <c r="W66" s="33">
        <v>1000</v>
      </c>
      <c r="X66" s="33">
        <v>1000</v>
      </c>
      <c r="Y66" s="33">
        <v>0</v>
      </c>
      <c r="Z66" s="33">
        <v>0</v>
      </c>
      <c r="AA66" s="33">
        <v>0</v>
      </c>
      <c r="AB66" s="33">
        <v>0</v>
      </c>
      <c r="AC66" s="33">
        <v>0</v>
      </c>
      <c r="AD66" s="33">
        <v>0</v>
      </c>
      <c r="AE66" s="33">
        <v>0</v>
      </c>
      <c r="AF66" s="33">
        <v>0</v>
      </c>
      <c r="AG66" s="33">
        <v>0</v>
      </c>
      <c r="AH66" s="33">
        <v>0</v>
      </c>
    </row>
    <row r="67" spans="3:34" x14ac:dyDescent="0.25">
      <c r="C67" s="33">
        <v>1</v>
      </c>
      <c r="D67" s="33">
        <v>1</v>
      </c>
      <c r="E67" s="33">
        <v>1</v>
      </c>
      <c r="F67" s="33">
        <v>1</v>
      </c>
      <c r="G67" s="33">
        <v>1</v>
      </c>
      <c r="H67" s="33">
        <v>1</v>
      </c>
      <c r="I67" s="33">
        <v>1</v>
      </c>
      <c r="J67" s="33">
        <v>1</v>
      </c>
      <c r="K67" s="33">
        <v>1</v>
      </c>
      <c r="L67" s="33">
        <v>1</v>
      </c>
      <c r="M67" s="33">
        <v>1</v>
      </c>
      <c r="N67" s="33">
        <v>1</v>
      </c>
      <c r="O67" s="33">
        <v>1</v>
      </c>
      <c r="P67" s="33">
        <v>1</v>
      </c>
      <c r="Q67" s="33">
        <v>1</v>
      </c>
      <c r="R67" s="33">
        <v>1</v>
      </c>
      <c r="S67" s="33">
        <v>1</v>
      </c>
      <c r="T67" s="33">
        <v>1</v>
      </c>
      <c r="U67" s="33">
        <v>1</v>
      </c>
      <c r="V67" s="33">
        <v>1</v>
      </c>
      <c r="W67" s="33">
        <v>1</v>
      </c>
      <c r="X67" s="33">
        <v>1</v>
      </c>
      <c r="Y67" s="33">
        <v>1</v>
      </c>
      <c r="Z67" s="33">
        <v>1</v>
      </c>
      <c r="AA67" s="33">
        <v>1</v>
      </c>
      <c r="AB67" s="33">
        <v>1</v>
      </c>
      <c r="AC67" s="33">
        <v>1</v>
      </c>
      <c r="AD67" s="33">
        <v>1</v>
      </c>
      <c r="AE67" s="33">
        <v>1</v>
      </c>
      <c r="AF67" s="33">
        <v>1</v>
      </c>
      <c r="AG67" s="33">
        <v>1</v>
      </c>
      <c r="AH67" s="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BD1A-96DB-48ED-B5DA-867EA11C6BC8}">
  <dimension ref="B2:G59"/>
  <sheetViews>
    <sheetView workbookViewId="0">
      <pane ySplit="3930" topLeftCell="A43" activePane="bottomLeft"/>
      <selection activeCell="D7" sqref="D7"/>
      <selection pane="bottomLeft" activeCell="E49" sqref="E49"/>
    </sheetView>
  </sheetViews>
  <sheetFormatPr defaultRowHeight="15" x14ac:dyDescent="0.25"/>
  <cols>
    <col min="1" max="1" width="13.140625" bestFit="1" customWidth="1"/>
    <col min="4" max="4" width="13.42578125" customWidth="1"/>
    <col min="5" max="5" width="14.28515625" bestFit="1" customWidth="1"/>
  </cols>
  <sheetData>
    <row r="2" spans="2:7" x14ac:dyDescent="0.25">
      <c r="D2" t="s">
        <v>94</v>
      </c>
    </row>
    <row r="3" spans="2:7" ht="16.5" x14ac:dyDescent="0.3">
      <c r="C3" s="1">
        <v>44084</v>
      </c>
      <c r="D3" s="9">
        <f>E3-86400</f>
        <v>1599631200</v>
      </c>
      <c r="E3" s="28">
        <v>1599717600</v>
      </c>
      <c r="F3">
        <v>86400</v>
      </c>
      <c r="G3">
        <v>3600</v>
      </c>
    </row>
    <row r="4" spans="2:7" x14ac:dyDescent="0.25">
      <c r="B4">
        <f>C4-C$3</f>
        <v>3</v>
      </c>
      <c r="C4" s="1">
        <v>44087</v>
      </c>
      <c r="D4" s="9">
        <f>D$3+F$3*B4</f>
        <v>1599890400</v>
      </c>
    </row>
    <row r="5" spans="2:7" x14ac:dyDescent="0.25">
      <c r="B5">
        <f t="shared" ref="B5:B57" si="0">C5-C$3</f>
        <v>4</v>
      </c>
      <c r="C5" s="1">
        <v>44088</v>
      </c>
      <c r="D5" s="9">
        <f t="shared" ref="D5:D24" si="1">D$3+F$3*B5</f>
        <v>1599976800</v>
      </c>
    </row>
    <row r="6" spans="2:7" x14ac:dyDescent="0.25">
      <c r="B6">
        <f t="shared" si="0"/>
        <v>7</v>
      </c>
      <c r="C6" s="1">
        <v>44091</v>
      </c>
      <c r="D6" s="9">
        <f t="shared" si="1"/>
        <v>1600236000</v>
      </c>
    </row>
    <row r="7" spans="2:7" x14ac:dyDescent="0.25">
      <c r="B7">
        <f t="shared" si="0"/>
        <v>10</v>
      </c>
      <c r="C7" s="1">
        <v>44094</v>
      </c>
      <c r="D7" s="9">
        <f t="shared" si="1"/>
        <v>1600495200</v>
      </c>
    </row>
    <row r="8" spans="2:7" x14ac:dyDescent="0.25">
      <c r="B8">
        <f t="shared" si="0"/>
        <v>11</v>
      </c>
      <c r="C8" s="1">
        <v>44095</v>
      </c>
      <c r="D8" s="9">
        <f t="shared" si="1"/>
        <v>1600581600</v>
      </c>
    </row>
    <row r="9" spans="2:7" x14ac:dyDescent="0.25">
      <c r="B9">
        <f t="shared" si="0"/>
        <v>14</v>
      </c>
      <c r="C9" s="1">
        <v>44098</v>
      </c>
      <c r="D9" s="9">
        <f t="shared" si="1"/>
        <v>1600840800</v>
      </c>
    </row>
    <row r="10" spans="2:7" x14ac:dyDescent="0.25">
      <c r="B10">
        <f t="shared" si="0"/>
        <v>17</v>
      </c>
      <c r="C10" s="1">
        <v>44101</v>
      </c>
      <c r="D10" s="9">
        <f t="shared" si="1"/>
        <v>1601100000</v>
      </c>
    </row>
    <row r="11" spans="2:7" x14ac:dyDescent="0.25">
      <c r="B11">
        <f t="shared" si="0"/>
        <v>18</v>
      </c>
      <c r="C11" s="1">
        <v>44102</v>
      </c>
      <c r="D11" s="9">
        <f t="shared" si="1"/>
        <v>1601186400</v>
      </c>
    </row>
    <row r="12" spans="2:7" x14ac:dyDescent="0.25">
      <c r="B12">
        <f t="shared" si="0"/>
        <v>21</v>
      </c>
      <c r="C12" s="1">
        <v>44105</v>
      </c>
      <c r="D12" s="9">
        <f t="shared" si="1"/>
        <v>1601445600</v>
      </c>
    </row>
    <row r="13" spans="2:7" x14ac:dyDescent="0.25">
      <c r="B13">
        <f t="shared" si="0"/>
        <v>24</v>
      </c>
      <c r="C13" s="1">
        <v>44108</v>
      </c>
      <c r="D13" s="9">
        <f t="shared" si="1"/>
        <v>1601704800</v>
      </c>
    </row>
    <row r="14" spans="2:7" x14ac:dyDescent="0.25">
      <c r="B14">
        <f t="shared" si="0"/>
        <v>25</v>
      </c>
      <c r="C14" s="1">
        <v>44109</v>
      </c>
      <c r="D14" s="9">
        <f t="shared" si="1"/>
        <v>1601791200</v>
      </c>
    </row>
    <row r="15" spans="2:7" x14ac:dyDescent="0.25">
      <c r="B15">
        <f t="shared" si="0"/>
        <v>28</v>
      </c>
      <c r="C15" s="1">
        <v>44112</v>
      </c>
      <c r="D15" s="9">
        <f t="shared" si="1"/>
        <v>1602050400</v>
      </c>
    </row>
    <row r="16" spans="2:7" x14ac:dyDescent="0.25">
      <c r="B16">
        <f t="shared" si="0"/>
        <v>31</v>
      </c>
      <c r="C16" s="1">
        <v>44115</v>
      </c>
      <c r="D16" s="9">
        <f t="shared" si="1"/>
        <v>1602309600</v>
      </c>
    </row>
    <row r="17" spans="2:4" x14ac:dyDescent="0.25">
      <c r="B17">
        <f t="shared" si="0"/>
        <v>32</v>
      </c>
      <c r="C17" s="1">
        <v>44116</v>
      </c>
      <c r="D17" s="9">
        <f t="shared" si="1"/>
        <v>1602396000</v>
      </c>
    </row>
    <row r="18" spans="2:4" x14ac:dyDescent="0.25">
      <c r="B18">
        <f t="shared" si="0"/>
        <v>35</v>
      </c>
      <c r="C18" s="1">
        <v>44119</v>
      </c>
      <c r="D18" s="9">
        <f t="shared" si="1"/>
        <v>1602655200</v>
      </c>
    </row>
    <row r="19" spans="2:4" x14ac:dyDescent="0.25">
      <c r="B19">
        <f t="shared" si="0"/>
        <v>38</v>
      </c>
      <c r="C19" s="1">
        <v>44122</v>
      </c>
      <c r="D19" s="9">
        <f t="shared" si="1"/>
        <v>1602914400</v>
      </c>
    </row>
    <row r="20" spans="2:4" x14ac:dyDescent="0.25">
      <c r="B20">
        <f t="shared" si="0"/>
        <v>39</v>
      </c>
      <c r="C20" s="1">
        <v>44123</v>
      </c>
      <c r="D20" s="9">
        <f t="shared" si="1"/>
        <v>1603000800</v>
      </c>
    </row>
    <row r="21" spans="2:4" x14ac:dyDescent="0.25">
      <c r="B21">
        <f t="shared" si="0"/>
        <v>42</v>
      </c>
      <c r="C21" s="1">
        <v>44126</v>
      </c>
      <c r="D21" s="9">
        <f t="shared" si="1"/>
        <v>1603260000</v>
      </c>
    </row>
    <row r="22" spans="2:4" x14ac:dyDescent="0.25">
      <c r="B22">
        <f t="shared" si="0"/>
        <v>45</v>
      </c>
      <c r="C22" s="1">
        <v>44129</v>
      </c>
      <c r="D22" s="9">
        <f t="shared" si="1"/>
        <v>1603519200</v>
      </c>
    </row>
    <row r="23" spans="2:4" x14ac:dyDescent="0.25">
      <c r="B23">
        <f t="shared" si="0"/>
        <v>46</v>
      </c>
      <c r="C23" s="1">
        <v>44130</v>
      </c>
      <c r="D23" s="9">
        <f t="shared" si="1"/>
        <v>1603605600</v>
      </c>
    </row>
    <row r="24" spans="2:4" x14ac:dyDescent="0.25">
      <c r="B24">
        <f t="shared" si="0"/>
        <v>49</v>
      </c>
      <c r="C24" s="1">
        <v>44133</v>
      </c>
      <c r="D24" s="9">
        <f t="shared" si="1"/>
        <v>1603864800</v>
      </c>
    </row>
    <row r="25" spans="2:4" x14ac:dyDescent="0.25">
      <c r="B25">
        <f t="shared" si="0"/>
        <v>52</v>
      </c>
      <c r="C25" s="1">
        <v>44136</v>
      </c>
      <c r="D25" s="9">
        <f>D$3+F$3*B25-3600</f>
        <v>1604120400</v>
      </c>
    </row>
    <row r="26" spans="2:4" x14ac:dyDescent="0.25">
      <c r="B26">
        <f t="shared" si="0"/>
        <v>53</v>
      </c>
      <c r="C26" s="1">
        <v>44137</v>
      </c>
      <c r="D26" s="9">
        <f t="shared" ref="D26:D57" si="2">D$3+F$3*B26-3600</f>
        <v>1604206800</v>
      </c>
    </row>
    <row r="27" spans="2:4" x14ac:dyDescent="0.25">
      <c r="B27">
        <f t="shared" si="0"/>
        <v>56</v>
      </c>
      <c r="C27" s="1">
        <v>44140</v>
      </c>
      <c r="D27" s="9">
        <f t="shared" si="2"/>
        <v>1604466000</v>
      </c>
    </row>
    <row r="28" spans="2:4" x14ac:dyDescent="0.25">
      <c r="B28">
        <f t="shared" si="0"/>
        <v>59</v>
      </c>
      <c r="C28" s="1">
        <v>44143</v>
      </c>
      <c r="D28" s="9">
        <f t="shared" si="2"/>
        <v>1604725200</v>
      </c>
    </row>
    <row r="29" spans="2:4" x14ac:dyDescent="0.25">
      <c r="B29">
        <f t="shared" si="0"/>
        <v>60</v>
      </c>
      <c r="C29" s="1">
        <v>44144</v>
      </c>
      <c r="D29" s="9">
        <f t="shared" si="2"/>
        <v>1604811600</v>
      </c>
    </row>
    <row r="30" spans="2:4" x14ac:dyDescent="0.25">
      <c r="B30">
        <f t="shared" si="0"/>
        <v>63</v>
      </c>
      <c r="C30" s="1">
        <v>44147</v>
      </c>
      <c r="D30" s="9">
        <f t="shared" si="2"/>
        <v>1605070800</v>
      </c>
    </row>
    <row r="31" spans="2:4" x14ac:dyDescent="0.25">
      <c r="B31">
        <f t="shared" si="0"/>
        <v>66</v>
      </c>
      <c r="C31" s="1">
        <v>44150</v>
      </c>
      <c r="D31" s="9">
        <f t="shared" si="2"/>
        <v>1605330000</v>
      </c>
    </row>
    <row r="32" spans="2:4" x14ac:dyDescent="0.25">
      <c r="B32">
        <f t="shared" si="0"/>
        <v>67</v>
      </c>
      <c r="C32" s="1">
        <v>44151</v>
      </c>
      <c r="D32" s="9">
        <f t="shared" si="2"/>
        <v>1605416400</v>
      </c>
    </row>
    <row r="33" spans="2:4" x14ac:dyDescent="0.25">
      <c r="B33">
        <f t="shared" si="0"/>
        <v>70</v>
      </c>
      <c r="C33" s="1">
        <v>44154</v>
      </c>
      <c r="D33" s="9">
        <f t="shared" si="2"/>
        <v>1605675600</v>
      </c>
    </row>
    <row r="34" spans="2:4" x14ac:dyDescent="0.25">
      <c r="B34">
        <f t="shared" si="0"/>
        <v>73</v>
      </c>
      <c r="C34" s="1">
        <v>44157</v>
      </c>
      <c r="D34" s="9">
        <f t="shared" si="2"/>
        <v>1605934800</v>
      </c>
    </row>
    <row r="35" spans="2:4" x14ac:dyDescent="0.25">
      <c r="B35">
        <f t="shared" si="0"/>
        <v>74</v>
      </c>
      <c r="C35" s="1">
        <v>44158</v>
      </c>
      <c r="D35" s="9">
        <f t="shared" si="2"/>
        <v>1606021200</v>
      </c>
    </row>
    <row r="36" spans="2:4" x14ac:dyDescent="0.25">
      <c r="B36">
        <f t="shared" si="0"/>
        <v>77</v>
      </c>
      <c r="C36" s="1">
        <v>44161</v>
      </c>
      <c r="D36" s="9">
        <f t="shared" si="2"/>
        <v>1606280400</v>
      </c>
    </row>
    <row r="37" spans="2:4" x14ac:dyDescent="0.25">
      <c r="B37">
        <f t="shared" si="0"/>
        <v>80</v>
      </c>
      <c r="C37" s="1">
        <v>44164</v>
      </c>
      <c r="D37" s="9">
        <f t="shared" si="2"/>
        <v>1606539600</v>
      </c>
    </row>
    <row r="38" spans="2:4" x14ac:dyDescent="0.25">
      <c r="B38">
        <f t="shared" si="0"/>
        <v>81</v>
      </c>
      <c r="C38" s="1">
        <v>44165</v>
      </c>
      <c r="D38" s="9">
        <f t="shared" si="2"/>
        <v>1606626000</v>
      </c>
    </row>
    <row r="39" spans="2:4" x14ac:dyDescent="0.25">
      <c r="B39">
        <f t="shared" si="0"/>
        <v>84</v>
      </c>
      <c r="C39" s="1">
        <v>44168</v>
      </c>
      <c r="D39" s="9">
        <f t="shared" si="2"/>
        <v>1606885200</v>
      </c>
    </row>
    <row r="40" spans="2:4" x14ac:dyDescent="0.25">
      <c r="B40">
        <f t="shared" si="0"/>
        <v>87</v>
      </c>
      <c r="C40" s="1">
        <v>44171</v>
      </c>
      <c r="D40" s="9">
        <f t="shared" si="2"/>
        <v>1607144400</v>
      </c>
    </row>
    <row r="41" spans="2:4" x14ac:dyDescent="0.25">
      <c r="B41">
        <f t="shared" si="0"/>
        <v>88</v>
      </c>
      <c r="C41" s="1">
        <v>44172</v>
      </c>
      <c r="D41" s="9">
        <f t="shared" si="2"/>
        <v>1607230800</v>
      </c>
    </row>
    <row r="42" spans="2:4" x14ac:dyDescent="0.25">
      <c r="B42">
        <f t="shared" si="0"/>
        <v>91</v>
      </c>
      <c r="C42" s="1">
        <v>44175</v>
      </c>
      <c r="D42" s="9">
        <f t="shared" si="2"/>
        <v>1607490000</v>
      </c>
    </row>
    <row r="43" spans="2:4" x14ac:dyDescent="0.25">
      <c r="B43">
        <f t="shared" si="0"/>
        <v>94</v>
      </c>
      <c r="C43" s="1">
        <v>44178</v>
      </c>
      <c r="D43" s="9">
        <f t="shared" si="2"/>
        <v>1607749200</v>
      </c>
    </row>
    <row r="44" spans="2:4" x14ac:dyDescent="0.25">
      <c r="B44">
        <f t="shared" si="0"/>
        <v>95</v>
      </c>
      <c r="C44" s="1">
        <v>44179</v>
      </c>
      <c r="D44" s="9">
        <f t="shared" si="2"/>
        <v>1607835600</v>
      </c>
    </row>
    <row r="45" spans="2:4" x14ac:dyDescent="0.25">
      <c r="B45">
        <f t="shared" si="0"/>
        <v>98</v>
      </c>
      <c r="C45" s="1">
        <v>44182</v>
      </c>
      <c r="D45" s="9">
        <f t="shared" si="2"/>
        <v>1608094800</v>
      </c>
    </row>
    <row r="46" spans="2:4" x14ac:dyDescent="0.25">
      <c r="B46">
        <f t="shared" si="0"/>
        <v>101</v>
      </c>
      <c r="C46" s="1">
        <v>44185</v>
      </c>
      <c r="D46" s="9">
        <f t="shared" si="2"/>
        <v>1608354000</v>
      </c>
    </row>
    <row r="47" spans="2:4" x14ac:dyDescent="0.25">
      <c r="B47">
        <f t="shared" si="0"/>
        <v>102</v>
      </c>
      <c r="C47" s="1">
        <v>44186</v>
      </c>
      <c r="D47" s="9">
        <f t="shared" si="2"/>
        <v>1608440400</v>
      </c>
    </row>
    <row r="48" spans="2:4" x14ac:dyDescent="0.25">
      <c r="B48">
        <f t="shared" si="0"/>
        <v>106</v>
      </c>
      <c r="C48" s="1">
        <v>44190</v>
      </c>
      <c r="D48" s="9">
        <f t="shared" si="2"/>
        <v>1608786000</v>
      </c>
    </row>
    <row r="49" spans="2:4" x14ac:dyDescent="0.25">
      <c r="B49">
        <f t="shared" si="0"/>
        <v>108</v>
      </c>
      <c r="C49" s="1">
        <v>44192</v>
      </c>
      <c r="D49" s="9">
        <f t="shared" si="2"/>
        <v>1608958800</v>
      </c>
    </row>
    <row r="50" spans="2:4" x14ac:dyDescent="0.25">
      <c r="B50">
        <f t="shared" si="0"/>
        <v>109</v>
      </c>
      <c r="C50" s="1">
        <v>44193</v>
      </c>
      <c r="D50" s="9">
        <f t="shared" si="2"/>
        <v>1609045200</v>
      </c>
    </row>
    <row r="51" spans="2:4" x14ac:dyDescent="0.25">
      <c r="B51">
        <f t="shared" si="0"/>
        <v>115</v>
      </c>
      <c r="C51" s="1">
        <v>44199</v>
      </c>
      <c r="D51" s="9">
        <f t="shared" si="2"/>
        <v>1609563600</v>
      </c>
    </row>
    <row r="52" spans="2:4" x14ac:dyDescent="0.25">
      <c r="B52">
        <f t="shared" si="0"/>
        <v>121</v>
      </c>
      <c r="C52" s="1">
        <v>44205</v>
      </c>
      <c r="D52" s="9">
        <f t="shared" si="2"/>
        <v>1610082000</v>
      </c>
    </row>
    <row r="53" spans="2:4" x14ac:dyDescent="0.25">
      <c r="B53">
        <f t="shared" si="0"/>
        <v>122</v>
      </c>
      <c r="C53" s="1">
        <v>44206</v>
      </c>
      <c r="D53" s="9">
        <f t="shared" si="2"/>
        <v>1610168400</v>
      </c>
    </row>
    <row r="54" spans="2:4" x14ac:dyDescent="0.25">
      <c r="B54">
        <f t="shared" si="0"/>
        <v>128</v>
      </c>
      <c r="C54" s="1">
        <v>44212</v>
      </c>
      <c r="D54" s="9">
        <f t="shared" si="2"/>
        <v>1610686800</v>
      </c>
    </row>
    <row r="55" spans="2:4" x14ac:dyDescent="0.25">
      <c r="B55">
        <f t="shared" si="0"/>
        <v>129</v>
      </c>
      <c r="C55" s="1">
        <v>44213</v>
      </c>
      <c r="D55" s="9">
        <f t="shared" si="2"/>
        <v>1610773200</v>
      </c>
    </row>
    <row r="56" spans="2:4" x14ac:dyDescent="0.25">
      <c r="B56">
        <f t="shared" si="0"/>
        <v>136</v>
      </c>
      <c r="C56" s="1">
        <v>44220</v>
      </c>
      <c r="D56" s="9">
        <f t="shared" si="2"/>
        <v>1611378000</v>
      </c>
    </row>
    <row r="57" spans="2:4" x14ac:dyDescent="0.25">
      <c r="B57">
        <f t="shared" si="0"/>
        <v>150</v>
      </c>
      <c r="C57" s="1">
        <v>44234</v>
      </c>
      <c r="D57" s="9">
        <f t="shared" si="2"/>
        <v>1612587600</v>
      </c>
    </row>
    <row r="59" spans="2:4" x14ac:dyDescent="0.25">
      <c r="D59">
        <v>1610172000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BB2E-5ACC-4B37-BFD0-9D089D1C9C48}">
  <dimension ref="A3:W289"/>
  <sheetViews>
    <sheetView zoomScale="75" zoomScaleNormal="75" workbookViewId="0">
      <selection activeCell="J28" sqref="J28"/>
    </sheetView>
  </sheetViews>
  <sheetFormatPr defaultRowHeight="15" x14ac:dyDescent="0.25"/>
  <cols>
    <col min="3" max="3" width="9.7109375" style="1" bestFit="1" customWidth="1"/>
    <col min="8" max="8" width="12.7109375" bestFit="1" customWidth="1"/>
    <col min="9" max="9" width="14.28515625" bestFit="1" customWidth="1"/>
    <col min="10" max="10" width="12" customWidth="1"/>
    <col min="11" max="12" width="10.28515625" customWidth="1"/>
    <col min="13" max="13" width="9.7109375" customWidth="1"/>
    <col min="14" max="14" width="22.140625" customWidth="1"/>
    <col min="15" max="15" width="12.7109375" customWidth="1"/>
    <col min="16" max="16" width="7.140625" customWidth="1"/>
    <col min="20" max="20" width="13.140625" bestFit="1" customWidth="1"/>
    <col min="21" max="21" width="18.5703125" bestFit="1" customWidth="1"/>
    <col min="22" max="22" width="19" customWidth="1"/>
    <col min="23" max="23" width="15.28515625" customWidth="1"/>
    <col min="24" max="24" width="14.28515625" customWidth="1"/>
  </cols>
  <sheetData>
    <row r="3" spans="2:23" x14ac:dyDescent="0.25">
      <c r="C3" s="2" t="s">
        <v>16</v>
      </c>
      <c r="D3" s="3" t="s">
        <v>17</v>
      </c>
      <c r="F3" s="3" t="s">
        <v>17</v>
      </c>
      <c r="I3" s="3" t="s">
        <v>94</v>
      </c>
      <c r="J3" s="3" t="s">
        <v>95</v>
      </c>
      <c r="K3" s="3" t="s">
        <v>96</v>
      </c>
      <c r="L3" s="3" t="s">
        <v>95</v>
      </c>
    </row>
    <row r="4" spans="2:23" x14ac:dyDescent="0.25">
      <c r="B4">
        <v>1</v>
      </c>
      <c r="C4" s="1">
        <v>44084</v>
      </c>
      <c r="D4" t="s">
        <v>50</v>
      </c>
      <c r="E4" t="s">
        <v>51</v>
      </c>
      <c r="F4" t="s">
        <v>50</v>
      </c>
      <c r="G4" s="5">
        <v>0.34722222222222227</v>
      </c>
      <c r="H4">
        <f>VLOOKUP(C4,UTCLookup!C$3:D$57,2,FALSE)</f>
        <v>1599631200</v>
      </c>
      <c r="I4" s="9">
        <f>H4+G4*86400</f>
        <v>1599661200</v>
      </c>
      <c r="J4">
        <f>VLOOKUP(D4,$O$4:$P$35,2,FALSE)</f>
        <v>12</v>
      </c>
      <c r="K4">
        <f t="shared" ref="K4:L4" si="0">VLOOKUP(E4,$O$4:$P$35,2,FALSE)</f>
        <v>15</v>
      </c>
      <c r="L4">
        <f t="shared" si="0"/>
        <v>12</v>
      </c>
      <c r="M4" s="6">
        <v>0</v>
      </c>
      <c r="N4" s="4" t="s">
        <v>18</v>
      </c>
      <c r="O4" t="s">
        <v>74</v>
      </c>
      <c r="P4" s="6">
        <v>0</v>
      </c>
      <c r="T4" s="17">
        <v>44136</v>
      </c>
      <c r="U4">
        <v>8</v>
      </c>
    </row>
    <row r="5" spans="2:23" x14ac:dyDescent="0.25">
      <c r="B5">
        <v>1</v>
      </c>
      <c r="C5" s="1">
        <v>44087</v>
      </c>
      <c r="D5" t="s">
        <v>52</v>
      </c>
      <c r="E5" t="s">
        <v>53</v>
      </c>
      <c r="F5" t="s">
        <v>52</v>
      </c>
      <c r="G5">
        <v>1</v>
      </c>
      <c r="H5">
        <f>VLOOKUP(C5,UTCLookup!C$3:D$57,2,FALSE)</f>
        <v>1599890400</v>
      </c>
      <c r="I5" s="9">
        <f t="shared" ref="I5:I68" si="1">H5+G5*86400</f>
        <v>1599976800</v>
      </c>
      <c r="J5">
        <f t="shared" ref="J5:J68" si="2">VLOOKUP(D5,$O$4:$P$35,2,FALSE)</f>
        <v>28</v>
      </c>
      <c r="K5">
        <f t="shared" ref="K5:K68" si="3">VLOOKUP(E5,$O$4:$P$35,2,FALSE)</f>
        <v>1</v>
      </c>
      <c r="L5">
        <f t="shared" ref="L5:L68" si="4">VLOOKUP(F5,$O$4:$P$35,2,FALSE)</f>
        <v>28</v>
      </c>
      <c r="M5" s="6">
        <v>1</v>
      </c>
      <c r="N5" s="4" t="s">
        <v>19</v>
      </c>
      <c r="O5" t="s">
        <v>53</v>
      </c>
      <c r="P5" s="6">
        <v>1</v>
      </c>
      <c r="T5" s="17">
        <v>44143</v>
      </c>
      <c r="U5">
        <v>9</v>
      </c>
    </row>
    <row r="6" spans="2:23" x14ac:dyDescent="0.25">
      <c r="B6">
        <v>1</v>
      </c>
      <c r="C6" s="1">
        <v>44087</v>
      </c>
      <c r="D6" t="s">
        <v>54</v>
      </c>
      <c r="E6" t="s">
        <v>55</v>
      </c>
      <c r="F6" t="s">
        <v>54</v>
      </c>
      <c r="G6">
        <v>1</v>
      </c>
      <c r="H6">
        <f>VLOOKUP(C6,UTCLookup!C$3:D$57,2,FALSE)</f>
        <v>1599890400</v>
      </c>
      <c r="I6" s="9">
        <f t="shared" si="1"/>
        <v>1599976800</v>
      </c>
      <c r="J6">
        <f t="shared" si="2"/>
        <v>7</v>
      </c>
      <c r="K6">
        <f t="shared" si="3"/>
        <v>2</v>
      </c>
      <c r="L6">
        <f t="shared" si="4"/>
        <v>7</v>
      </c>
      <c r="M6" s="6">
        <v>2</v>
      </c>
      <c r="N6" s="4" t="s">
        <v>20</v>
      </c>
      <c r="O6" t="s">
        <v>55</v>
      </c>
      <c r="P6" s="6">
        <v>2</v>
      </c>
      <c r="T6" s="17">
        <v>44150</v>
      </c>
      <c r="U6">
        <v>10</v>
      </c>
    </row>
    <row r="7" spans="2:23" x14ac:dyDescent="0.25">
      <c r="B7">
        <v>1</v>
      </c>
      <c r="C7" s="1">
        <v>44087</v>
      </c>
      <c r="D7" t="s">
        <v>56</v>
      </c>
      <c r="E7" t="s">
        <v>57</v>
      </c>
      <c r="F7" t="s">
        <v>56</v>
      </c>
      <c r="G7">
        <v>1</v>
      </c>
      <c r="H7">
        <f>VLOOKUP(C7,UTCLookup!C$3:D$57,2,FALSE)</f>
        <v>1599890400</v>
      </c>
      <c r="I7" s="9">
        <f t="shared" si="1"/>
        <v>1599976800</v>
      </c>
      <c r="J7">
        <f t="shared" si="2"/>
        <v>24</v>
      </c>
      <c r="K7">
        <f t="shared" si="3"/>
        <v>3</v>
      </c>
      <c r="L7">
        <f t="shared" si="4"/>
        <v>24</v>
      </c>
      <c r="M7" s="6">
        <v>3</v>
      </c>
      <c r="N7" s="4" t="s">
        <v>21</v>
      </c>
      <c r="O7" t="s">
        <v>57</v>
      </c>
      <c r="P7" s="6">
        <v>3</v>
      </c>
      <c r="T7" s="17">
        <v>44157</v>
      </c>
      <c r="U7">
        <v>11</v>
      </c>
    </row>
    <row r="8" spans="2:23" x14ac:dyDescent="0.25">
      <c r="B8">
        <v>1</v>
      </c>
      <c r="C8" s="1">
        <v>44087</v>
      </c>
      <c r="D8" t="s">
        <v>58</v>
      </c>
      <c r="E8" t="s">
        <v>59</v>
      </c>
      <c r="F8" t="s">
        <v>58</v>
      </c>
      <c r="G8">
        <v>1</v>
      </c>
      <c r="H8">
        <f>VLOOKUP(C8,UTCLookup!C$3:D$57,2,FALSE)</f>
        <v>1599890400</v>
      </c>
      <c r="I8" s="9">
        <f t="shared" si="1"/>
        <v>1599976800</v>
      </c>
      <c r="J8">
        <f t="shared" si="2"/>
        <v>16</v>
      </c>
      <c r="K8">
        <f t="shared" si="3"/>
        <v>4</v>
      </c>
      <c r="L8">
        <f t="shared" si="4"/>
        <v>16</v>
      </c>
      <c r="M8" s="6">
        <v>4</v>
      </c>
      <c r="N8" s="4" t="s">
        <v>22</v>
      </c>
      <c r="O8" t="s">
        <v>59</v>
      </c>
      <c r="P8" s="6">
        <v>4</v>
      </c>
      <c r="T8" s="17">
        <v>44164</v>
      </c>
      <c r="U8">
        <v>12</v>
      </c>
    </row>
    <row r="9" spans="2:23" x14ac:dyDescent="0.25">
      <c r="B9">
        <v>1</v>
      </c>
      <c r="C9" s="1">
        <v>44087</v>
      </c>
      <c r="D9" t="s">
        <v>60</v>
      </c>
      <c r="E9" t="s">
        <v>61</v>
      </c>
      <c r="F9" t="s">
        <v>60</v>
      </c>
      <c r="G9">
        <v>1</v>
      </c>
      <c r="H9">
        <f>VLOOKUP(C9,UTCLookup!C$3:D$57,2,FALSE)</f>
        <v>1599890400</v>
      </c>
      <c r="I9" s="9">
        <f t="shared" si="1"/>
        <v>1599976800</v>
      </c>
      <c r="J9">
        <f t="shared" si="2"/>
        <v>5</v>
      </c>
      <c r="K9">
        <f t="shared" si="3"/>
        <v>10</v>
      </c>
      <c r="L9">
        <f t="shared" si="4"/>
        <v>5</v>
      </c>
      <c r="M9" s="6">
        <v>5</v>
      </c>
      <c r="N9" s="4" t="s">
        <v>23</v>
      </c>
      <c r="O9" t="s">
        <v>60</v>
      </c>
      <c r="P9" s="6">
        <v>5</v>
      </c>
      <c r="T9" s="17">
        <v>44171</v>
      </c>
      <c r="U9">
        <v>13</v>
      </c>
    </row>
    <row r="10" spans="2:23" x14ac:dyDescent="0.25">
      <c r="B10">
        <v>1</v>
      </c>
      <c r="C10" s="1">
        <v>44087</v>
      </c>
      <c r="D10" t="s">
        <v>62</v>
      </c>
      <c r="E10" t="s">
        <v>63</v>
      </c>
      <c r="F10" t="s">
        <v>62</v>
      </c>
      <c r="G10">
        <v>1</v>
      </c>
      <c r="H10">
        <f>VLOOKUP(C10,UTCLookup!C$3:D$57,2,FALSE)</f>
        <v>1599890400</v>
      </c>
      <c r="I10" s="9">
        <f t="shared" si="1"/>
        <v>1599976800</v>
      </c>
      <c r="J10">
        <f t="shared" si="2"/>
        <v>13</v>
      </c>
      <c r="K10">
        <f t="shared" si="3"/>
        <v>14</v>
      </c>
      <c r="L10">
        <f t="shared" si="4"/>
        <v>13</v>
      </c>
      <c r="M10" s="6">
        <v>6</v>
      </c>
      <c r="N10" s="4" t="s">
        <v>24</v>
      </c>
      <c r="O10" t="s">
        <v>71</v>
      </c>
      <c r="P10" s="6">
        <v>6</v>
      </c>
      <c r="T10" s="17">
        <v>44178</v>
      </c>
      <c r="U10">
        <v>14</v>
      </c>
    </row>
    <row r="11" spans="2:23" x14ac:dyDescent="0.25">
      <c r="B11">
        <v>1</v>
      </c>
      <c r="C11" s="1">
        <v>44087</v>
      </c>
      <c r="D11" t="s">
        <v>64</v>
      </c>
      <c r="E11" t="s">
        <v>65</v>
      </c>
      <c r="F11" t="s">
        <v>64</v>
      </c>
      <c r="G11">
        <v>1</v>
      </c>
      <c r="H11">
        <f>VLOOKUP(C11,UTCLookup!C$3:D$57,2,FALSE)</f>
        <v>1599890400</v>
      </c>
      <c r="I11" s="9">
        <f t="shared" si="1"/>
        <v>1599976800</v>
      </c>
      <c r="J11">
        <f t="shared" si="2"/>
        <v>11</v>
      </c>
      <c r="K11">
        <f t="shared" si="3"/>
        <v>20</v>
      </c>
      <c r="L11">
        <f t="shared" si="4"/>
        <v>11</v>
      </c>
      <c r="M11" s="6">
        <v>7</v>
      </c>
      <c r="N11" s="4" t="s">
        <v>25</v>
      </c>
      <c r="O11" t="s">
        <v>54</v>
      </c>
      <c r="P11" s="6">
        <v>7</v>
      </c>
      <c r="T11" s="17">
        <v>44185</v>
      </c>
      <c r="U11">
        <v>15</v>
      </c>
    </row>
    <row r="12" spans="2:23" x14ac:dyDescent="0.25">
      <c r="B12">
        <v>1</v>
      </c>
      <c r="C12" s="1">
        <v>44087</v>
      </c>
      <c r="D12" t="s">
        <v>66</v>
      </c>
      <c r="E12" t="s">
        <v>67</v>
      </c>
      <c r="F12" t="s">
        <v>66</v>
      </c>
      <c r="G12">
        <v>1</v>
      </c>
      <c r="H12">
        <f>VLOOKUP(C12,UTCLookup!C$3:D$57,2,FALSE)</f>
        <v>1599890400</v>
      </c>
      <c r="I12" s="9">
        <f t="shared" si="1"/>
        <v>1599976800</v>
      </c>
      <c r="J12">
        <f t="shared" si="2"/>
        <v>19</v>
      </c>
      <c r="K12">
        <f t="shared" si="3"/>
        <v>21</v>
      </c>
      <c r="L12">
        <f t="shared" si="4"/>
        <v>19</v>
      </c>
      <c r="M12" s="6">
        <v>8</v>
      </c>
      <c r="N12" s="4" t="s">
        <v>26</v>
      </c>
      <c r="O12" t="s">
        <v>76</v>
      </c>
      <c r="P12" s="6">
        <v>8</v>
      </c>
      <c r="T12" s="17">
        <v>44192</v>
      </c>
      <c r="U12">
        <v>16</v>
      </c>
    </row>
    <row r="13" spans="2:23" x14ac:dyDescent="0.25">
      <c r="B13">
        <v>1</v>
      </c>
      <c r="C13" s="1">
        <v>44087</v>
      </c>
      <c r="D13" t="s">
        <v>68</v>
      </c>
      <c r="E13" t="s">
        <v>69</v>
      </c>
      <c r="F13" t="s">
        <v>68</v>
      </c>
      <c r="G13">
        <v>1</v>
      </c>
      <c r="H13">
        <f>VLOOKUP(C13,UTCLookup!C$3:D$57,2,FALSE)</f>
        <v>1599890400</v>
      </c>
      <c r="I13" s="9">
        <f t="shared" si="1"/>
        <v>1599976800</v>
      </c>
      <c r="J13">
        <f t="shared" si="2"/>
        <v>25</v>
      </c>
      <c r="K13">
        <f t="shared" si="3"/>
        <v>31</v>
      </c>
      <c r="L13">
        <f t="shared" si="4"/>
        <v>25</v>
      </c>
      <c r="M13" s="6">
        <v>9</v>
      </c>
      <c r="N13" s="4" t="s">
        <v>27</v>
      </c>
      <c r="O13" t="s">
        <v>81</v>
      </c>
      <c r="P13" s="6">
        <v>9</v>
      </c>
      <c r="T13" s="17">
        <v>44199</v>
      </c>
      <c r="U13">
        <v>17</v>
      </c>
    </row>
    <row r="14" spans="2:23" x14ac:dyDescent="0.25">
      <c r="B14">
        <v>1</v>
      </c>
      <c r="C14" s="1">
        <v>44087</v>
      </c>
      <c r="D14" t="s">
        <v>70</v>
      </c>
      <c r="E14" t="s">
        <v>71</v>
      </c>
      <c r="F14" t="s">
        <v>70</v>
      </c>
      <c r="G14" s="5">
        <v>0.17013888888888887</v>
      </c>
      <c r="H14">
        <f>VLOOKUP(C14,UTCLookup!C$3:D$57,2,FALSE)</f>
        <v>1599890400</v>
      </c>
      <c r="I14" s="9">
        <f t="shared" si="1"/>
        <v>1599905100</v>
      </c>
      <c r="J14">
        <f t="shared" si="2"/>
        <v>17</v>
      </c>
      <c r="K14">
        <f t="shared" si="3"/>
        <v>6</v>
      </c>
      <c r="L14">
        <f t="shared" si="4"/>
        <v>17</v>
      </c>
      <c r="M14" s="6">
        <v>10</v>
      </c>
      <c r="N14" s="4" t="s">
        <v>28</v>
      </c>
      <c r="O14" t="s">
        <v>61</v>
      </c>
      <c r="P14" s="6">
        <v>10</v>
      </c>
      <c r="T14" s="17">
        <v>44206</v>
      </c>
      <c r="U14">
        <v>18</v>
      </c>
      <c r="V14" s="7" t="s">
        <v>89</v>
      </c>
    </row>
    <row r="15" spans="2:23" x14ac:dyDescent="0.25">
      <c r="B15">
        <v>1</v>
      </c>
      <c r="C15" s="1">
        <v>44087</v>
      </c>
      <c r="D15" t="s">
        <v>72</v>
      </c>
      <c r="E15" t="s">
        <v>73</v>
      </c>
      <c r="F15" t="s">
        <v>72</v>
      </c>
      <c r="G15" s="5">
        <v>0.18402777777777779</v>
      </c>
      <c r="H15">
        <f>VLOOKUP(C15,UTCLookup!C$3:D$57,2,FALSE)</f>
        <v>1599890400</v>
      </c>
      <c r="I15" s="9">
        <f t="shared" si="1"/>
        <v>1599906300</v>
      </c>
      <c r="J15">
        <f t="shared" si="2"/>
        <v>29</v>
      </c>
      <c r="K15">
        <f t="shared" si="3"/>
        <v>22</v>
      </c>
      <c r="L15">
        <f t="shared" si="4"/>
        <v>29</v>
      </c>
      <c r="M15" s="6">
        <v>11</v>
      </c>
      <c r="N15" s="4" t="s">
        <v>29</v>
      </c>
      <c r="O15" t="s">
        <v>64</v>
      </c>
      <c r="P15" s="6">
        <v>11</v>
      </c>
      <c r="T15" s="17">
        <v>44213</v>
      </c>
      <c r="U15">
        <v>19</v>
      </c>
      <c r="V15" s="7" t="s">
        <v>89</v>
      </c>
      <c r="W15" s="18"/>
    </row>
    <row r="16" spans="2:23" x14ac:dyDescent="0.25">
      <c r="B16">
        <v>1</v>
      </c>
      <c r="C16" s="1">
        <v>44087</v>
      </c>
      <c r="D16" t="s">
        <v>74</v>
      </c>
      <c r="E16" t="s">
        <v>75</v>
      </c>
      <c r="F16" t="s">
        <v>74</v>
      </c>
      <c r="G16" s="5">
        <v>0.18402777777777779</v>
      </c>
      <c r="H16">
        <f>VLOOKUP(C16,UTCLookup!C$3:D$57,2,FALSE)</f>
        <v>1599890400</v>
      </c>
      <c r="I16" s="9">
        <f t="shared" si="1"/>
        <v>1599906300</v>
      </c>
      <c r="J16">
        <f t="shared" si="2"/>
        <v>0</v>
      </c>
      <c r="K16">
        <f t="shared" si="3"/>
        <v>27</v>
      </c>
      <c r="L16">
        <f t="shared" si="4"/>
        <v>0</v>
      </c>
      <c r="M16" s="6">
        <v>12</v>
      </c>
      <c r="N16" s="4" t="s">
        <v>30</v>
      </c>
      <c r="O16" t="s">
        <v>50</v>
      </c>
      <c r="P16" s="6">
        <v>12</v>
      </c>
      <c r="T16" s="17">
        <v>44220</v>
      </c>
      <c r="U16">
        <v>20</v>
      </c>
      <c r="V16" s="7" t="s">
        <v>89</v>
      </c>
      <c r="W16" s="18"/>
    </row>
    <row r="17" spans="2:22" x14ac:dyDescent="0.25">
      <c r="B17">
        <v>1</v>
      </c>
      <c r="C17" s="1">
        <v>44087</v>
      </c>
      <c r="D17" t="s">
        <v>76</v>
      </c>
      <c r="E17" t="s">
        <v>77</v>
      </c>
      <c r="F17" t="s">
        <v>76</v>
      </c>
      <c r="G17" s="5">
        <v>0.34722222222222227</v>
      </c>
      <c r="H17">
        <f>VLOOKUP(C17,UTCLookup!C$3:D$57,2,FALSE)</f>
        <v>1599890400</v>
      </c>
      <c r="I17" s="9">
        <f t="shared" si="1"/>
        <v>1599920400</v>
      </c>
      <c r="J17">
        <f t="shared" si="2"/>
        <v>8</v>
      </c>
      <c r="K17">
        <f t="shared" si="3"/>
        <v>18</v>
      </c>
      <c r="L17">
        <f t="shared" si="4"/>
        <v>8</v>
      </c>
      <c r="M17" s="6">
        <v>13</v>
      </c>
      <c r="N17" s="4" t="s">
        <v>31</v>
      </c>
      <c r="O17" t="s">
        <v>62</v>
      </c>
      <c r="P17" s="6">
        <v>13</v>
      </c>
      <c r="T17" s="17">
        <v>44234</v>
      </c>
      <c r="U17">
        <v>21</v>
      </c>
      <c r="V17" t="s">
        <v>90</v>
      </c>
    </row>
    <row r="18" spans="2:22" x14ac:dyDescent="0.25">
      <c r="B18">
        <v>1</v>
      </c>
      <c r="C18" s="1">
        <v>44088</v>
      </c>
      <c r="D18" t="s">
        <v>78</v>
      </c>
      <c r="E18" t="s">
        <v>79</v>
      </c>
      <c r="F18" t="s">
        <v>78</v>
      </c>
      <c r="G18" s="5">
        <v>0.30208333333333331</v>
      </c>
      <c r="H18">
        <f>VLOOKUP(C18,UTCLookup!C$3:D$57,2,FALSE)</f>
        <v>1599976800</v>
      </c>
      <c r="I18" s="9">
        <f t="shared" si="1"/>
        <v>1600002900</v>
      </c>
      <c r="J18">
        <f t="shared" si="2"/>
        <v>26</v>
      </c>
      <c r="K18">
        <f t="shared" si="3"/>
        <v>23</v>
      </c>
      <c r="L18">
        <f t="shared" si="4"/>
        <v>26</v>
      </c>
      <c r="M18" s="6">
        <v>14</v>
      </c>
      <c r="N18" s="4" t="s">
        <v>32</v>
      </c>
      <c r="O18" t="s">
        <v>63</v>
      </c>
      <c r="P18" s="6">
        <v>14</v>
      </c>
    </row>
    <row r="19" spans="2:22" x14ac:dyDescent="0.25">
      <c r="B19">
        <v>1</v>
      </c>
      <c r="C19" s="1">
        <v>44088</v>
      </c>
      <c r="D19" t="s">
        <v>80</v>
      </c>
      <c r="E19" t="s">
        <v>81</v>
      </c>
      <c r="F19" t="s">
        <v>80</v>
      </c>
      <c r="G19" s="5">
        <v>0.4236111111111111</v>
      </c>
      <c r="H19">
        <f>VLOOKUP(C19,UTCLookup!C$3:D$57,2,FALSE)</f>
        <v>1599976800</v>
      </c>
      <c r="I19" s="9">
        <f t="shared" si="1"/>
        <v>1600013400</v>
      </c>
      <c r="J19">
        <f t="shared" si="2"/>
        <v>30</v>
      </c>
      <c r="K19">
        <f t="shared" si="3"/>
        <v>9</v>
      </c>
      <c r="L19">
        <f t="shared" si="4"/>
        <v>30</v>
      </c>
      <c r="M19" s="6">
        <v>15</v>
      </c>
      <c r="N19" s="4" t="s">
        <v>33</v>
      </c>
      <c r="O19" t="s">
        <v>51</v>
      </c>
      <c r="P19" s="6">
        <v>15</v>
      </c>
      <c r="T19" s="17"/>
    </row>
    <row r="20" spans="2:22" x14ac:dyDescent="0.25">
      <c r="B20">
        <v>2</v>
      </c>
      <c r="C20" s="1" t="s">
        <v>0</v>
      </c>
      <c r="I20" s="9"/>
      <c r="J20" t="e">
        <f t="shared" si="2"/>
        <v>#N/A</v>
      </c>
      <c r="K20" t="e">
        <f t="shared" si="3"/>
        <v>#N/A</v>
      </c>
      <c r="L20" t="e">
        <f t="shared" si="4"/>
        <v>#N/A</v>
      </c>
      <c r="M20" s="6">
        <v>16</v>
      </c>
      <c r="N20" s="4" t="s">
        <v>34</v>
      </c>
      <c r="O20" t="s">
        <v>58</v>
      </c>
      <c r="P20" s="6">
        <v>16</v>
      </c>
      <c r="T20" s="17"/>
    </row>
    <row r="21" spans="2:22" x14ac:dyDescent="0.25">
      <c r="B21">
        <v>2</v>
      </c>
      <c r="C21" s="1">
        <v>44091</v>
      </c>
      <c r="D21" t="s">
        <v>71</v>
      </c>
      <c r="E21" t="s">
        <v>54</v>
      </c>
      <c r="F21" t="s">
        <v>71</v>
      </c>
      <c r="G21" s="5">
        <v>0.34722222222222227</v>
      </c>
      <c r="H21">
        <f>VLOOKUP(C21,UTCLookup!C$3:D$57,2,FALSE)</f>
        <v>1600236000</v>
      </c>
      <c r="I21" s="9">
        <f t="shared" si="1"/>
        <v>1600266000</v>
      </c>
      <c r="J21">
        <f t="shared" si="2"/>
        <v>6</v>
      </c>
      <c r="K21">
        <f t="shared" si="3"/>
        <v>7</v>
      </c>
      <c r="L21">
        <f t="shared" si="4"/>
        <v>6</v>
      </c>
      <c r="M21" s="6">
        <v>17</v>
      </c>
      <c r="N21" s="4" t="s">
        <v>35</v>
      </c>
      <c r="O21" t="s">
        <v>70</v>
      </c>
      <c r="P21" s="6">
        <v>17</v>
      </c>
      <c r="R21" t="s">
        <v>50</v>
      </c>
      <c r="S21" t="s">
        <v>51</v>
      </c>
      <c r="T21" s="7">
        <v>1</v>
      </c>
      <c r="U21" s="7">
        <v>1</v>
      </c>
    </row>
    <row r="22" spans="2:22" x14ac:dyDescent="0.25">
      <c r="B22">
        <v>2</v>
      </c>
      <c r="C22" s="1">
        <v>44094</v>
      </c>
      <c r="D22" t="s">
        <v>79</v>
      </c>
      <c r="E22" t="s">
        <v>60</v>
      </c>
      <c r="F22" t="s">
        <v>79</v>
      </c>
      <c r="G22">
        <v>1</v>
      </c>
      <c r="H22">
        <f>VLOOKUP(C22,UTCLookup!C$3:D$57,2,FALSE)</f>
        <v>1600495200</v>
      </c>
      <c r="I22" s="9">
        <f t="shared" si="1"/>
        <v>1600581600</v>
      </c>
      <c r="J22">
        <f t="shared" si="2"/>
        <v>23</v>
      </c>
      <c r="K22">
        <f t="shared" si="3"/>
        <v>5</v>
      </c>
      <c r="L22">
        <f t="shared" si="4"/>
        <v>23</v>
      </c>
      <c r="M22" s="6">
        <v>18</v>
      </c>
      <c r="N22" s="4" t="s">
        <v>36</v>
      </c>
      <c r="O22" t="s">
        <v>77</v>
      </c>
      <c r="P22" s="6">
        <v>18</v>
      </c>
      <c r="R22" t="s">
        <v>52</v>
      </c>
      <c r="S22" t="s">
        <v>53</v>
      </c>
      <c r="T22" s="7">
        <v>2</v>
      </c>
      <c r="U22" s="7">
        <v>2</v>
      </c>
    </row>
    <row r="23" spans="2:22" x14ac:dyDescent="0.25">
      <c r="B23">
        <v>2</v>
      </c>
      <c r="C23" s="1">
        <v>44094</v>
      </c>
      <c r="D23" t="s">
        <v>53</v>
      </c>
      <c r="E23" t="s">
        <v>76</v>
      </c>
      <c r="F23" t="s">
        <v>53</v>
      </c>
      <c r="G23">
        <v>1</v>
      </c>
      <c r="H23">
        <f>VLOOKUP(C23,UTCLookup!C$3:D$57,2,FALSE)</f>
        <v>1600495200</v>
      </c>
      <c r="I23" s="9">
        <f t="shared" si="1"/>
        <v>1600581600</v>
      </c>
      <c r="J23">
        <f t="shared" si="2"/>
        <v>1</v>
      </c>
      <c r="K23">
        <f t="shared" si="3"/>
        <v>8</v>
      </c>
      <c r="L23">
        <f t="shared" si="4"/>
        <v>1</v>
      </c>
      <c r="M23" s="6">
        <v>19</v>
      </c>
      <c r="N23" s="4" t="s">
        <v>37</v>
      </c>
      <c r="O23" t="s">
        <v>66</v>
      </c>
      <c r="P23" s="6">
        <v>19</v>
      </c>
      <c r="R23" t="s">
        <v>54</v>
      </c>
      <c r="S23" t="s">
        <v>55</v>
      </c>
      <c r="T23" s="7">
        <v>3</v>
      </c>
      <c r="U23" s="7">
        <v>3</v>
      </c>
    </row>
    <row r="24" spans="2:22" x14ac:dyDescent="0.25">
      <c r="B24">
        <v>2</v>
      </c>
      <c r="C24" s="1">
        <v>44094</v>
      </c>
      <c r="D24" t="s">
        <v>61</v>
      </c>
      <c r="E24" t="s">
        <v>64</v>
      </c>
      <c r="F24" t="s">
        <v>61</v>
      </c>
      <c r="G24">
        <v>1</v>
      </c>
      <c r="H24">
        <f>VLOOKUP(C24,UTCLookup!C$3:D$57,2,FALSE)</f>
        <v>1600495200</v>
      </c>
      <c r="I24" s="9">
        <f t="shared" si="1"/>
        <v>1600581600</v>
      </c>
      <c r="J24">
        <f t="shared" si="2"/>
        <v>10</v>
      </c>
      <c r="K24">
        <f t="shared" si="3"/>
        <v>11</v>
      </c>
      <c r="L24">
        <f t="shared" si="4"/>
        <v>10</v>
      </c>
      <c r="M24" s="6">
        <v>20</v>
      </c>
      <c r="N24" s="4" t="s">
        <v>38</v>
      </c>
      <c r="O24" t="s">
        <v>65</v>
      </c>
      <c r="P24" s="6">
        <v>20</v>
      </c>
      <c r="R24" t="s">
        <v>56</v>
      </c>
      <c r="S24" t="s">
        <v>57</v>
      </c>
      <c r="T24" s="7">
        <v>4</v>
      </c>
      <c r="U24" s="7">
        <v>4</v>
      </c>
    </row>
    <row r="25" spans="2:22" x14ac:dyDescent="0.25">
      <c r="B25">
        <v>2</v>
      </c>
      <c r="C25" s="1">
        <v>44094</v>
      </c>
      <c r="D25" t="s">
        <v>65</v>
      </c>
      <c r="E25" t="s">
        <v>62</v>
      </c>
      <c r="F25" t="s">
        <v>65</v>
      </c>
      <c r="G25">
        <v>1</v>
      </c>
      <c r="H25">
        <f>VLOOKUP(C25,UTCLookup!C$3:D$57,2,FALSE)</f>
        <v>1600495200</v>
      </c>
      <c r="I25" s="9">
        <f t="shared" si="1"/>
        <v>1600581600</v>
      </c>
      <c r="J25">
        <f t="shared" si="2"/>
        <v>20</v>
      </c>
      <c r="K25">
        <f t="shared" si="3"/>
        <v>13</v>
      </c>
      <c r="L25">
        <f t="shared" si="4"/>
        <v>20</v>
      </c>
      <c r="M25" s="6">
        <v>21</v>
      </c>
      <c r="N25" s="4" t="s">
        <v>39</v>
      </c>
      <c r="O25" t="s">
        <v>67</v>
      </c>
      <c r="P25" s="6">
        <v>21</v>
      </c>
      <c r="R25" t="s">
        <v>58</v>
      </c>
      <c r="S25" t="s">
        <v>59</v>
      </c>
      <c r="T25" s="7">
        <v>5</v>
      </c>
      <c r="U25" s="7">
        <v>5</v>
      </c>
    </row>
    <row r="26" spans="2:22" x14ac:dyDescent="0.25">
      <c r="B26">
        <v>2</v>
      </c>
      <c r="C26" s="1">
        <v>44094</v>
      </c>
      <c r="D26" t="s">
        <v>57</v>
      </c>
      <c r="E26" t="s">
        <v>66</v>
      </c>
      <c r="F26" t="s">
        <v>57</v>
      </c>
      <c r="G26">
        <v>1</v>
      </c>
      <c r="H26">
        <f>VLOOKUP(C26,UTCLookup!C$3:D$57,2,FALSE)</f>
        <v>1600495200</v>
      </c>
      <c r="I26" s="9">
        <f t="shared" si="1"/>
        <v>1600581600</v>
      </c>
      <c r="J26">
        <f t="shared" si="2"/>
        <v>3</v>
      </c>
      <c r="K26">
        <f t="shared" si="3"/>
        <v>19</v>
      </c>
      <c r="L26">
        <f t="shared" si="4"/>
        <v>3</v>
      </c>
      <c r="M26" s="6">
        <v>22</v>
      </c>
      <c r="N26" s="4" t="s">
        <v>40</v>
      </c>
      <c r="O26" t="s">
        <v>73</v>
      </c>
      <c r="P26" s="6">
        <v>22</v>
      </c>
      <c r="R26" t="s">
        <v>60</v>
      </c>
      <c r="S26" t="s">
        <v>61</v>
      </c>
      <c r="T26" s="7">
        <v>6</v>
      </c>
      <c r="U26" s="7">
        <v>6</v>
      </c>
    </row>
    <row r="27" spans="2:22" x14ac:dyDescent="0.25">
      <c r="B27">
        <v>2</v>
      </c>
      <c r="C27" s="1">
        <v>44094</v>
      </c>
      <c r="D27" t="s">
        <v>75</v>
      </c>
      <c r="E27" t="s">
        <v>56</v>
      </c>
      <c r="F27" t="s">
        <v>75</v>
      </c>
      <c r="G27">
        <v>1</v>
      </c>
      <c r="H27">
        <f>VLOOKUP(C27,UTCLookup!C$3:D$57,2,FALSE)</f>
        <v>1600495200</v>
      </c>
      <c r="I27" s="9">
        <f t="shared" si="1"/>
        <v>1600581600</v>
      </c>
      <c r="J27">
        <f t="shared" si="2"/>
        <v>27</v>
      </c>
      <c r="K27">
        <f t="shared" si="3"/>
        <v>24</v>
      </c>
      <c r="L27">
        <f t="shared" si="4"/>
        <v>27</v>
      </c>
      <c r="M27" s="6">
        <v>23</v>
      </c>
      <c r="N27" s="4" t="s">
        <v>41</v>
      </c>
      <c r="O27" t="s">
        <v>79</v>
      </c>
      <c r="P27" s="6">
        <v>23</v>
      </c>
      <c r="R27" t="s">
        <v>62</v>
      </c>
      <c r="S27" t="s">
        <v>63</v>
      </c>
      <c r="T27" s="7">
        <v>7</v>
      </c>
      <c r="U27" s="7">
        <v>7</v>
      </c>
    </row>
    <row r="28" spans="2:22" x14ac:dyDescent="0.25">
      <c r="B28">
        <v>2</v>
      </c>
      <c r="C28" s="1">
        <v>44094</v>
      </c>
      <c r="D28" t="s">
        <v>77</v>
      </c>
      <c r="E28" t="s">
        <v>68</v>
      </c>
      <c r="F28" t="s">
        <v>77</v>
      </c>
      <c r="G28">
        <v>1</v>
      </c>
      <c r="H28">
        <f>VLOOKUP(C28,UTCLookup!C$3:D$57,2,FALSE)</f>
        <v>1600495200</v>
      </c>
      <c r="I28" s="9">
        <f t="shared" si="1"/>
        <v>1600581600</v>
      </c>
      <c r="J28">
        <f t="shared" si="2"/>
        <v>18</v>
      </c>
      <c r="K28">
        <f t="shared" si="3"/>
        <v>25</v>
      </c>
      <c r="L28">
        <f t="shared" si="4"/>
        <v>18</v>
      </c>
      <c r="M28" s="6">
        <v>24</v>
      </c>
      <c r="N28" s="4" t="s">
        <v>42</v>
      </c>
      <c r="O28" t="s">
        <v>56</v>
      </c>
      <c r="P28" s="6">
        <v>24</v>
      </c>
      <c r="R28" t="s">
        <v>64</v>
      </c>
      <c r="S28" t="s">
        <v>65</v>
      </c>
      <c r="T28" s="7">
        <v>8</v>
      </c>
      <c r="U28" s="7">
        <v>8</v>
      </c>
    </row>
    <row r="29" spans="2:22" x14ac:dyDescent="0.25">
      <c r="B29">
        <v>2</v>
      </c>
      <c r="C29" s="1">
        <v>44094</v>
      </c>
      <c r="D29" t="s">
        <v>81</v>
      </c>
      <c r="E29" t="s">
        <v>78</v>
      </c>
      <c r="F29" t="s">
        <v>81</v>
      </c>
      <c r="G29">
        <v>1</v>
      </c>
      <c r="H29">
        <f>VLOOKUP(C29,UTCLookup!C$3:D$57,2,FALSE)</f>
        <v>1600495200</v>
      </c>
      <c r="I29" s="9">
        <f t="shared" si="1"/>
        <v>1600581600</v>
      </c>
      <c r="J29">
        <f t="shared" si="2"/>
        <v>9</v>
      </c>
      <c r="K29">
        <f t="shared" si="3"/>
        <v>26</v>
      </c>
      <c r="L29">
        <f t="shared" si="4"/>
        <v>9</v>
      </c>
      <c r="M29" s="6">
        <v>25</v>
      </c>
      <c r="N29" s="4" t="s">
        <v>43</v>
      </c>
      <c r="O29" t="s">
        <v>68</v>
      </c>
      <c r="P29" s="6">
        <v>25</v>
      </c>
      <c r="R29" t="s">
        <v>66</v>
      </c>
      <c r="S29" t="s">
        <v>67</v>
      </c>
      <c r="T29" s="7">
        <v>9</v>
      </c>
      <c r="U29" s="7">
        <v>9</v>
      </c>
    </row>
    <row r="30" spans="2:22" x14ac:dyDescent="0.25">
      <c r="B30">
        <v>2</v>
      </c>
      <c r="C30" s="1">
        <v>44094</v>
      </c>
      <c r="D30" t="s">
        <v>59</v>
      </c>
      <c r="E30" t="s">
        <v>72</v>
      </c>
      <c r="F30" t="s">
        <v>59</v>
      </c>
      <c r="G30">
        <v>1</v>
      </c>
      <c r="H30">
        <f>VLOOKUP(C30,UTCLookup!C$3:D$57,2,FALSE)</f>
        <v>1600495200</v>
      </c>
      <c r="I30" s="9">
        <f t="shared" si="1"/>
        <v>1600581600</v>
      </c>
      <c r="J30">
        <f t="shared" si="2"/>
        <v>4</v>
      </c>
      <c r="K30">
        <f t="shared" si="3"/>
        <v>29</v>
      </c>
      <c r="L30">
        <f t="shared" si="4"/>
        <v>4</v>
      </c>
      <c r="M30" s="6">
        <v>26</v>
      </c>
      <c r="N30" s="4" t="s">
        <v>44</v>
      </c>
      <c r="O30" t="s">
        <v>78</v>
      </c>
      <c r="P30" s="6">
        <v>26</v>
      </c>
      <c r="R30" t="s">
        <v>68</v>
      </c>
      <c r="S30" t="s">
        <v>69</v>
      </c>
      <c r="T30" s="7">
        <v>10</v>
      </c>
      <c r="U30" s="7">
        <v>10</v>
      </c>
    </row>
    <row r="31" spans="2:22" x14ac:dyDescent="0.25">
      <c r="B31">
        <v>2</v>
      </c>
      <c r="C31" s="1">
        <v>44094</v>
      </c>
      <c r="D31" t="s">
        <v>63</v>
      </c>
      <c r="E31" t="s">
        <v>80</v>
      </c>
      <c r="F31" t="s">
        <v>63</v>
      </c>
      <c r="G31">
        <v>1</v>
      </c>
      <c r="H31">
        <f>VLOOKUP(C31,UTCLookup!C$3:D$57,2,FALSE)</f>
        <v>1600495200</v>
      </c>
      <c r="I31" s="9">
        <f t="shared" si="1"/>
        <v>1600581600</v>
      </c>
      <c r="J31">
        <f t="shared" si="2"/>
        <v>14</v>
      </c>
      <c r="K31">
        <f t="shared" si="3"/>
        <v>30</v>
      </c>
      <c r="L31">
        <f t="shared" si="4"/>
        <v>14</v>
      </c>
      <c r="M31" s="6">
        <v>27</v>
      </c>
      <c r="N31" s="4" t="s">
        <v>45</v>
      </c>
      <c r="O31" t="s">
        <v>75</v>
      </c>
      <c r="P31" s="6">
        <v>27</v>
      </c>
      <c r="R31" t="s">
        <v>70</v>
      </c>
      <c r="S31" t="s">
        <v>71</v>
      </c>
      <c r="T31" s="7">
        <v>11</v>
      </c>
      <c r="U31" s="7">
        <v>11</v>
      </c>
    </row>
    <row r="32" spans="2:22" x14ac:dyDescent="0.25">
      <c r="B32">
        <v>2</v>
      </c>
      <c r="C32" s="1">
        <v>44094</v>
      </c>
      <c r="D32" t="s">
        <v>69</v>
      </c>
      <c r="E32" t="s">
        <v>74</v>
      </c>
      <c r="F32" t="s">
        <v>69</v>
      </c>
      <c r="G32" s="5">
        <v>0.17013888888888887</v>
      </c>
      <c r="H32">
        <f>VLOOKUP(C32,UTCLookup!C$3:D$57,2,FALSE)</f>
        <v>1600495200</v>
      </c>
      <c r="I32" s="9">
        <f t="shared" si="1"/>
        <v>1600509900</v>
      </c>
      <c r="J32">
        <f t="shared" si="2"/>
        <v>31</v>
      </c>
      <c r="K32">
        <f t="shared" si="3"/>
        <v>0</v>
      </c>
      <c r="L32">
        <f t="shared" si="4"/>
        <v>31</v>
      </c>
      <c r="M32" s="6">
        <v>28</v>
      </c>
      <c r="N32" s="4" t="s">
        <v>46</v>
      </c>
      <c r="O32" t="s">
        <v>52</v>
      </c>
      <c r="P32" s="6">
        <v>28</v>
      </c>
      <c r="R32" t="s">
        <v>72</v>
      </c>
      <c r="S32" t="s">
        <v>73</v>
      </c>
      <c r="T32" s="7">
        <v>12</v>
      </c>
      <c r="U32" s="7">
        <v>12</v>
      </c>
    </row>
    <row r="33" spans="2:21" x14ac:dyDescent="0.25">
      <c r="B33">
        <v>2</v>
      </c>
      <c r="C33" s="1">
        <v>44094</v>
      </c>
      <c r="D33" t="s">
        <v>55</v>
      </c>
      <c r="E33" t="s">
        <v>50</v>
      </c>
      <c r="F33" t="s">
        <v>55</v>
      </c>
      <c r="G33" s="5">
        <v>0.18402777777777779</v>
      </c>
      <c r="H33">
        <f>VLOOKUP(C33,UTCLookup!C$3:D$57,2,FALSE)</f>
        <v>1600495200</v>
      </c>
      <c r="I33" s="9">
        <f t="shared" si="1"/>
        <v>1600511100</v>
      </c>
      <c r="J33">
        <f t="shared" si="2"/>
        <v>2</v>
      </c>
      <c r="K33">
        <f t="shared" si="3"/>
        <v>12</v>
      </c>
      <c r="L33">
        <f t="shared" si="4"/>
        <v>2</v>
      </c>
      <c r="M33" s="6">
        <v>29</v>
      </c>
      <c r="N33" s="4" t="s">
        <v>47</v>
      </c>
      <c r="O33" t="s">
        <v>72</v>
      </c>
      <c r="P33" s="6">
        <v>29</v>
      </c>
      <c r="R33" t="s">
        <v>74</v>
      </c>
      <c r="S33" t="s">
        <v>75</v>
      </c>
      <c r="T33" s="7">
        <v>13</v>
      </c>
      <c r="U33" s="7">
        <v>13</v>
      </c>
    </row>
    <row r="34" spans="2:21" x14ac:dyDescent="0.25">
      <c r="B34">
        <v>2</v>
      </c>
      <c r="C34" s="1">
        <v>44094</v>
      </c>
      <c r="D34" t="s">
        <v>51</v>
      </c>
      <c r="E34" t="s">
        <v>70</v>
      </c>
      <c r="F34" t="s">
        <v>51</v>
      </c>
      <c r="G34" s="5">
        <v>0.18402777777777779</v>
      </c>
      <c r="H34">
        <f>VLOOKUP(C34,UTCLookup!C$3:D$57,2,FALSE)</f>
        <v>1600495200</v>
      </c>
      <c r="I34" s="9">
        <f t="shared" si="1"/>
        <v>1600511100</v>
      </c>
      <c r="J34">
        <f t="shared" si="2"/>
        <v>15</v>
      </c>
      <c r="K34">
        <f t="shared" si="3"/>
        <v>17</v>
      </c>
      <c r="L34">
        <f t="shared" si="4"/>
        <v>15</v>
      </c>
      <c r="M34" s="6">
        <v>30</v>
      </c>
      <c r="N34" s="4" t="s">
        <v>48</v>
      </c>
      <c r="O34" t="s">
        <v>80</v>
      </c>
      <c r="P34" s="6">
        <v>30</v>
      </c>
      <c r="R34" t="s">
        <v>76</v>
      </c>
      <c r="S34" t="s">
        <v>77</v>
      </c>
      <c r="T34" s="7">
        <v>14</v>
      </c>
      <c r="U34" s="7">
        <v>14</v>
      </c>
    </row>
    <row r="35" spans="2:21" x14ac:dyDescent="0.25">
      <c r="B35">
        <v>2</v>
      </c>
      <c r="C35" s="1">
        <v>44094</v>
      </c>
      <c r="D35" t="s">
        <v>67</v>
      </c>
      <c r="E35" t="s">
        <v>52</v>
      </c>
      <c r="F35" t="s">
        <v>67</v>
      </c>
      <c r="G35" s="5">
        <v>0.34722222222222227</v>
      </c>
      <c r="H35">
        <f>VLOOKUP(C35,UTCLookup!C$3:D$57,2,FALSE)</f>
        <v>1600495200</v>
      </c>
      <c r="I35" s="9">
        <f t="shared" si="1"/>
        <v>1600525200</v>
      </c>
      <c r="J35">
        <f t="shared" si="2"/>
        <v>21</v>
      </c>
      <c r="K35">
        <f t="shared" si="3"/>
        <v>28</v>
      </c>
      <c r="L35">
        <f t="shared" si="4"/>
        <v>21</v>
      </c>
      <c r="M35" s="6">
        <v>31</v>
      </c>
      <c r="N35" s="4" t="s">
        <v>49</v>
      </c>
      <c r="O35" t="s">
        <v>69</v>
      </c>
      <c r="P35" s="6">
        <v>31</v>
      </c>
      <c r="R35" t="s">
        <v>78</v>
      </c>
      <c r="S35" t="s">
        <v>79</v>
      </c>
      <c r="T35" s="7">
        <v>15</v>
      </c>
      <c r="U35" s="7">
        <v>15</v>
      </c>
    </row>
    <row r="36" spans="2:21" x14ac:dyDescent="0.25">
      <c r="B36">
        <v>2</v>
      </c>
      <c r="C36" s="1">
        <v>44095</v>
      </c>
      <c r="D36" t="s">
        <v>73</v>
      </c>
      <c r="E36" t="s">
        <v>58</v>
      </c>
      <c r="F36" t="s">
        <v>73</v>
      </c>
      <c r="G36" s="5">
        <v>0.34375</v>
      </c>
      <c r="H36">
        <f>VLOOKUP(C36,UTCLookup!C$3:D$57,2,FALSE)</f>
        <v>1600581600</v>
      </c>
      <c r="I36" s="9">
        <f t="shared" si="1"/>
        <v>1600611300</v>
      </c>
      <c r="J36">
        <f t="shared" si="2"/>
        <v>22</v>
      </c>
      <c r="K36">
        <f t="shared" si="3"/>
        <v>16</v>
      </c>
      <c r="L36">
        <f t="shared" si="4"/>
        <v>22</v>
      </c>
      <c r="R36" t="s">
        <v>80</v>
      </c>
      <c r="S36" t="s">
        <v>81</v>
      </c>
      <c r="T36" s="7">
        <v>16</v>
      </c>
      <c r="U36" s="7">
        <v>16</v>
      </c>
    </row>
    <row r="37" spans="2:21" x14ac:dyDescent="0.25">
      <c r="B37">
        <v>3</v>
      </c>
      <c r="C37" s="1" t="s">
        <v>1</v>
      </c>
      <c r="I37" s="9"/>
      <c r="J37" t="e">
        <f t="shared" si="2"/>
        <v>#N/A</v>
      </c>
      <c r="K37" t="e">
        <f t="shared" si="3"/>
        <v>#N/A</v>
      </c>
      <c r="L37" t="e">
        <f t="shared" si="4"/>
        <v>#N/A</v>
      </c>
    </row>
    <row r="38" spans="2:21" x14ac:dyDescent="0.25">
      <c r="B38">
        <v>3</v>
      </c>
      <c r="C38" s="1">
        <v>44098</v>
      </c>
      <c r="D38" t="s">
        <v>66</v>
      </c>
      <c r="E38" t="s">
        <v>63</v>
      </c>
      <c r="F38" t="s">
        <v>66</v>
      </c>
      <c r="G38" s="5">
        <v>0.34722222222222227</v>
      </c>
      <c r="H38">
        <f>VLOOKUP(C38,UTCLookup!C$3:D$57,2,FALSE)</f>
        <v>1600840800</v>
      </c>
      <c r="I38" s="9">
        <f t="shared" si="1"/>
        <v>1600870800</v>
      </c>
      <c r="J38">
        <f t="shared" si="2"/>
        <v>19</v>
      </c>
      <c r="K38">
        <f t="shared" si="3"/>
        <v>14</v>
      </c>
      <c r="L38">
        <f t="shared" si="4"/>
        <v>19</v>
      </c>
    </row>
    <row r="39" spans="2:21" x14ac:dyDescent="0.25">
      <c r="B39">
        <v>3</v>
      </c>
      <c r="C39" s="1">
        <v>44101</v>
      </c>
      <c r="D39" t="s">
        <v>60</v>
      </c>
      <c r="E39" t="s">
        <v>53</v>
      </c>
      <c r="F39" t="s">
        <v>60</v>
      </c>
      <c r="G39">
        <v>1</v>
      </c>
      <c r="H39">
        <f>VLOOKUP(C39,UTCLookup!C$3:D$57,2,FALSE)</f>
        <v>1601100000</v>
      </c>
      <c r="I39" s="9">
        <f t="shared" si="1"/>
        <v>1601186400</v>
      </c>
      <c r="J39">
        <f t="shared" si="2"/>
        <v>5</v>
      </c>
      <c r="K39">
        <f t="shared" si="3"/>
        <v>1</v>
      </c>
      <c r="L39">
        <f t="shared" si="4"/>
        <v>5</v>
      </c>
      <c r="U39" s="17"/>
    </row>
    <row r="40" spans="2:21" x14ac:dyDescent="0.25">
      <c r="B40">
        <v>3</v>
      </c>
      <c r="C40" s="1">
        <v>44101</v>
      </c>
      <c r="D40" t="s">
        <v>77</v>
      </c>
      <c r="E40" t="s">
        <v>57</v>
      </c>
      <c r="F40" t="s">
        <v>77</v>
      </c>
      <c r="G40">
        <v>1</v>
      </c>
      <c r="H40">
        <f>VLOOKUP(C40,UTCLookup!C$3:D$57,2,FALSE)</f>
        <v>1601100000</v>
      </c>
      <c r="I40" s="9">
        <f t="shared" si="1"/>
        <v>1601186400</v>
      </c>
      <c r="J40">
        <f t="shared" si="2"/>
        <v>18</v>
      </c>
      <c r="K40">
        <f t="shared" si="3"/>
        <v>3</v>
      </c>
      <c r="L40">
        <f t="shared" si="4"/>
        <v>18</v>
      </c>
      <c r="U40" s="17"/>
    </row>
    <row r="41" spans="2:21" x14ac:dyDescent="0.25">
      <c r="B41">
        <v>3</v>
      </c>
      <c r="C41" s="1">
        <v>44101</v>
      </c>
      <c r="D41" t="s">
        <v>69</v>
      </c>
      <c r="E41" t="s">
        <v>54</v>
      </c>
      <c r="F41" t="s">
        <v>69</v>
      </c>
      <c r="G41">
        <v>1</v>
      </c>
      <c r="H41">
        <f>VLOOKUP(C41,UTCLookup!C$3:D$57,2,FALSE)</f>
        <v>1601100000</v>
      </c>
      <c r="I41" s="9">
        <f t="shared" si="1"/>
        <v>1601186400</v>
      </c>
      <c r="J41">
        <f t="shared" si="2"/>
        <v>31</v>
      </c>
      <c r="K41">
        <f t="shared" si="3"/>
        <v>7</v>
      </c>
      <c r="L41">
        <f t="shared" si="4"/>
        <v>31</v>
      </c>
    </row>
    <row r="42" spans="2:21" x14ac:dyDescent="0.25">
      <c r="B42">
        <v>3</v>
      </c>
      <c r="C42" s="1">
        <v>44101</v>
      </c>
      <c r="D42" t="s">
        <v>80</v>
      </c>
      <c r="E42" t="s">
        <v>65</v>
      </c>
      <c r="F42" t="s">
        <v>80</v>
      </c>
      <c r="G42">
        <v>1</v>
      </c>
      <c r="H42">
        <f>VLOOKUP(C42,UTCLookup!C$3:D$57,2,FALSE)</f>
        <v>1601100000</v>
      </c>
      <c r="I42" s="9">
        <f t="shared" si="1"/>
        <v>1601186400</v>
      </c>
      <c r="J42">
        <f t="shared" si="2"/>
        <v>30</v>
      </c>
      <c r="K42">
        <f t="shared" si="3"/>
        <v>20</v>
      </c>
      <c r="L42">
        <f t="shared" si="4"/>
        <v>30</v>
      </c>
    </row>
    <row r="43" spans="2:21" x14ac:dyDescent="0.25">
      <c r="B43">
        <v>3</v>
      </c>
      <c r="C43" s="1">
        <v>44101</v>
      </c>
      <c r="D43" t="s">
        <v>58</v>
      </c>
      <c r="E43" t="s">
        <v>67</v>
      </c>
      <c r="F43" t="s">
        <v>58</v>
      </c>
      <c r="G43">
        <v>1</v>
      </c>
      <c r="H43">
        <f>VLOOKUP(C43,UTCLookup!C$3:D$57,2,FALSE)</f>
        <v>1601100000</v>
      </c>
      <c r="I43" s="9">
        <f t="shared" si="1"/>
        <v>1601186400</v>
      </c>
      <c r="J43">
        <f t="shared" si="2"/>
        <v>16</v>
      </c>
      <c r="K43">
        <f t="shared" si="3"/>
        <v>21</v>
      </c>
      <c r="L43">
        <f t="shared" si="4"/>
        <v>16</v>
      </c>
    </row>
    <row r="44" spans="2:21" x14ac:dyDescent="0.25">
      <c r="B44">
        <v>3</v>
      </c>
      <c r="C44" s="1">
        <v>44101</v>
      </c>
      <c r="D44" t="s">
        <v>75</v>
      </c>
      <c r="E44" t="s">
        <v>79</v>
      </c>
      <c r="F44" t="s">
        <v>75</v>
      </c>
      <c r="G44">
        <v>1</v>
      </c>
      <c r="H44">
        <f>VLOOKUP(C44,UTCLookup!C$3:D$57,2,FALSE)</f>
        <v>1601100000</v>
      </c>
      <c r="I44" s="9">
        <f t="shared" si="1"/>
        <v>1601186400</v>
      </c>
      <c r="J44">
        <f t="shared" si="2"/>
        <v>27</v>
      </c>
      <c r="K44">
        <f t="shared" si="3"/>
        <v>23</v>
      </c>
      <c r="L44">
        <f t="shared" si="4"/>
        <v>27</v>
      </c>
    </row>
    <row r="45" spans="2:21" x14ac:dyDescent="0.25">
      <c r="B45">
        <v>3</v>
      </c>
      <c r="C45" s="1">
        <v>44101</v>
      </c>
      <c r="D45" t="s">
        <v>71</v>
      </c>
      <c r="E45" t="s">
        <v>68</v>
      </c>
      <c r="F45" t="s">
        <v>71</v>
      </c>
      <c r="G45">
        <v>1</v>
      </c>
      <c r="H45">
        <f>VLOOKUP(C45,UTCLookup!C$3:D$57,2,FALSE)</f>
        <v>1601100000</v>
      </c>
      <c r="I45" s="9">
        <f t="shared" si="1"/>
        <v>1601186400</v>
      </c>
      <c r="J45">
        <f t="shared" si="2"/>
        <v>6</v>
      </c>
      <c r="K45">
        <f t="shared" si="3"/>
        <v>25</v>
      </c>
      <c r="L45">
        <f t="shared" si="4"/>
        <v>6</v>
      </c>
    </row>
    <row r="46" spans="2:21" x14ac:dyDescent="0.25">
      <c r="B46">
        <v>3</v>
      </c>
      <c r="C46" s="1">
        <v>44101</v>
      </c>
      <c r="D46" t="s">
        <v>50</v>
      </c>
      <c r="E46" t="s">
        <v>78</v>
      </c>
      <c r="F46" t="s">
        <v>50</v>
      </c>
      <c r="G46">
        <v>1</v>
      </c>
      <c r="H46">
        <f>VLOOKUP(C46,UTCLookup!C$3:D$57,2,FALSE)</f>
        <v>1601100000</v>
      </c>
      <c r="I46" s="9">
        <f t="shared" si="1"/>
        <v>1601186400</v>
      </c>
      <c r="J46">
        <f t="shared" si="2"/>
        <v>12</v>
      </c>
      <c r="K46">
        <f t="shared" si="3"/>
        <v>26</v>
      </c>
      <c r="L46">
        <f t="shared" si="4"/>
        <v>12</v>
      </c>
    </row>
    <row r="47" spans="2:21" x14ac:dyDescent="0.25">
      <c r="B47">
        <v>3</v>
      </c>
      <c r="C47" s="1">
        <v>44101</v>
      </c>
      <c r="D47" t="s">
        <v>56</v>
      </c>
      <c r="E47" t="s">
        <v>62</v>
      </c>
      <c r="F47" t="s">
        <v>56</v>
      </c>
      <c r="G47" s="5">
        <v>0.17013888888888887</v>
      </c>
      <c r="H47">
        <f>VLOOKUP(C47,UTCLookup!C$3:D$57,2,FALSE)</f>
        <v>1601100000</v>
      </c>
      <c r="I47" s="9">
        <f t="shared" si="1"/>
        <v>1601114700</v>
      </c>
      <c r="J47">
        <f t="shared" si="2"/>
        <v>24</v>
      </c>
      <c r="K47">
        <f t="shared" si="3"/>
        <v>13</v>
      </c>
      <c r="L47">
        <f t="shared" si="4"/>
        <v>24</v>
      </c>
    </row>
    <row r="48" spans="2:21" x14ac:dyDescent="0.25">
      <c r="B48">
        <v>3</v>
      </c>
      <c r="C48" s="1">
        <v>44101</v>
      </c>
      <c r="D48" t="s">
        <v>59</v>
      </c>
      <c r="E48" t="s">
        <v>70</v>
      </c>
      <c r="F48" t="s">
        <v>59</v>
      </c>
      <c r="G48" s="5">
        <v>0.17013888888888887</v>
      </c>
      <c r="H48">
        <f>VLOOKUP(C48,UTCLookup!C$3:D$57,2,FALSE)</f>
        <v>1601100000</v>
      </c>
      <c r="I48" s="9">
        <f t="shared" si="1"/>
        <v>1601114700</v>
      </c>
      <c r="J48">
        <f t="shared" si="2"/>
        <v>4</v>
      </c>
      <c r="K48">
        <f t="shared" si="3"/>
        <v>17</v>
      </c>
      <c r="L48">
        <f t="shared" si="4"/>
        <v>4</v>
      </c>
    </row>
    <row r="49" spans="2:12" x14ac:dyDescent="0.25">
      <c r="B49">
        <v>3</v>
      </c>
      <c r="C49" s="1">
        <v>44101</v>
      </c>
      <c r="D49" t="s">
        <v>61</v>
      </c>
      <c r="E49" t="s">
        <v>74</v>
      </c>
      <c r="F49" t="s">
        <v>61</v>
      </c>
      <c r="G49" s="5">
        <v>0.18402777777777779</v>
      </c>
      <c r="H49">
        <f>VLOOKUP(C49,UTCLookup!C$3:D$57,2,FALSE)</f>
        <v>1601100000</v>
      </c>
      <c r="I49" s="9">
        <f t="shared" si="1"/>
        <v>1601115900</v>
      </c>
      <c r="J49">
        <f t="shared" si="2"/>
        <v>10</v>
      </c>
      <c r="K49">
        <f t="shared" si="3"/>
        <v>0</v>
      </c>
      <c r="L49">
        <f t="shared" si="4"/>
        <v>10</v>
      </c>
    </row>
    <row r="50" spans="2:12" x14ac:dyDescent="0.25">
      <c r="B50">
        <v>3</v>
      </c>
      <c r="C50" s="1">
        <v>44101</v>
      </c>
      <c r="D50" t="s">
        <v>72</v>
      </c>
      <c r="E50" t="s">
        <v>81</v>
      </c>
      <c r="F50" t="s">
        <v>72</v>
      </c>
      <c r="G50" s="5">
        <v>0.18402777777777779</v>
      </c>
      <c r="H50">
        <f>VLOOKUP(C50,UTCLookup!C$3:D$57,2,FALSE)</f>
        <v>1601100000</v>
      </c>
      <c r="I50" s="9">
        <f t="shared" si="1"/>
        <v>1601115900</v>
      </c>
      <c r="J50">
        <f t="shared" si="2"/>
        <v>29</v>
      </c>
      <c r="K50">
        <f t="shared" si="3"/>
        <v>9</v>
      </c>
      <c r="L50">
        <f t="shared" si="4"/>
        <v>29</v>
      </c>
    </row>
    <row r="51" spans="2:12" x14ac:dyDescent="0.25">
      <c r="B51">
        <v>3</v>
      </c>
      <c r="C51" s="1">
        <v>44101</v>
      </c>
      <c r="D51" t="s">
        <v>76</v>
      </c>
      <c r="E51" t="s">
        <v>52</v>
      </c>
      <c r="F51" t="s">
        <v>76</v>
      </c>
      <c r="G51" s="5">
        <v>0.18402777777777779</v>
      </c>
      <c r="H51">
        <f>VLOOKUP(C51,UTCLookup!C$3:D$57,2,FALSE)</f>
        <v>1601100000</v>
      </c>
      <c r="I51" s="9">
        <f t="shared" si="1"/>
        <v>1601115900</v>
      </c>
      <c r="J51">
        <f t="shared" si="2"/>
        <v>8</v>
      </c>
      <c r="K51">
        <f t="shared" si="3"/>
        <v>28</v>
      </c>
      <c r="L51">
        <f t="shared" si="4"/>
        <v>8</v>
      </c>
    </row>
    <row r="52" spans="2:12" x14ac:dyDescent="0.25">
      <c r="B52">
        <v>3</v>
      </c>
      <c r="C52" s="1">
        <v>44101</v>
      </c>
      <c r="D52" t="s">
        <v>64</v>
      </c>
      <c r="E52" t="s">
        <v>73</v>
      </c>
      <c r="F52" t="s">
        <v>64</v>
      </c>
      <c r="G52" s="5">
        <v>0.34722222222222227</v>
      </c>
      <c r="H52">
        <f>VLOOKUP(C52,UTCLookup!C$3:D$57,2,FALSE)</f>
        <v>1601100000</v>
      </c>
      <c r="I52" s="9">
        <f t="shared" si="1"/>
        <v>1601130000</v>
      </c>
      <c r="J52">
        <f t="shared" si="2"/>
        <v>11</v>
      </c>
      <c r="K52">
        <f t="shared" si="3"/>
        <v>22</v>
      </c>
      <c r="L52">
        <f t="shared" si="4"/>
        <v>11</v>
      </c>
    </row>
    <row r="53" spans="2:12" x14ac:dyDescent="0.25">
      <c r="B53">
        <v>3</v>
      </c>
      <c r="C53" s="1">
        <v>44102</v>
      </c>
      <c r="D53" t="s">
        <v>51</v>
      </c>
      <c r="E53" t="s">
        <v>55</v>
      </c>
      <c r="F53" t="s">
        <v>51</v>
      </c>
      <c r="G53" s="5">
        <v>0.34375</v>
      </c>
      <c r="H53">
        <f>VLOOKUP(C53,UTCLookup!C$3:D$57,2,FALSE)</f>
        <v>1601186400</v>
      </c>
      <c r="I53" s="9">
        <f t="shared" si="1"/>
        <v>1601216100</v>
      </c>
      <c r="J53">
        <f t="shared" si="2"/>
        <v>15</v>
      </c>
      <c r="K53">
        <f t="shared" si="3"/>
        <v>2</v>
      </c>
      <c r="L53">
        <f t="shared" si="4"/>
        <v>15</v>
      </c>
    </row>
    <row r="54" spans="2:12" x14ac:dyDescent="0.25">
      <c r="B54">
        <v>4</v>
      </c>
      <c r="C54" s="1" t="s">
        <v>2</v>
      </c>
      <c r="I54" s="9"/>
      <c r="J54" t="e">
        <f t="shared" si="2"/>
        <v>#N/A</v>
      </c>
      <c r="K54" t="e">
        <f t="shared" si="3"/>
        <v>#N/A</v>
      </c>
      <c r="L54" t="e">
        <f t="shared" si="4"/>
        <v>#N/A</v>
      </c>
    </row>
    <row r="55" spans="2:12" x14ac:dyDescent="0.25">
      <c r="B55">
        <v>4</v>
      </c>
      <c r="C55" s="1">
        <v>44105</v>
      </c>
      <c r="D55" t="s">
        <v>81</v>
      </c>
      <c r="E55" t="s">
        <v>56</v>
      </c>
      <c r="F55" t="s">
        <v>81</v>
      </c>
      <c r="G55" s="5">
        <v>0.34722222222222227</v>
      </c>
      <c r="H55">
        <f>VLOOKUP(C55,UTCLookup!C$3:D$57,2,FALSE)</f>
        <v>1601445600</v>
      </c>
      <c r="I55" s="9">
        <f t="shared" si="1"/>
        <v>1601475600</v>
      </c>
      <c r="J55">
        <f t="shared" si="2"/>
        <v>9</v>
      </c>
      <c r="K55">
        <f t="shared" si="3"/>
        <v>24</v>
      </c>
      <c r="L55">
        <f t="shared" si="4"/>
        <v>9</v>
      </c>
    </row>
    <row r="56" spans="2:12" x14ac:dyDescent="0.25">
      <c r="B56">
        <v>4</v>
      </c>
      <c r="C56" s="1">
        <v>44108</v>
      </c>
      <c r="D56" t="s">
        <v>74</v>
      </c>
      <c r="E56" t="s">
        <v>59</v>
      </c>
      <c r="F56" t="s">
        <v>74</v>
      </c>
      <c r="G56">
        <v>1</v>
      </c>
      <c r="H56">
        <f>VLOOKUP(C56,UTCLookup!C$3:D$57,2,FALSE)</f>
        <v>1601704800</v>
      </c>
      <c r="I56" s="9">
        <f t="shared" si="1"/>
        <v>1601791200</v>
      </c>
      <c r="J56">
        <f t="shared" si="2"/>
        <v>0</v>
      </c>
      <c r="K56">
        <f t="shared" si="3"/>
        <v>4</v>
      </c>
      <c r="L56">
        <f t="shared" si="4"/>
        <v>0</v>
      </c>
    </row>
    <row r="57" spans="2:12" x14ac:dyDescent="0.25">
      <c r="B57">
        <v>4</v>
      </c>
      <c r="C57" s="1">
        <v>44108</v>
      </c>
      <c r="D57" t="s">
        <v>62</v>
      </c>
      <c r="E57" t="s">
        <v>60</v>
      </c>
      <c r="F57" t="s">
        <v>62</v>
      </c>
      <c r="G57">
        <v>1</v>
      </c>
      <c r="H57">
        <f>VLOOKUP(C57,UTCLookup!C$3:D$57,2,FALSE)</f>
        <v>1601704800</v>
      </c>
      <c r="I57" s="9">
        <f t="shared" si="1"/>
        <v>1601791200</v>
      </c>
      <c r="J57">
        <f t="shared" si="2"/>
        <v>13</v>
      </c>
      <c r="K57">
        <f t="shared" si="3"/>
        <v>5</v>
      </c>
      <c r="L57">
        <f t="shared" si="4"/>
        <v>13</v>
      </c>
    </row>
    <row r="58" spans="2:12" x14ac:dyDescent="0.25">
      <c r="B58">
        <v>4</v>
      </c>
      <c r="C58" s="1">
        <v>44108</v>
      </c>
      <c r="D58" t="s">
        <v>63</v>
      </c>
      <c r="E58" t="s">
        <v>71</v>
      </c>
      <c r="F58" t="s">
        <v>63</v>
      </c>
      <c r="G58">
        <v>1</v>
      </c>
      <c r="H58">
        <f>VLOOKUP(C58,UTCLookup!C$3:D$57,2,FALSE)</f>
        <v>1601704800</v>
      </c>
      <c r="I58" s="9">
        <f t="shared" si="1"/>
        <v>1601791200</v>
      </c>
      <c r="J58">
        <f t="shared" si="2"/>
        <v>14</v>
      </c>
      <c r="K58">
        <f t="shared" si="3"/>
        <v>6</v>
      </c>
      <c r="L58">
        <f t="shared" si="4"/>
        <v>14</v>
      </c>
    </row>
    <row r="59" spans="2:12" x14ac:dyDescent="0.25">
      <c r="B59">
        <v>4</v>
      </c>
      <c r="C59" s="1">
        <v>44108</v>
      </c>
      <c r="D59" t="s">
        <v>54</v>
      </c>
      <c r="E59" t="s">
        <v>76</v>
      </c>
      <c r="F59" t="s">
        <v>54</v>
      </c>
      <c r="G59">
        <v>1</v>
      </c>
      <c r="H59">
        <f>VLOOKUP(C59,UTCLookup!C$3:D$57,2,FALSE)</f>
        <v>1601704800</v>
      </c>
      <c r="I59" s="9">
        <f t="shared" si="1"/>
        <v>1601791200</v>
      </c>
      <c r="J59">
        <f t="shared" si="2"/>
        <v>7</v>
      </c>
      <c r="K59">
        <f t="shared" si="3"/>
        <v>8</v>
      </c>
      <c r="L59">
        <f t="shared" si="4"/>
        <v>7</v>
      </c>
    </row>
    <row r="60" spans="2:12" x14ac:dyDescent="0.25">
      <c r="B60">
        <v>4</v>
      </c>
      <c r="C60" s="1">
        <v>44108</v>
      </c>
      <c r="D60" t="s">
        <v>73</v>
      </c>
      <c r="E60" t="s">
        <v>61</v>
      </c>
      <c r="F60" t="s">
        <v>73</v>
      </c>
      <c r="G60">
        <v>1</v>
      </c>
      <c r="H60">
        <f>VLOOKUP(C60,UTCLookup!C$3:D$57,2,FALSE)</f>
        <v>1601704800</v>
      </c>
      <c r="I60" s="9">
        <f t="shared" si="1"/>
        <v>1601791200</v>
      </c>
      <c r="J60">
        <f t="shared" si="2"/>
        <v>22</v>
      </c>
      <c r="K60">
        <f t="shared" si="3"/>
        <v>10</v>
      </c>
      <c r="L60">
        <f t="shared" si="4"/>
        <v>22</v>
      </c>
    </row>
    <row r="61" spans="2:12" x14ac:dyDescent="0.25">
      <c r="B61">
        <v>4</v>
      </c>
      <c r="C61" s="1">
        <v>44108</v>
      </c>
      <c r="D61" t="s">
        <v>65</v>
      </c>
      <c r="E61" t="s">
        <v>50</v>
      </c>
      <c r="F61" t="s">
        <v>65</v>
      </c>
      <c r="G61">
        <v>1</v>
      </c>
      <c r="H61">
        <f>VLOOKUP(C61,UTCLookup!C$3:D$57,2,FALSE)</f>
        <v>1601704800</v>
      </c>
      <c r="I61" s="9">
        <f t="shared" si="1"/>
        <v>1601791200</v>
      </c>
      <c r="J61">
        <f t="shared" si="2"/>
        <v>20</v>
      </c>
      <c r="K61">
        <f t="shared" si="3"/>
        <v>12</v>
      </c>
      <c r="L61">
        <f t="shared" si="4"/>
        <v>20</v>
      </c>
    </row>
    <row r="62" spans="2:12" x14ac:dyDescent="0.25">
      <c r="B62">
        <v>4</v>
      </c>
      <c r="C62" s="1">
        <v>44108</v>
      </c>
      <c r="D62" t="s">
        <v>52</v>
      </c>
      <c r="E62" t="s">
        <v>66</v>
      </c>
      <c r="F62" t="s">
        <v>52</v>
      </c>
      <c r="G62">
        <v>1</v>
      </c>
      <c r="H62">
        <f>VLOOKUP(C62,UTCLookup!C$3:D$57,2,FALSE)</f>
        <v>1601704800</v>
      </c>
      <c r="I62" s="9">
        <f t="shared" si="1"/>
        <v>1601791200</v>
      </c>
      <c r="J62">
        <f t="shared" si="2"/>
        <v>28</v>
      </c>
      <c r="K62">
        <f t="shared" si="3"/>
        <v>19</v>
      </c>
      <c r="L62">
        <f t="shared" si="4"/>
        <v>28</v>
      </c>
    </row>
    <row r="63" spans="2:12" x14ac:dyDescent="0.25">
      <c r="B63">
        <v>4</v>
      </c>
      <c r="C63" s="1">
        <v>44108</v>
      </c>
      <c r="D63" t="s">
        <v>70</v>
      </c>
      <c r="E63" t="s">
        <v>72</v>
      </c>
      <c r="F63" t="s">
        <v>70</v>
      </c>
      <c r="G63">
        <v>1</v>
      </c>
      <c r="H63">
        <f>VLOOKUP(C63,UTCLookup!C$3:D$57,2,FALSE)</f>
        <v>1601704800</v>
      </c>
      <c r="I63" s="9">
        <f t="shared" si="1"/>
        <v>1601791200</v>
      </c>
      <c r="J63">
        <f t="shared" si="2"/>
        <v>17</v>
      </c>
      <c r="K63">
        <f t="shared" si="3"/>
        <v>29</v>
      </c>
      <c r="L63">
        <f t="shared" si="4"/>
        <v>17</v>
      </c>
    </row>
    <row r="64" spans="2:12" x14ac:dyDescent="0.25">
      <c r="B64">
        <v>4</v>
      </c>
      <c r="C64" s="1">
        <v>44108</v>
      </c>
      <c r="D64" t="s">
        <v>78</v>
      </c>
      <c r="E64" t="s">
        <v>80</v>
      </c>
      <c r="F64" t="s">
        <v>78</v>
      </c>
      <c r="G64">
        <v>1</v>
      </c>
      <c r="H64">
        <f>VLOOKUP(C64,UTCLookup!C$3:D$57,2,FALSE)</f>
        <v>1601704800</v>
      </c>
      <c r="I64" s="9">
        <f t="shared" si="1"/>
        <v>1601791200</v>
      </c>
      <c r="J64">
        <f t="shared" si="2"/>
        <v>26</v>
      </c>
      <c r="K64">
        <f t="shared" si="3"/>
        <v>30</v>
      </c>
      <c r="L64">
        <f t="shared" si="4"/>
        <v>26</v>
      </c>
    </row>
    <row r="65" spans="2:12" x14ac:dyDescent="0.25">
      <c r="B65">
        <v>4</v>
      </c>
      <c r="C65" s="1">
        <v>44108</v>
      </c>
      <c r="D65" t="s">
        <v>55</v>
      </c>
      <c r="E65" t="s">
        <v>69</v>
      </c>
      <c r="F65" t="s">
        <v>55</v>
      </c>
      <c r="G65">
        <v>1</v>
      </c>
      <c r="H65">
        <f>VLOOKUP(C65,UTCLookup!C$3:D$57,2,FALSE)</f>
        <v>1601704800</v>
      </c>
      <c r="I65" s="9">
        <f t="shared" si="1"/>
        <v>1601791200</v>
      </c>
      <c r="J65">
        <f t="shared" si="2"/>
        <v>2</v>
      </c>
      <c r="K65">
        <f t="shared" si="3"/>
        <v>31</v>
      </c>
      <c r="L65">
        <f t="shared" si="4"/>
        <v>2</v>
      </c>
    </row>
    <row r="66" spans="2:12" x14ac:dyDescent="0.25">
      <c r="B66">
        <v>4</v>
      </c>
      <c r="C66" s="1">
        <v>44108</v>
      </c>
      <c r="D66" t="s">
        <v>79</v>
      </c>
      <c r="E66" t="s">
        <v>77</v>
      </c>
      <c r="F66" t="s">
        <v>79</v>
      </c>
      <c r="G66" s="5">
        <v>0.17013888888888887</v>
      </c>
      <c r="H66">
        <f>VLOOKUP(C66,UTCLookup!C$3:D$57,2,FALSE)</f>
        <v>1601704800</v>
      </c>
      <c r="I66" s="9">
        <f t="shared" si="1"/>
        <v>1601719500</v>
      </c>
      <c r="J66">
        <f t="shared" si="2"/>
        <v>23</v>
      </c>
      <c r="K66">
        <f t="shared" si="3"/>
        <v>18</v>
      </c>
      <c r="L66">
        <f t="shared" si="4"/>
        <v>23</v>
      </c>
    </row>
    <row r="67" spans="2:12" x14ac:dyDescent="0.25">
      <c r="B67">
        <v>4</v>
      </c>
      <c r="C67" s="1">
        <v>44108</v>
      </c>
      <c r="D67" t="s">
        <v>67</v>
      </c>
      <c r="E67" t="s">
        <v>51</v>
      </c>
      <c r="F67" t="s">
        <v>67</v>
      </c>
      <c r="G67" s="5">
        <v>0.18402777777777779</v>
      </c>
      <c r="H67">
        <f>VLOOKUP(C67,UTCLookup!C$3:D$57,2,FALSE)</f>
        <v>1601704800</v>
      </c>
      <c r="I67" s="9">
        <f t="shared" si="1"/>
        <v>1601720700</v>
      </c>
      <c r="J67">
        <f t="shared" si="2"/>
        <v>21</v>
      </c>
      <c r="K67">
        <f t="shared" si="3"/>
        <v>15</v>
      </c>
      <c r="L67">
        <f t="shared" si="4"/>
        <v>21</v>
      </c>
    </row>
    <row r="68" spans="2:12" x14ac:dyDescent="0.25">
      <c r="B68">
        <v>4</v>
      </c>
      <c r="C68" s="1">
        <v>44108</v>
      </c>
      <c r="D68" t="s">
        <v>57</v>
      </c>
      <c r="E68" t="s">
        <v>58</v>
      </c>
      <c r="F68" t="s">
        <v>57</v>
      </c>
      <c r="G68" s="5">
        <v>0.18402777777777779</v>
      </c>
      <c r="H68">
        <f>VLOOKUP(C68,UTCLookup!C$3:D$57,2,FALSE)</f>
        <v>1601704800</v>
      </c>
      <c r="I68" s="9">
        <f t="shared" si="1"/>
        <v>1601720700</v>
      </c>
      <c r="J68">
        <f t="shared" si="2"/>
        <v>3</v>
      </c>
      <c r="K68">
        <f t="shared" si="3"/>
        <v>16</v>
      </c>
      <c r="L68">
        <f t="shared" si="4"/>
        <v>3</v>
      </c>
    </row>
    <row r="69" spans="2:12" x14ac:dyDescent="0.25">
      <c r="B69">
        <v>4</v>
      </c>
      <c r="C69" s="1">
        <v>44108</v>
      </c>
      <c r="D69" t="s">
        <v>68</v>
      </c>
      <c r="E69" t="s">
        <v>75</v>
      </c>
      <c r="F69" t="s">
        <v>68</v>
      </c>
      <c r="G69" s="5">
        <v>0.34722222222222227</v>
      </c>
      <c r="H69">
        <f>VLOOKUP(C69,UTCLookup!C$3:D$57,2,FALSE)</f>
        <v>1601704800</v>
      </c>
      <c r="I69" s="9">
        <f t="shared" ref="I69:I132" si="5">H69+G69*86400</f>
        <v>1601734800</v>
      </c>
      <c r="J69">
        <f t="shared" ref="J69:J132" si="6">VLOOKUP(D69,$O$4:$P$35,2,FALSE)</f>
        <v>25</v>
      </c>
      <c r="K69">
        <f t="shared" ref="K69:K132" si="7">VLOOKUP(E69,$O$4:$P$35,2,FALSE)</f>
        <v>27</v>
      </c>
      <c r="L69">
        <f t="shared" ref="L69:L132" si="8">VLOOKUP(F69,$O$4:$P$35,2,FALSE)</f>
        <v>25</v>
      </c>
    </row>
    <row r="70" spans="2:12" x14ac:dyDescent="0.25">
      <c r="B70">
        <v>4</v>
      </c>
      <c r="C70" s="1">
        <v>44109</v>
      </c>
      <c r="D70" t="s">
        <v>53</v>
      </c>
      <c r="E70" t="s">
        <v>64</v>
      </c>
      <c r="F70" t="s">
        <v>53</v>
      </c>
      <c r="G70" s="5">
        <v>0.34375</v>
      </c>
      <c r="H70">
        <f>VLOOKUP(C70,UTCLookup!C$3:D$57,2,FALSE)</f>
        <v>1601791200</v>
      </c>
      <c r="I70" s="9">
        <f t="shared" si="5"/>
        <v>1601820900</v>
      </c>
      <c r="J70">
        <f t="shared" si="6"/>
        <v>1</v>
      </c>
      <c r="K70">
        <f t="shared" si="7"/>
        <v>11</v>
      </c>
      <c r="L70">
        <f t="shared" si="8"/>
        <v>1</v>
      </c>
    </row>
    <row r="71" spans="2:12" x14ac:dyDescent="0.25">
      <c r="B71">
        <v>5</v>
      </c>
      <c r="C71" s="1" t="s">
        <v>3</v>
      </c>
      <c r="I71" s="9"/>
      <c r="J71" t="e">
        <f t="shared" si="6"/>
        <v>#N/A</v>
      </c>
      <c r="K71" t="e">
        <f t="shared" si="7"/>
        <v>#N/A</v>
      </c>
      <c r="L71" t="e">
        <f t="shared" si="8"/>
        <v>#N/A</v>
      </c>
    </row>
    <row r="72" spans="2:12" x14ac:dyDescent="0.25">
      <c r="B72">
        <v>5</v>
      </c>
      <c r="C72" s="1">
        <v>44112</v>
      </c>
      <c r="D72" t="s">
        <v>72</v>
      </c>
      <c r="E72" t="s">
        <v>60</v>
      </c>
      <c r="F72" t="s">
        <v>72</v>
      </c>
      <c r="G72" s="5">
        <v>0.34722222222222227</v>
      </c>
      <c r="H72">
        <f>VLOOKUP(C72,UTCLookup!C$3:D$57,2,FALSE)</f>
        <v>1602050400</v>
      </c>
      <c r="I72" s="9">
        <f t="shared" si="5"/>
        <v>1602080400</v>
      </c>
      <c r="J72">
        <f t="shared" si="6"/>
        <v>29</v>
      </c>
      <c r="K72">
        <f t="shared" si="7"/>
        <v>5</v>
      </c>
      <c r="L72">
        <f t="shared" si="8"/>
        <v>29</v>
      </c>
    </row>
    <row r="73" spans="2:12" x14ac:dyDescent="0.25">
      <c r="B73">
        <v>5</v>
      </c>
      <c r="C73" s="1">
        <v>44115</v>
      </c>
      <c r="D73" t="s">
        <v>59</v>
      </c>
      <c r="E73" t="s">
        <v>53</v>
      </c>
      <c r="F73" t="s">
        <v>59</v>
      </c>
      <c r="G73">
        <v>1</v>
      </c>
      <c r="H73">
        <f>VLOOKUP(C73,UTCLookup!C$3:D$57,2,FALSE)</f>
        <v>1602309600</v>
      </c>
      <c r="I73" s="9">
        <f t="shared" si="5"/>
        <v>1602396000</v>
      </c>
      <c r="J73">
        <f t="shared" si="6"/>
        <v>4</v>
      </c>
      <c r="K73">
        <f t="shared" si="7"/>
        <v>1</v>
      </c>
      <c r="L73">
        <f t="shared" si="8"/>
        <v>4</v>
      </c>
    </row>
    <row r="74" spans="2:12" x14ac:dyDescent="0.25">
      <c r="B74">
        <v>5</v>
      </c>
      <c r="C74" s="1">
        <v>44115</v>
      </c>
      <c r="D74" t="s">
        <v>71</v>
      </c>
      <c r="E74" t="s">
        <v>55</v>
      </c>
      <c r="F74" t="s">
        <v>71</v>
      </c>
      <c r="G74">
        <v>1</v>
      </c>
      <c r="H74">
        <f>VLOOKUP(C74,UTCLookup!C$3:D$57,2,FALSE)</f>
        <v>1602309600</v>
      </c>
      <c r="I74" s="9">
        <f t="shared" si="5"/>
        <v>1602396000</v>
      </c>
      <c r="J74">
        <f t="shared" si="6"/>
        <v>6</v>
      </c>
      <c r="K74">
        <f t="shared" si="7"/>
        <v>2</v>
      </c>
      <c r="L74">
        <f t="shared" si="8"/>
        <v>6</v>
      </c>
    </row>
    <row r="75" spans="2:12" x14ac:dyDescent="0.25">
      <c r="B75">
        <v>5</v>
      </c>
      <c r="C75" s="1">
        <v>44115</v>
      </c>
      <c r="D75" t="s">
        <v>63</v>
      </c>
      <c r="E75" t="s">
        <v>50</v>
      </c>
      <c r="F75" t="s">
        <v>63</v>
      </c>
      <c r="G75">
        <v>1</v>
      </c>
      <c r="H75">
        <f>VLOOKUP(C75,UTCLookup!C$3:D$57,2,FALSE)</f>
        <v>1602309600</v>
      </c>
      <c r="I75" s="9">
        <f t="shared" si="5"/>
        <v>1602396000</v>
      </c>
      <c r="J75">
        <f t="shared" si="6"/>
        <v>14</v>
      </c>
      <c r="K75">
        <f t="shared" si="7"/>
        <v>12</v>
      </c>
      <c r="L75">
        <f t="shared" si="8"/>
        <v>14</v>
      </c>
    </row>
    <row r="76" spans="2:12" x14ac:dyDescent="0.25">
      <c r="B76">
        <v>5</v>
      </c>
      <c r="C76" s="1">
        <v>44115</v>
      </c>
      <c r="D76" t="s">
        <v>58</v>
      </c>
      <c r="E76" t="s">
        <v>51</v>
      </c>
      <c r="F76" t="s">
        <v>58</v>
      </c>
      <c r="G76">
        <v>1</v>
      </c>
      <c r="H76">
        <f>VLOOKUP(C76,UTCLookup!C$3:D$57,2,FALSE)</f>
        <v>1602309600</v>
      </c>
      <c r="I76" s="9">
        <f t="shared" si="5"/>
        <v>1602396000</v>
      </c>
      <c r="J76">
        <f t="shared" si="6"/>
        <v>16</v>
      </c>
      <c r="K76">
        <f t="shared" si="7"/>
        <v>15</v>
      </c>
      <c r="L76">
        <f t="shared" si="8"/>
        <v>16</v>
      </c>
    </row>
    <row r="77" spans="2:12" x14ac:dyDescent="0.25">
      <c r="B77">
        <v>5</v>
      </c>
      <c r="C77" s="1">
        <v>44115</v>
      </c>
      <c r="D77" t="s">
        <v>81</v>
      </c>
      <c r="E77" t="s">
        <v>67</v>
      </c>
      <c r="F77" t="s">
        <v>81</v>
      </c>
      <c r="G77">
        <v>1</v>
      </c>
      <c r="H77">
        <f>VLOOKUP(C77,UTCLookup!C$3:D$57,2,FALSE)</f>
        <v>1602309600</v>
      </c>
      <c r="I77" s="9">
        <f t="shared" si="5"/>
        <v>1602396000</v>
      </c>
      <c r="J77">
        <f t="shared" si="6"/>
        <v>9</v>
      </c>
      <c r="K77">
        <f t="shared" si="7"/>
        <v>21</v>
      </c>
      <c r="L77">
        <f t="shared" si="8"/>
        <v>9</v>
      </c>
    </row>
    <row r="78" spans="2:12" x14ac:dyDescent="0.25">
      <c r="B78">
        <v>5</v>
      </c>
      <c r="C78" s="1">
        <v>44115</v>
      </c>
      <c r="D78" t="s">
        <v>74</v>
      </c>
      <c r="E78" t="s">
        <v>56</v>
      </c>
      <c r="F78" t="s">
        <v>74</v>
      </c>
      <c r="G78">
        <v>1</v>
      </c>
      <c r="H78">
        <f>VLOOKUP(C78,UTCLookup!C$3:D$57,2,FALSE)</f>
        <v>1602309600</v>
      </c>
      <c r="I78" s="9">
        <f t="shared" si="5"/>
        <v>1602396000</v>
      </c>
      <c r="J78">
        <f t="shared" si="6"/>
        <v>0</v>
      </c>
      <c r="K78">
        <f t="shared" si="7"/>
        <v>24</v>
      </c>
      <c r="L78">
        <f t="shared" si="8"/>
        <v>0</v>
      </c>
    </row>
    <row r="79" spans="2:12" x14ac:dyDescent="0.25">
      <c r="B79">
        <v>5</v>
      </c>
      <c r="C79" s="1">
        <v>44115</v>
      </c>
      <c r="D79" t="s">
        <v>68</v>
      </c>
      <c r="E79" t="s">
        <v>78</v>
      </c>
      <c r="F79" t="s">
        <v>68</v>
      </c>
      <c r="G79">
        <v>1</v>
      </c>
      <c r="H79">
        <f>VLOOKUP(C79,UTCLookup!C$3:D$57,2,FALSE)</f>
        <v>1602309600</v>
      </c>
      <c r="I79" s="9">
        <f t="shared" si="5"/>
        <v>1602396000</v>
      </c>
      <c r="J79">
        <f t="shared" si="6"/>
        <v>25</v>
      </c>
      <c r="K79">
        <f t="shared" si="7"/>
        <v>26</v>
      </c>
      <c r="L79">
        <f t="shared" si="8"/>
        <v>25</v>
      </c>
    </row>
    <row r="80" spans="2:12" x14ac:dyDescent="0.25">
      <c r="B80">
        <v>5</v>
      </c>
      <c r="C80" s="1">
        <v>44115</v>
      </c>
      <c r="D80" t="s">
        <v>57</v>
      </c>
      <c r="E80" t="s">
        <v>80</v>
      </c>
      <c r="F80" t="s">
        <v>57</v>
      </c>
      <c r="G80">
        <v>1</v>
      </c>
      <c r="H80">
        <f>VLOOKUP(C80,UTCLookup!C$3:D$57,2,FALSE)</f>
        <v>1602309600</v>
      </c>
      <c r="I80" s="9">
        <f t="shared" si="5"/>
        <v>1602396000</v>
      </c>
      <c r="J80">
        <f t="shared" si="6"/>
        <v>3</v>
      </c>
      <c r="K80">
        <f t="shared" si="7"/>
        <v>30</v>
      </c>
      <c r="L80">
        <f t="shared" si="8"/>
        <v>3</v>
      </c>
    </row>
    <row r="81" spans="2:12" x14ac:dyDescent="0.25">
      <c r="B81">
        <v>5</v>
      </c>
      <c r="C81" s="1">
        <v>44115</v>
      </c>
      <c r="D81" t="s">
        <v>77</v>
      </c>
      <c r="E81" t="s">
        <v>69</v>
      </c>
      <c r="F81" t="s">
        <v>77</v>
      </c>
      <c r="G81">
        <v>1</v>
      </c>
      <c r="H81">
        <f>VLOOKUP(C81,UTCLookup!C$3:D$57,2,FALSE)</f>
        <v>1602309600</v>
      </c>
      <c r="I81" s="9">
        <f t="shared" si="5"/>
        <v>1602396000</v>
      </c>
      <c r="J81">
        <f t="shared" si="6"/>
        <v>18</v>
      </c>
      <c r="K81">
        <f t="shared" si="7"/>
        <v>31</v>
      </c>
      <c r="L81">
        <f t="shared" si="8"/>
        <v>18</v>
      </c>
    </row>
    <row r="82" spans="2:12" x14ac:dyDescent="0.25">
      <c r="B82">
        <v>5</v>
      </c>
      <c r="C82" s="1">
        <v>44115</v>
      </c>
      <c r="D82" t="s">
        <v>66</v>
      </c>
      <c r="E82" t="s">
        <v>75</v>
      </c>
      <c r="F82" t="s">
        <v>66</v>
      </c>
      <c r="G82" s="5">
        <v>0.17013888888888887</v>
      </c>
      <c r="H82">
        <f>VLOOKUP(C82,UTCLookup!C$3:D$57,2,FALSE)</f>
        <v>1602309600</v>
      </c>
      <c r="I82" s="9">
        <f t="shared" si="5"/>
        <v>1602324300</v>
      </c>
      <c r="J82">
        <f t="shared" si="6"/>
        <v>19</v>
      </c>
      <c r="K82">
        <f t="shared" si="7"/>
        <v>27</v>
      </c>
      <c r="L82">
        <f t="shared" si="8"/>
        <v>19</v>
      </c>
    </row>
    <row r="83" spans="2:12" x14ac:dyDescent="0.25">
      <c r="B83">
        <v>5</v>
      </c>
      <c r="C83" s="1">
        <v>44115</v>
      </c>
      <c r="D83" t="s">
        <v>62</v>
      </c>
      <c r="E83" t="s">
        <v>54</v>
      </c>
      <c r="F83" t="s">
        <v>62</v>
      </c>
      <c r="G83" s="5">
        <v>0.18402777777777779</v>
      </c>
      <c r="H83">
        <f>VLOOKUP(C83,UTCLookup!C$3:D$57,2,FALSE)</f>
        <v>1602309600</v>
      </c>
      <c r="I83" s="9">
        <f t="shared" si="5"/>
        <v>1602325500</v>
      </c>
      <c r="J83">
        <f t="shared" si="6"/>
        <v>13</v>
      </c>
      <c r="K83">
        <f t="shared" si="7"/>
        <v>7</v>
      </c>
      <c r="L83">
        <f t="shared" si="8"/>
        <v>13</v>
      </c>
    </row>
    <row r="84" spans="2:12" x14ac:dyDescent="0.25">
      <c r="B84">
        <v>5</v>
      </c>
      <c r="C84" s="1">
        <v>44115</v>
      </c>
      <c r="D84" t="s">
        <v>79</v>
      </c>
      <c r="E84" t="s">
        <v>76</v>
      </c>
      <c r="F84" t="s">
        <v>79</v>
      </c>
      <c r="G84" s="5">
        <v>0.18402777777777779</v>
      </c>
      <c r="H84">
        <f>VLOOKUP(C84,UTCLookup!C$3:D$57,2,FALSE)</f>
        <v>1602309600</v>
      </c>
      <c r="I84" s="9">
        <f t="shared" si="5"/>
        <v>1602325500</v>
      </c>
      <c r="J84">
        <f t="shared" si="6"/>
        <v>23</v>
      </c>
      <c r="K84">
        <f t="shared" si="7"/>
        <v>8</v>
      </c>
      <c r="L84">
        <f t="shared" si="8"/>
        <v>23</v>
      </c>
    </row>
    <row r="85" spans="2:12" x14ac:dyDescent="0.25">
      <c r="B85">
        <v>5</v>
      </c>
      <c r="C85" s="1">
        <v>44115</v>
      </c>
      <c r="D85" t="s">
        <v>65</v>
      </c>
      <c r="E85" t="s">
        <v>52</v>
      </c>
      <c r="F85" t="s">
        <v>65</v>
      </c>
      <c r="G85" s="5">
        <v>0.34722222222222227</v>
      </c>
      <c r="H85">
        <f>VLOOKUP(C85,UTCLookup!C$3:D$57,2,FALSE)</f>
        <v>1602309600</v>
      </c>
      <c r="I85" s="9">
        <f t="shared" si="5"/>
        <v>1602339600</v>
      </c>
      <c r="J85">
        <f t="shared" si="6"/>
        <v>20</v>
      </c>
      <c r="K85">
        <f t="shared" si="7"/>
        <v>28</v>
      </c>
      <c r="L85">
        <f t="shared" si="8"/>
        <v>20</v>
      </c>
    </row>
    <row r="86" spans="2:12" x14ac:dyDescent="0.25">
      <c r="B86">
        <v>5</v>
      </c>
      <c r="C86" s="1">
        <v>44116</v>
      </c>
      <c r="D86" t="s">
        <v>70</v>
      </c>
      <c r="E86" t="s">
        <v>73</v>
      </c>
      <c r="F86" t="s">
        <v>70</v>
      </c>
      <c r="G86" s="5">
        <v>0.34375</v>
      </c>
      <c r="H86">
        <f>VLOOKUP(C86,UTCLookup!C$3:D$57,2,FALSE)</f>
        <v>1602396000</v>
      </c>
      <c r="I86" s="9">
        <f t="shared" si="5"/>
        <v>1602425700</v>
      </c>
      <c r="J86">
        <f t="shared" si="6"/>
        <v>17</v>
      </c>
      <c r="K86">
        <f t="shared" si="7"/>
        <v>22</v>
      </c>
      <c r="L86">
        <f t="shared" si="8"/>
        <v>17</v>
      </c>
    </row>
    <row r="87" spans="2:12" x14ac:dyDescent="0.25">
      <c r="B87">
        <v>6</v>
      </c>
      <c r="C87" s="1" t="s">
        <v>4</v>
      </c>
      <c r="I87" s="9"/>
      <c r="J87" t="e">
        <f t="shared" si="6"/>
        <v>#N/A</v>
      </c>
      <c r="K87" t="e">
        <f t="shared" si="7"/>
        <v>#N/A</v>
      </c>
      <c r="L87" t="e">
        <f t="shared" si="8"/>
        <v>#N/A</v>
      </c>
    </row>
    <row r="88" spans="2:12" x14ac:dyDescent="0.25">
      <c r="B88">
        <v>6</v>
      </c>
      <c r="C88" s="1">
        <v>44119</v>
      </c>
      <c r="D88" t="s">
        <v>51</v>
      </c>
      <c r="E88" t="s">
        <v>57</v>
      </c>
      <c r="F88" t="s">
        <v>51</v>
      </c>
      <c r="G88" s="5">
        <v>0.34722222222222227</v>
      </c>
      <c r="H88">
        <f>VLOOKUP(C88,UTCLookup!C$3:D$57,2,FALSE)</f>
        <v>1602655200</v>
      </c>
      <c r="I88" s="9">
        <f t="shared" si="5"/>
        <v>1602685200</v>
      </c>
      <c r="J88">
        <f t="shared" si="6"/>
        <v>15</v>
      </c>
      <c r="K88">
        <f t="shared" si="7"/>
        <v>3</v>
      </c>
      <c r="L88">
        <f t="shared" si="8"/>
        <v>15</v>
      </c>
    </row>
    <row r="89" spans="2:12" x14ac:dyDescent="0.25">
      <c r="B89">
        <v>6</v>
      </c>
      <c r="C89" s="1">
        <v>44122</v>
      </c>
      <c r="D89" t="s">
        <v>71</v>
      </c>
      <c r="E89" t="s">
        <v>62</v>
      </c>
      <c r="F89" t="s">
        <v>71</v>
      </c>
      <c r="G89">
        <v>1</v>
      </c>
      <c r="H89">
        <f>VLOOKUP(C89,UTCLookup!C$3:D$57,2,FALSE)</f>
        <v>1602914400</v>
      </c>
      <c r="I89" s="9">
        <f t="shared" si="5"/>
        <v>1603000800</v>
      </c>
      <c r="J89">
        <f t="shared" si="6"/>
        <v>6</v>
      </c>
      <c r="K89">
        <f t="shared" si="7"/>
        <v>13</v>
      </c>
      <c r="L89">
        <f t="shared" si="8"/>
        <v>6</v>
      </c>
    </row>
    <row r="90" spans="2:12" x14ac:dyDescent="0.25">
      <c r="B90">
        <v>6</v>
      </c>
      <c r="C90" s="1">
        <v>44122</v>
      </c>
      <c r="D90" t="s">
        <v>61</v>
      </c>
      <c r="E90" t="s">
        <v>63</v>
      </c>
      <c r="F90" t="s">
        <v>61</v>
      </c>
      <c r="G90">
        <v>1</v>
      </c>
      <c r="H90">
        <f>VLOOKUP(C90,UTCLookup!C$3:D$57,2,FALSE)</f>
        <v>1602914400</v>
      </c>
      <c r="I90" s="9">
        <f t="shared" si="5"/>
        <v>1603000800</v>
      </c>
      <c r="J90">
        <f t="shared" si="6"/>
        <v>10</v>
      </c>
      <c r="K90">
        <f t="shared" si="7"/>
        <v>14</v>
      </c>
      <c r="L90">
        <f t="shared" si="8"/>
        <v>10</v>
      </c>
    </row>
    <row r="91" spans="2:12" x14ac:dyDescent="0.25">
      <c r="B91">
        <v>6</v>
      </c>
      <c r="C91" s="1">
        <v>44122</v>
      </c>
      <c r="D91" t="s">
        <v>53</v>
      </c>
      <c r="E91" t="s">
        <v>65</v>
      </c>
      <c r="F91" t="s">
        <v>53</v>
      </c>
      <c r="G91">
        <v>1</v>
      </c>
      <c r="H91">
        <f>VLOOKUP(C91,UTCLookup!C$3:D$57,2,FALSE)</f>
        <v>1602914400</v>
      </c>
      <c r="I91" s="9">
        <f t="shared" si="5"/>
        <v>1603000800</v>
      </c>
      <c r="J91">
        <f t="shared" si="6"/>
        <v>1</v>
      </c>
      <c r="K91">
        <f t="shared" si="7"/>
        <v>20</v>
      </c>
      <c r="L91">
        <f t="shared" si="8"/>
        <v>1</v>
      </c>
    </row>
    <row r="92" spans="2:12" x14ac:dyDescent="0.25">
      <c r="B92">
        <v>6</v>
      </c>
      <c r="C92" s="1">
        <v>44122</v>
      </c>
      <c r="D92" t="s">
        <v>60</v>
      </c>
      <c r="E92" t="s">
        <v>59</v>
      </c>
      <c r="F92" t="s">
        <v>60</v>
      </c>
      <c r="G92">
        <v>1</v>
      </c>
      <c r="H92">
        <f>VLOOKUP(C92,UTCLookup!C$3:D$57,2,FALSE)</f>
        <v>1602914400</v>
      </c>
      <c r="I92" s="9">
        <f t="shared" si="5"/>
        <v>1603000800</v>
      </c>
      <c r="J92">
        <f t="shared" si="6"/>
        <v>5</v>
      </c>
      <c r="K92">
        <f t="shared" si="7"/>
        <v>4</v>
      </c>
      <c r="L92">
        <f t="shared" si="8"/>
        <v>5</v>
      </c>
    </row>
    <row r="93" spans="2:12" x14ac:dyDescent="0.25">
      <c r="B93">
        <v>6</v>
      </c>
      <c r="C93" s="1">
        <v>44122</v>
      </c>
      <c r="D93" t="s">
        <v>69</v>
      </c>
      <c r="E93" t="s">
        <v>79</v>
      </c>
      <c r="F93" t="s">
        <v>69</v>
      </c>
      <c r="G93">
        <v>1</v>
      </c>
      <c r="H93">
        <f>VLOOKUP(C93,UTCLookup!C$3:D$57,2,FALSE)</f>
        <v>1602914400</v>
      </c>
      <c r="I93" s="9">
        <f t="shared" si="5"/>
        <v>1603000800</v>
      </c>
      <c r="J93">
        <f t="shared" si="6"/>
        <v>31</v>
      </c>
      <c r="K93">
        <f t="shared" si="7"/>
        <v>23</v>
      </c>
      <c r="L93">
        <f t="shared" si="8"/>
        <v>31</v>
      </c>
    </row>
    <row r="94" spans="2:12" x14ac:dyDescent="0.25">
      <c r="B94">
        <v>6</v>
      </c>
      <c r="C94" s="1">
        <v>44122</v>
      </c>
      <c r="D94" t="s">
        <v>55</v>
      </c>
      <c r="E94" t="s">
        <v>68</v>
      </c>
      <c r="F94" t="s">
        <v>55</v>
      </c>
      <c r="G94">
        <v>1</v>
      </c>
      <c r="H94">
        <f>VLOOKUP(C94,UTCLookup!C$3:D$57,2,FALSE)</f>
        <v>1602914400</v>
      </c>
      <c r="I94" s="9">
        <f t="shared" si="5"/>
        <v>1603000800</v>
      </c>
      <c r="J94">
        <f t="shared" si="6"/>
        <v>2</v>
      </c>
      <c r="K94">
        <f t="shared" si="7"/>
        <v>25</v>
      </c>
      <c r="L94">
        <f t="shared" si="8"/>
        <v>2</v>
      </c>
    </row>
    <row r="95" spans="2:12" x14ac:dyDescent="0.25">
      <c r="B95">
        <v>6</v>
      </c>
      <c r="C95" s="1">
        <v>44122</v>
      </c>
      <c r="D95" t="s">
        <v>54</v>
      </c>
      <c r="E95" t="s">
        <v>78</v>
      </c>
      <c r="F95" t="s">
        <v>54</v>
      </c>
      <c r="G95">
        <v>1</v>
      </c>
      <c r="H95">
        <f>VLOOKUP(C95,UTCLookup!C$3:D$57,2,FALSE)</f>
        <v>1602914400</v>
      </c>
      <c r="I95" s="9">
        <f t="shared" si="5"/>
        <v>1603000800</v>
      </c>
      <c r="J95">
        <f t="shared" si="6"/>
        <v>7</v>
      </c>
      <c r="K95">
        <f t="shared" si="7"/>
        <v>26</v>
      </c>
      <c r="L95">
        <f t="shared" si="8"/>
        <v>7</v>
      </c>
    </row>
    <row r="96" spans="2:12" x14ac:dyDescent="0.25">
      <c r="B96">
        <v>6</v>
      </c>
      <c r="C96" s="1">
        <v>44122</v>
      </c>
      <c r="D96" t="s">
        <v>50</v>
      </c>
      <c r="E96" t="s">
        <v>80</v>
      </c>
      <c r="F96" t="s">
        <v>50</v>
      </c>
      <c r="G96">
        <v>1</v>
      </c>
      <c r="H96">
        <f>VLOOKUP(C96,UTCLookup!C$3:D$57,2,FALSE)</f>
        <v>1602914400</v>
      </c>
      <c r="I96" s="9">
        <f t="shared" si="5"/>
        <v>1603000800</v>
      </c>
      <c r="J96">
        <f t="shared" si="6"/>
        <v>12</v>
      </c>
      <c r="K96">
        <f t="shared" si="7"/>
        <v>30</v>
      </c>
      <c r="L96">
        <f t="shared" si="8"/>
        <v>12</v>
      </c>
    </row>
    <row r="97" spans="2:12" x14ac:dyDescent="0.25">
      <c r="B97">
        <v>6</v>
      </c>
      <c r="C97" s="1">
        <v>44122</v>
      </c>
      <c r="D97" t="s">
        <v>66</v>
      </c>
      <c r="E97" t="s">
        <v>81</v>
      </c>
      <c r="F97" t="s">
        <v>66</v>
      </c>
      <c r="G97" s="5">
        <v>0.17013888888888887</v>
      </c>
      <c r="H97">
        <f>VLOOKUP(C97,UTCLookup!C$3:D$57,2,FALSE)</f>
        <v>1602914400</v>
      </c>
      <c r="I97" s="9">
        <f t="shared" si="5"/>
        <v>1602929100</v>
      </c>
      <c r="J97">
        <f t="shared" si="6"/>
        <v>19</v>
      </c>
      <c r="K97">
        <f t="shared" si="7"/>
        <v>9</v>
      </c>
      <c r="L97">
        <f t="shared" si="8"/>
        <v>19</v>
      </c>
    </row>
    <row r="98" spans="2:12" x14ac:dyDescent="0.25">
      <c r="B98">
        <v>6</v>
      </c>
      <c r="C98" s="1">
        <v>44122</v>
      </c>
      <c r="D98" t="s">
        <v>56</v>
      </c>
      <c r="E98" t="s">
        <v>70</v>
      </c>
      <c r="F98" t="s">
        <v>56</v>
      </c>
      <c r="G98" s="5">
        <v>0.17013888888888887</v>
      </c>
      <c r="H98">
        <f>VLOOKUP(C98,UTCLookup!C$3:D$57,2,FALSE)</f>
        <v>1602914400</v>
      </c>
      <c r="I98" s="9">
        <f t="shared" si="5"/>
        <v>1602929100</v>
      </c>
      <c r="J98">
        <f t="shared" si="6"/>
        <v>24</v>
      </c>
      <c r="K98">
        <f t="shared" si="7"/>
        <v>17</v>
      </c>
      <c r="L98">
        <f t="shared" si="8"/>
        <v>24</v>
      </c>
    </row>
    <row r="99" spans="2:12" x14ac:dyDescent="0.25">
      <c r="B99">
        <v>6</v>
      </c>
      <c r="C99" s="1">
        <v>44122</v>
      </c>
      <c r="D99" t="s">
        <v>64</v>
      </c>
      <c r="E99" t="s">
        <v>72</v>
      </c>
      <c r="F99" t="s">
        <v>64</v>
      </c>
      <c r="G99" s="5">
        <v>0.18402777777777779</v>
      </c>
      <c r="H99">
        <f>VLOOKUP(C99,UTCLookup!C$3:D$57,2,FALSE)</f>
        <v>1602914400</v>
      </c>
      <c r="I99" s="9">
        <f t="shared" si="5"/>
        <v>1602930300</v>
      </c>
      <c r="J99">
        <f t="shared" si="6"/>
        <v>11</v>
      </c>
      <c r="K99">
        <f t="shared" si="7"/>
        <v>29</v>
      </c>
      <c r="L99">
        <f t="shared" si="8"/>
        <v>11</v>
      </c>
    </row>
    <row r="100" spans="2:12" x14ac:dyDescent="0.25">
      <c r="B100">
        <v>6</v>
      </c>
      <c r="C100" s="1">
        <v>44122</v>
      </c>
      <c r="D100" t="s">
        <v>77</v>
      </c>
      <c r="E100" t="s">
        <v>75</v>
      </c>
      <c r="F100" t="s">
        <v>77</v>
      </c>
      <c r="G100" s="5">
        <v>0.34722222222222227</v>
      </c>
      <c r="H100">
        <f>VLOOKUP(C100,UTCLookup!C$3:D$57,2,FALSE)</f>
        <v>1602914400</v>
      </c>
      <c r="I100" s="9">
        <f t="shared" si="5"/>
        <v>1602944400</v>
      </c>
      <c r="J100">
        <f t="shared" si="6"/>
        <v>18</v>
      </c>
      <c r="K100">
        <f t="shared" si="7"/>
        <v>27</v>
      </c>
      <c r="L100">
        <f t="shared" si="8"/>
        <v>18</v>
      </c>
    </row>
    <row r="101" spans="2:12" x14ac:dyDescent="0.25">
      <c r="B101">
        <v>6</v>
      </c>
      <c r="C101" s="1">
        <v>44123</v>
      </c>
      <c r="D101" t="s">
        <v>74</v>
      </c>
      <c r="E101" t="s">
        <v>76</v>
      </c>
      <c r="F101" t="s">
        <v>74</v>
      </c>
      <c r="G101" s="5">
        <v>0.34375</v>
      </c>
      <c r="H101">
        <f>VLOOKUP(C101,UTCLookup!C$3:D$57,2,FALSE)</f>
        <v>1603000800</v>
      </c>
      <c r="I101" s="9">
        <f t="shared" si="5"/>
        <v>1603030500</v>
      </c>
      <c r="J101">
        <f t="shared" si="6"/>
        <v>0</v>
      </c>
      <c r="K101">
        <f t="shared" si="7"/>
        <v>8</v>
      </c>
      <c r="L101">
        <f t="shared" si="8"/>
        <v>0</v>
      </c>
    </row>
    <row r="102" spans="2:12" x14ac:dyDescent="0.25">
      <c r="B102">
        <v>7</v>
      </c>
      <c r="C102" s="1" t="s">
        <v>5</v>
      </c>
      <c r="I102" s="9"/>
      <c r="J102" t="e">
        <f t="shared" si="6"/>
        <v>#N/A</v>
      </c>
      <c r="K102" t="e">
        <f t="shared" si="7"/>
        <v>#N/A</v>
      </c>
      <c r="L102" t="e">
        <f t="shared" si="8"/>
        <v>#N/A</v>
      </c>
    </row>
    <row r="103" spans="2:12" x14ac:dyDescent="0.25">
      <c r="B103">
        <v>7</v>
      </c>
      <c r="C103" s="1">
        <v>44126</v>
      </c>
      <c r="D103" t="s">
        <v>79</v>
      </c>
      <c r="E103" t="s">
        <v>68</v>
      </c>
      <c r="F103" t="s">
        <v>79</v>
      </c>
      <c r="G103" s="5">
        <v>0.34722222222222227</v>
      </c>
      <c r="H103">
        <f>VLOOKUP(C103,UTCLookup!C$3:D$57,2,FALSE)</f>
        <v>1603260000</v>
      </c>
      <c r="I103" s="9">
        <f t="shared" si="5"/>
        <v>1603290000</v>
      </c>
      <c r="J103">
        <f t="shared" si="6"/>
        <v>23</v>
      </c>
      <c r="K103">
        <f t="shared" si="7"/>
        <v>25</v>
      </c>
      <c r="L103">
        <f t="shared" si="8"/>
        <v>23</v>
      </c>
    </row>
    <row r="104" spans="2:12" x14ac:dyDescent="0.25">
      <c r="B104">
        <v>7</v>
      </c>
      <c r="C104" s="1">
        <v>44129</v>
      </c>
      <c r="D104" t="s">
        <v>61</v>
      </c>
      <c r="E104" t="s">
        <v>53</v>
      </c>
      <c r="F104" t="s">
        <v>61</v>
      </c>
      <c r="G104">
        <v>1</v>
      </c>
      <c r="H104">
        <f>VLOOKUP(C104,UTCLookup!C$3:D$57,2,FALSE)</f>
        <v>1603519200</v>
      </c>
      <c r="I104" s="9">
        <f t="shared" si="5"/>
        <v>1603605600</v>
      </c>
      <c r="J104">
        <f t="shared" si="6"/>
        <v>10</v>
      </c>
      <c r="K104">
        <f t="shared" si="7"/>
        <v>1</v>
      </c>
      <c r="L104">
        <f t="shared" si="8"/>
        <v>10</v>
      </c>
    </row>
    <row r="105" spans="2:12" x14ac:dyDescent="0.25">
      <c r="B105">
        <v>7</v>
      </c>
      <c r="C105" s="1">
        <v>44129</v>
      </c>
      <c r="D105" t="s">
        <v>78</v>
      </c>
      <c r="E105" t="s">
        <v>55</v>
      </c>
      <c r="F105" t="s">
        <v>78</v>
      </c>
      <c r="G105">
        <v>1</v>
      </c>
      <c r="H105">
        <f>VLOOKUP(C105,UTCLookup!C$3:D$57,2,FALSE)</f>
        <v>1603519200</v>
      </c>
      <c r="I105" s="9">
        <f t="shared" si="5"/>
        <v>1603605600</v>
      </c>
      <c r="J105">
        <f t="shared" si="6"/>
        <v>26</v>
      </c>
      <c r="K105">
        <f t="shared" si="7"/>
        <v>2</v>
      </c>
      <c r="L105">
        <f t="shared" si="8"/>
        <v>26</v>
      </c>
    </row>
    <row r="106" spans="2:12" x14ac:dyDescent="0.25">
      <c r="B106">
        <v>7</v>
      </c>
      <c r="C106" s="1">
        <v>44129</v>
      </c>
      <c r="D106" t="s">
        <v>54</v>
      </c>
      <c r="E106" t="s">
        <v>71</v>
      </c>
      <c r="F106" t="s">
        <v>54</v>
      </c>
      <c r="G106">
        <v>1</v>
      </c>
      <c r="H106">
        <f>VLOOKUP(C106,UTCLookup!C$3:D$57,2,FALSE)</f>
        <v>1603519200</v>
      </c>
      <c r="I106" s="9">
        <f t="shared" si="5"/>
        <v>1603605600</v>
      </c>
      <c r="J106">
        <f t="shared" si="6"/>
        <v>7</v>
      </c>
      <c r="K106">
        <f t="shared" si="7"/>
        <v>6</v>
      </c>
      <c r="L106">
        <f t="shared" si="8"/>
        <v>7</v>
      </c>
    </row>
    <row r="107" spans="2:12" x14ac:dyDescent="0.25">
      <c r="B107">
        <v>7</v>
      </c>
      <c r="C107" s="1">
        <v>44129</v>
      </c>
      <c r="D107" t="s">
        <v>64</v>
      </c>
      <c r="E107" t="s">
        <v>50</v>
      </c>
      <c r="F107" t="s">
        <v>64</v>
      </c>
      <c r="G107">
        <v>1</v>
      </c>
      <c r="H107">
        <f>VLOOKUP(C107,UTCLookup!C$3:D$57,2,FALSE)</f>
        <v>1603519200</v>
      </c>
      <c r="I107" s="9">
        <f t="shared" si="5"/>
        <v>1603605600</v>
      </c>
      <c r="J107">
        <f t="shared" si="6"/>
        <v>11</v>
      </c>
      <c r="K107">
        <f t="shared" si="7"/>
        <v>12</v>
      </c>
      <c r="L107">
        <f t="shared" si="8"/>
        <v>11</v>
      </c>
    </row>
    <row r="108" spans="2:12" x14ac:dyDescent="0.25">
      <c r="B108">
        <v>7</v>
      </c>
      <c r="C108" s="1">
        <v>44129</v>
      </c>
      <c r="D108" t="s">
        <v>70</v>
      </c>
      <c r="E108" t="s">
        <v>66</v>
      </c>
      <c r="F108" t="s">
        <v>70</v>
      </c>
      <c r="G108">
        <v>1</v>
      </c>
      <c r="H108">
        <f>VLOOKUP(C108,UTCLookup!C$3:D$57,2,FALSE)</f>
        <v>1603519200</v>
      </c>
      <c r="I108" s="9">
        <f t="shared" si="5"/>
        <v>1603605600</v>
      </c>
      <c r="J108">
        <f t="shared" si="6"/>
        <v>17</v>
      </c>
      <c r="K108">
        <f t="shared" si="7"/>
        <v>19</v>
      </c>
      <c r="L108">
        <f t="shared" si="8"/>
        <v>17</v>
      </c>
    </row>
    <row r="109" spans="2:12" x14ac:dyDescent="0.25">
      <c r="B109">
        <v>7</v>
      </c>
      <c r="C109" s="1">
        <v>44129</v>
      </c>
      <c r="D109" t="s">
        <v>59</v>
      </c>
      <c r="E109" t="s">
        <v>73</v>
      </c>
      <c r="F109" t="s">
        <v>59</v>
      </c>
      <c r="G109">
        <v>1</v>
      </c>
      <c r="H109">
        <f>VLOOKUP(C109,UTCLookup!C$3:D$57,2,FALSE)</f>
        <v>1603519200</v>
      </c>
      <c r="I109" s="9">
        <f t="shared" si="5"/>
        <v>1603605600</v>
      </c>
      <c r="J109">
        <f t="shared" si="6"/>
        <v>4</v>
      </c>
      <c r="K109">
        <f t="shared" si="7"/>
        <v>22</v>
      </c>
      <c r="L109">
        <f t="shared" si="8"/>
        <v>4</v>
      </c>
    </row>
    <row r="110" spans="2:12" x14ac:dyDescent="0.25">
      <c r="B110">
        <v>7</v>
      </c>
      <c r="C110" s="1">
        <v>44129</v>
      </c>
      <c r="D110" t="s">
        <v>57</v>
      </c>
      <c r="E110" t="s">
        <v>56</v>
      </c>
      <c r="F110" t="s">
        <v>57</v>
      </c>
      <c r="G110">
        <v>1</v>
      </c>
      <c r="H110">
        <f>VLOOKUP(C110,UTCLookup!C$3:D$57,2,FALSE)</f>
        <v>1603519200</v>
      </c>
      <c r="I110" s="9">
        <f t="shared" si="5"/>
        <v>1603605600</v>
      </c>
      <c r="J110">
        <f t="shared" si="6"/>
        <v>3</v>
      </c>
      <c r="K110">
        <f t="shared" si="7"/>
        <v>24</v>
      </c>
      <c r="L110">
        <f t="shared" si="8"/>
        <v>3</v>
      </c>
    </row>
    <row r="111" spans="2:12" x14ac:dyDescent="0.25">
      <c r="B111">
        <v>7</v>
      </c>
      <c r="C111" s="1">
        <v>44129</v>
      </c>
      <c r="D111" t="s">
        <v>76</v>
      </c>
      <c r="E111" t="s">
        <v>69</v>
      </c>
      <c r="F111" t="s">
        <v>76</v>
      </c>
      <c r="G111">
        <v>1</v>
      </c>
      <c r="H111">
        <f>VLOOKUP(C111,UTCLookup!C$3:D$57,2,FALSE)</f>
        <v>1603519200</v>
      </c>
      <c r="I111" s="9">
        <f t="shared" si="5"/>
        <v>1603605600</v>
      </c>
      <c r="J111">
        <f t="shared" si="6"/>
        <v>8</v>
      </c>
      <c r="K111">
        <f t="shared" si="7"/>
        <v>31</v>
      </c>
      <c r="L111">
        <f t="shared" si="8"/>
        <v>8</v>
      </c>
    </row>
    <row r="112" spans="2:12" x14ac:dyDescent="0.25">
      <c r="B112">
        <v>7</v>
      </c>
      <c r="C112" s="1">
        <v>44129</v>
      </c>
      <c r="D112" t="s">
        <v>52</v>
      </c>
      <c r="E112" t="s">
        <v>74</v>
      </c>
      <c r="F112" t="s">
        <v>52</v>
      </c>
      <c r="G112" s="5">
        <v>0.17013888888888887</v>
      </c>
      <c r="H112">
        <f>VLOOKUP(C112,UTCLookup!C$3:D$57,2,FALSE)</f>
        <v>1603519200</v>
      </c>
      <c r="I112" s="9">
        <f t="shared" si="5"/>
        <v>1603533900</v>
      </c>
      <c r="J112">
        <f t="shared" si="6"/>
        <v>28</v>
      </c>
      <c r="K112">
        <f t="shared" si="7"/>
        <v>0</v>
      </c>
      <c r="L112">
        <f t="shared" si="8"/>
        <v>28</v>
      </c>
    </row>
    <row r="113" spans="2:12" x14ac:dyDescent="0.25">
      <c r="B113">
        <v>7</v>
      </c>
      <c r="C113" s="1">
        <v>44129</v>
      </c>
      <c r="D113" t="s">
        <v>51</v>
      </c>
      <c r="E113" t="s">
        <v>81</v>
      </c>
      <c r="F113" t="s">
        <v>51</v>
      </c>
      <c r="G113" s="5">
        <v>0.18402777777777779</v>
      </c>
      <c r="H113">
        <f>VLOOKUP(C113,UTCLookup!C$3:D$57,2,FALSE)</f>
        <v>1603519200</v>
      </c>
      <c r="I113" s="9">
        <f t="shared" si="5"/>
        <v>1603535100</v>
      </c>
      <c r="J113">
        <f t="shared" si="6"/>
        <v>15</v>
      </c>
      <c r="K113">
        <f t="shared" si="7"/>
        <v>9</v>
      </c>
      <c r="L113">
        <f t="shared" si="8"/>
        <v>15</v>
      </c>
    </row>
    <row r="114" spans="2:12" x14ac:dyDescent="0.25">
      <c r="B114">
        <v>7</v>
      </c>
      <c r="C114" s="1">
        <v>44129</v>
      </c>
      <c r="D114" t="s">
        <v>75</v>
      </c>
      <c r="E114" t="s">
        <v>67</v>
      </c>
      <c r="F114" t="s">
        <v>75</v>
      </c>
      <c r="G114" s="5">
        <v>0.18402777777777779</v>
      </c>
      <c r="H114">
        <f>VLOOKUP(C114,UTCLookup!C$3:D$57,2,FALSE)</f>
        <v>1603519200</v>
      </c>
      <c r="I114" s="9">
        <f t="shared" si="5"/>
        <v>1603535100</v>
      </c>
      <c r="J114">
        <f t="shared" si="6"/>
        <v>27</v>
      </c>
      <c r="K114">
        <f t="shared" si="7"/>
        <v>21</v>
      </c>
      <c r="L114">
        <f t="shared" si="8"/>
        <v>27</v>
      </c>
    </row>
    <row r="115" spans="2:12" x14ac:dyDescent="0.25">
      <c r="B115">
        <v>7</v>
      </c>
      <c r="C115" s="1">
        <v>44129</v>
      </c>
      <c r="D115" t="s">
        <v>72</v>
      </c>
      <c r="E115" t="s">
        <v>58</v>
      </c>
      <c r="F115" t="s">
        <v>72</v>
      </c>
      <c r="G115" s="5">
        <v>0.34722222222222227</v>
      </c>
      <c r="H115">
        <f>VLOOKUP(C115,UTCLookup!C$3:D$57,2,FALSE)</f>
        <v>1603519200</v>
      </c>
      <c r="I115" s="9">
        <f t="shared" si="5"/>
        <v>1603549200</v>
      </c>
      <c r="J115">
        <f t="shared" si="6"/>
        <v>29</v>
      </c>
      <c r="K115">
        <f t="shared" si="7"/>
        <v>16</v>
      </c>
      <c r="L115">
        <f t="shared" si="8"/>
        <v>29</v>
      </c>
    </row>
    <row r="116" spans="2:12" x14ac:dyDescent="0.25">
      <c r="B116">
        <v>7</v>
      </c>
      <c r="C116" s="1">
        <v>44130</v>
      </c>
      <c r="D116" t="s">
        <v>60</v>
      </c>
      <c r="E116" t="s">
        <v>77</v>
      </c>
      <c r="F116" t="s">
        <v>60</v>
      </c>
      <c r="G116" s="5">
        <v>0.34375</v>
      </c>
      <c r="H116">
        <f>VLOOKUP(C116,UTCLookup!C$3:D$57,2,FALSE)</f>
        <v>1603605600</v>
      </c>
      <c r="I116" s="9">
        <f t="shared" si="5"/>
        <v>1603635300</v>
      </c>
      <c r="J116">
        <f t="shared" si="6"/>
        <v>5</v>
      </c>
      <c r="K116">
        <f t="shared" si="7"/>
        <v>18</v>
      </c>
      <c r="L116">
        <f t="shared" si="8"/>
        <v>5</v>
      </c>
    </row>
    <row r="117" spans="2:12" x14ac:dyDescent="0.25">
      <c r="B117">
        <v>8</v>
      </c>
      <c r="C117" s="1" t="s">
        <v>6</v>
      </c>
      <c r="I117" s="9"/>
      <c r="J117" t="e">
        <f t="shared" si="6"/>
        <v>#N/A</v>
      </c>
      <c r="K117" t="e">
        <f t="shared" si="7"/>
        <v>#N/A</v>
      </c>
      <c r="L117" t="e">
        <f t="shared" si="8"/>
        <v>#N/A</v>
      </c>
    </row>
    <row r="118" spans="2:12" x14ac:dyDescent="0.25">
      <c r="B118">
        <v>8</v>
      </c>
      <c r="C118" s="1">
        <v>44133</v>
      </c>
      <c r="D118" t="s">
        <v>53</v>
      </c>
      <c r="E118" t="s">
        <v>59</v>
      </c>
      <c r="F118" t="s">
        <v>53</v>
      </c>
      <c r="G118" s="5">
        <v>0.34722222222222227</v>
      </c>
      <c r="H118">
        <f>VLOOKUP(C118,UTCLookup!C$3:D$57,2,FALSE)</f>
        <v>1603864800</v>
      </c>
      <c r="I118" s="9">
        <f t="shared" si="5"/>
        <v>1603894800</v>
      </c>
      <c r="J118">
        <f t="shared" si="6"/>
        <v>1</v>
      </c>
      <c r="K118">
        <f t="shared" si="7"/>
        <v>4</v>
      </c>
      <c r="L118">
        <f t="shared" si="8"/>
        <v>1</v>
      </c>
    </row>
    <row r="119" spans="2:12" x14ac:dyDescent="0.25">
      <c r="B119">
        <v>8</v>
      </c>
      <c r="C119" s="1">
        <v>44136</v>
      </c>
      <c r="D119" t="s">
        <v>67</v>
      </c>
      <c r="E119" t="s">
        <v>57</v>
      </c>
      <c r="F119" t="s">
        <v>67</v>
      </c>
      <c r="G119">
        <v>1</v>
      </c>
      <c r="H119">
        <f>VLOOKUP(C119,UTCLookup!C$3:D$57,2,FALSE)</f>
        <v>1604120400</v>
      </c>
      <c r="I119" s="9">
        <f t="shared" si="5"/>
        <v>1604206800</v>
      </c>
      <c r="J119">
        <f t="shared" si="6"/>
        <v>21</v>
      </c>
      <c r="K119">
        <f t="shared" si="7"/>
        <v>3</v>
      </c>
      <c r="L119">
        <f t="shared" si="8"/>
        <v>21</v>
      </c>
    </row>
    <row r="120" spans="2:12" x14ac:dyDescent="0.25">
      <c r="B120">
        <v>8</v>
      </c>
      <c r="C120" s="1">
        <v>44136</v>
      </c>
      <c r="D120" t="s">
        <v>80</v>
      </c>
      <c r="E120" t="s">
        <v>71</v>
      </c>
      <c r="F120" t="s">
        <v>80</v>
      </c>
      <c r="G120">
        <v>1</v>
      </c>
      <c r="H120">
        <f>VLOOKUP(C120,UTCLookup!C$3:D$57,2,FALSE)</f>
        <v>1604120400</v>
      </c>
      <c r="I120" s="9">
        <f t="shared" si="5"/>
        <v>1604206800</v>
      </c>
      <c r="J120">
        <f t="shared" si="6"/>
        <v>30</v>
      </c>
      <c r="K120">
        <f t="shared" si="7"/>
        <v>6</v>
      </c>
      <c r="L120">
        <f t="shared" si="8"/>
        <v>30</v>
      </c>
    </row>
    <row r="121" spans="2:12" x14ac:dyDescent="0.25">
      <c r="B121">
        <v>8</v>
      </c>
      <c r="C121" s="1">
        <v>44136</v>
      </c>
      <c r="D121" t="s">
        <v>58</v>
      </c>
      <c r="E121" t="s">
        <v>54</v>
      </c>
      <c r="F121" t="s">
        <v>58</v>
      </c>
      <c r="G121">
        <v>1</v>
      </c>
      <c r="H121">
        <f>VLOOKUP(C121,UTCLookup!C$3:D$57,2,FALSE)</f>
        <v>1604120400</v>
      </c>
      <c r="I121" s="9">
        <f t="shared" si="5"/>
        <v>1604206800</v>
      </c>
      <c r="J121">
        <f t="shared" si="6"/>
        <v>16</v>
      </c>
      <c r="K121">
        <f t="shared" si="7"/>
        <v>7</v>
      </c>
      <c r="L121">
        <f t="shared" si="8"/>
        <v>16</v>
      </c>
    </row>
    <row r="122" spans="2:12" x14ac:dyDescent="0.25">
      <c r="B122">
        <v>8</v>
      </c>
      <c r="C122" s="1">
        <v>44136</v>
      </c>
      <c r="D122" t="s">
        <v>62</v>
      </c>
      <c r="E122" t="s">
        <v>61</v>
      </c>
      <c r="F122" t="s">
        <v>62</v>
      </c>
      <c r="G122">
        <v>1</v>
      </c>
      <c r="H122">
        <f>VLOOKUP(C122,UTCLookup!C$3:D$57,2,FALSE)</f>
        <v>1604120400</v>
      </c>
      <c r="I122" s="9">
        <f t="shared" si="5"/>
        <v>1604206800</v>
      </c>
      <c r="J122">
        <f t="shared" si="6"/>
        <v>13</v>
      </c>
      <c r="K122">
        <f t="shared" si="7"/>
        <v>10</v>
      </c>
      <c r="L122">
        <f t="shared" si="8"/>
        <v>13</v>
      </c>
    </row>
    <row r="123" spans="2:12" x14ac:dyDescent="0.25">
      <c r="B123">
        <v>8</v>
      </c>
      <c r="C123" s="1">
        <v>44136</v>
      </c>
      <c r="D123" t="s">
        <v>65</v>
      </c>
      <c r="E123" t="s">
        <v>64</v>
      </c>
      <c r="F123" t="s">
        <v>65</v>
      </c>
      <c r="G123">
        <v>1</v>
      </c>
      <c r="H123">
        <f>VLOOKUP(C123,UTCLookup!C$3:D$57,2,FALSE)</f>
        <v>1604120400</v>
      </c>
      <c r="I123" s="9">
        <f t="shared" si="5"/>
        <v>1604206800</v>
      </c>
      <c r="J123">
        <f t="shared" si="6"/>
        <v>20</v>
      </c>
      <c r="K123">
        <f t="shared" si="7"/>
        <v>11</v>
      </c>
      <c r="L123">
        <f t="shared" si="8"/>
        <v>20</v>
      </c>
    </row>
    <row r="124" spans="2:12" x14ac:dyDescent="0.25">
      <c r="B124">
        <v>8</v>
      </c>
      <c r="C124" s="1">
        <v>44136</v>
      </c>
      <c r="D124" t="s">
        <v>56</v>
      </c>
      <c r="E124" t="s">
        <v>51</v>
      </c>
      <c r="F124" t="s">
        <v>56</v>
      </c>
      <c r="G124">
        <v>1</v>
      </c>
      <c r="H124">
        <f>VLOOKUP(C124,UTCLookup!C$3:D$57,2,FALSE)</f>
        <v>1604120400</v>
      </c>
      <c r="I124" s="9">
        <f t="shared" si="5"/>
        <v>1604206800</v>
      </c>
      <c r="J124">
        <f t="shared" si="6"/>
        <v>24</v>
      </c>
      <c r="K124">
        <f t="shared" si="7"/>
        <v>15</v>
      </c>
      <c r="L124">
        <f t="shared" si="8"/>
        <v>24</v>
      </c>
    </row>
    <row r="125" spans="2:12" x14ac:dyDescent="0.25">
      <c r="B125">
        <v>8</v>
      </c>
      <c r="C125" s="1">
        <v>44136</v>
      </c>
      <c r="D125" t="s">
        <v>77</v>
      </c>
      <c r="E125" t="s">
        <v>66</v>
      </c>
      <c r="F125" t="s">
        <v>77</v>
      </c>
      <c r="G125">
        <v>1</v>
      </c>
      <c r="H125">
        <f>VLOOKUP(C125,UTCLookup!C$3:D$57,2,FALSE)</f>
        <v>1604120400</v>
      </c>
      <c r="I125" s="9">
        <f t="shared" si="5"/>
        <v>1604206800</v>
      </c>
      <c r="J125">
        <f t="shared" si="6"/>
        <v>18</v>
      </c>
      <c r="K125">
        <f t="shared" si="7"/>
        <v>19</v>
      </c>
      <c r="L125">
        <f t="shared" si="8"/>
        <v>18</v>
      </c>
    </row>
    <row r="126" spans="2:12" x14ac:dyDescent="0.25">
      <c r="B126">
        <v>8</v>
      </c>
      <c r="C126" s="1">
        <v>44136</v>
      </c>
      <c r="D126" t="s">
        <v>63</v>
      </c>
      <c r="E126" t="s">
        <v>70</v>
      </c>
      <c r="F126" t="s">
        <v>63</v>
      </c>
      <c r="G126" s="5">
        <v>0.17013888888888887</v>
      </c>
      <c r="H126">
        <f>VLOOKUP(C126,UTCLookup!C$3:D$57,2,FALSE)</f>
        <v>1604120400</v>
      </c>
      <c r="I126" s="9">
        <f t="shared" si="5"/>
        <v>1604135100</v>
      </c>
      <c r="J126">
        <f t="shared" si="6"/>
        <v>14</v>
      </c>
      <c r="K126">
        <f t="shared" si="7"/>
        <v>17</v>
      </c>
      <c r="L126">
        <f t="shared" si="8"/>
        <v>14</v>
      </c>
    </row>
    <row r="127" spans="2:12" x14ac:dyDescent="0.25">
      <c r="B127">
        <v>8</v>
      </c>
      <c r="C127" s="1">
        <v>44136</v>
      </c>
      <c r="D127" t="s">
        <v>73</v>
      </c>
      <c r="E127" t="s">
        <v>60</v>
      </c>
      <c r="F127" t="s">
        <v>73</v>
      </c>
      <c r="G127" s="5">
        <v>0.18402777777777779</v>
      </c>
      <c r="H127">
        <f>VLOOKUP(C127,UTCLookup!C$3:D$57,2,FALSE)</f>
        <v>1604120400</v>
      </c>
      <c r="I127" s="9">
        <f t="shared" si="5"/>
        <v>1604136300</v>
      </c>
      <c r="J127">
        <f t="shared" si="6"/>
        <v>22</v>
      </c>
      <c r="K127">
        <f t="shared" si="7"/>
        <v>5</v>
      </c>
      <c r="L127">
        <f t="shared" si="8"/>
        <v>22</v>
      </c>
    </row>
    <row r="128" spans="2:12" x14ac:dyDescent="0.25">
      <c r="B128">
        <v>8</v>
      </c>
      <c r="C128" s="1">
        <v>44136</v>
      </c>
      <c r="D128" t="s">
        <v>75</v>
      </c>
      <c r="E128" t="s">
        <v>52</v>
      </c>
      <c r="F128" t="s">
        <v>75</v>
      </c>
      <c r="G128" s="5">
        <v>0.18402777777777779</v>
      </c>
      <c r="H128">
        <f>VLOOKUP(C128,UTCLookup!C$3:D$57,2,FALSE)</f>
        <v>1604120400</v>
      </c>
      <c r="I128" s="9">
        <f t="shared" si="5"/>
        <v>1604136300</v>
      </c>
      <c r="J128">
        <f t="shared" si="6"/>
        <v>27</v>
      </c>
      <c r="K128">
        <f t="shared" si="7"/>
        <v>28</v>
      </c>
      <c r="L128">
        <f t="shared" si="8"/>
        <v>27</v>
      </c>
    </row>
    <row r="129" spans="1:12" x14ac:dyDescent="0.25">
      <c r="B129">
        <v>8</v>
      </c>
      <c r="C129" s="1">
        <v>44136</v>
      </c>
      <c r="D129" t="s">
        <v>76</v>
      </c>
      <c r="E129" t="s">
        <v>68</v>
      </c>
      <c r="F129" t="s">
        <v>76</v>
      </c>
      <c r="G129" s="5">
        <v>0.34722222222222227</v>
      </c>
      <c r="H129">
        <f>VLOOKUP(C129,UTCLookup!C$3:D$57,2,FALSE)</f>
        <v>1604120400</v>
      </c>
      <c r="I129" s="9">
        <f t="shared" si="5"/>
        <v>1604150400</v>
      </c>
      <c r="J129">
        <f t="shared" si="6"/>
        <v>8</v>
      </c>
      <c r="K129">
        <f t="shared" si="7"/>
        <v>25</v>
      </c>
      <c r="L129">
        <f t="shared" si="8"/>
        <v>8</v>
      </c>
    </row>
    <row r="130" spans="1:12" x14ac:dyDescent="0.25">
      <c r="B130">
        <v>8</v>
      </c>
      <c r="C130" s="1">
        <v>44137</v>
      </c>
      <c r="D130" t="s">
        <v>72</v>
      </c>
      <c r="E130" t="s">
        <v>79</v>
      </c>
      <c r="F130" t="s">
        <v>72</v>
      </c>
      <c r="G130" s="5">
        <v>0.34375</v>
      </c>
      <c r="H130">
        <f>VLOOKUP(C130,UTCLookup!C$3:D$57,2,FALSE)</f>
        <v>1604206800</v>
      </c>
      <c r="I130" s="9">
        <f t="shared" si="5"/>
        <v>1604236500</v>
      </c>
      <c r="J130">
        <f t="shared" si="6"/>
        <v>29</v>
      </c>
      <c r="K130">
        <f t="shared" si="7"/>
        <v>23</v>
      </c>
      <c r="L130">
        <f t="shared" si="8"/>
        <v>29</v>
      </c>
    </row>
    <row r="131" spans="1:12" x14ac:dyDescent="0.25">
      <c r="B131">
        <v>9</v>
      </c>
      <c r="C131" s="1" t="s">
        <v>7</v>
      </c>
      <c r="I131" s="9"/>
      <c r="J131" t="e">
        <f t="shared" si="6"/>
        <v>#N/A</v>
      </c>
      <c r="K131" t="e">
        <f t="shared" si="7"/>
        <v>#N/A</v>
      </c>
      <c r="L131" t="e">
        <f t="shared" si="8"/>
        <v>#N/A</v>
      </c>
    </row>
    <row r="132" spans="1:12" x14ac:dyDescent="0.25">
      <c r="B132">
        <v>9</v>
      </c>
      <c r="C132" s="1">
        <v>44140</v>
      </c>
      <c r="D132" t="s">
        <v>64</v>
      </c>
      <c r="E132" t="s">
        <v>75</v>
      </c>
      <c r="F132" t="s">
        <v>64</v>
      </c>
      <c r="G132" s="5">
        <v>0.34722222222222227</v>
      </c>
      <c r="H132">
        <f>VLOOKUP(C132,UTCLookup!C$3:D$57,2,FALSE)</f>
        <v>1604466000</v>
      </c>
      <c r="I132" s="9">
        <f t="shared" si="5"/>
        <v>1604496000</v>
      </c>
      <c r="J132">
        <f t="shared" si="6"/>
        <v>11</v>
      </c>
      <c r="K132">
        <f t="shared" si="7"/>
        <v>27</v>
      </c>
      <c r="L132">
        <f t="shared" si="8"/>
        <v>11</v>
      </c>
    </row>
    <row r="133" spans="1:12" x14ac:dyDescent="0.25">
      <c r="B133">
        <v>9</v>
      </c>
      <c r="C133" s="1">
        <v>44143</v>
      </c>
      <c r="D133" t="s">
        <v>81</v>
      </c>
      <c r="E133" t="s">
        <v>53</v>
      </c>
      <c r="F133" t="s">
        <v>81</v>
      </c>
      <c r="G133">
        <v>1</v>
      </c>
      <c r="H133">
        <f>VLOOKUP(C133,UTCLookup!C$3:D$57,2,FALSE)</f>
        <v>1604725200</v>
      </c>
      <c r="I133" s="9">
        <f t="shared" ref="I133:I196" si="9">H133+G133*86400</f>
        <v>1604811600</v>
      </c>
      <c r="J133">
        <f t="shared" ref="J133:J196" si="10">VLOOKUP(D133,$O$4:$P$35,2,FALSE)</f>
        <v>9</v>
      </c>
      <c r="K133">
        <f t="shared" ref="K133:K196" si="11">VLOOKUP(E133,$O$4:$P$35,2,FALSE)</f>
        <v>1</v>
      </c>
      <c r="L133">
        <f t="shared" ref="L133:L196" si="12">VLOOKUP(F133,$O$4:$P$35,2,FALSE)</f>
        <v>9</v>
      </c>
    </row>
    <row r="134" spans="1:12" x14ac:dyDescent="0.25">
      <c r="B134">
        <v>9</v>
      </c>
      <c r="C134" s="1">
        <v>44143</v>
      </c>
      <c r="D134" t="s">
        <v>52</v>
      </c>
      <c r="E134" t="s">
        <v>57</v>
      </c>
      <c r="F134" t="s">
        <v>52</v>
      </c>
      <c r="G134">
        <v>1</v>
      </c>
      <c r="H134">
        <f>VLOOKUP(C134,UTCLookup!C$3:D$57,2,FALSE)</f>
        <v>1604725200</v>
      </c>
      <c r="I134" s="9">
        <f t="shared" si="9"/>
        <v>1604811600</v>
      </c>
      <c r="J134">
        <f t="shared" si="10"/>
        <v>28</v>
      </c>
      <c r="K134">
        <f t="shared" si="11"/>
        <v>3</v>
      </c>
      <c r="L134">
        <f t="shared" si="12"/>
        <v>28</v>
      </c>
    </row>
    <row r="135" spans="1:12" x14ac:dyDescent="0.25">
      <c r="B135">
        <v>9</v>
      </c>
      <c r="C135" s="1">
        <v>44143</v>
      </c>
      <c r="D135" t="s">
        <v>55</v>
      </c>
      <c r="E135" t="s">
        <v>62</v>
      </c>
      <c r="F135" t="s">
        <v>55</v>
      </c>
      <c r="G135">
        <v>1</v>
      </c>
      <c r="H135">
        <f>VLOOKUP(C135,UTCLookup!C$3:D$57,2,FALSE)</f>
        <v>1604725200</v>
      </c>
      <c r="I135" s="9">
        <f t="shared" si="9"/>
        <v>1604811600</v>
      </c>
      <c r="J135">
        <f t="shared" si="10"/>
        <v>2</v>
      </c>
      <c r="K135">
        <f t="shared" si="11"/>
        <v>13</v>
      </c>
      <c r="L135">
        <f t="shared" si="12"/>
        <v>2</v>
      </c>
    </row>
    <row r="136" spans="1:12" x14ac:dyDescent="0.25">
      <c r="B136">
        <v>9</v>
      </c>
      <c r="C136" s="1">
        <v>44143</v>
      </c>
      <c r="D136" t="s">
        <v>50</v>
      </c>
      <c r="E136" t="s">
        <v>63</v>
      </c>
      <c r="F136" t="s">
        <v>50</v>
      </c>
      <c r="G136">
        <v>1</v>
      </c>
      <c r="H136">
        <f>VLOOKUP(C136,UTCLookup!C$3:D$57,2,FALSE)</f>
        <v>1604725200</v>
      </c>
      <c r="I136" s="9">
        <f t="shared" si="9"/>
        <v>1604811600</v>
      </c>
      <c r="J136">
        <f t="shared" si="10"/>
        <v>12</v>
      </c>
      <c r="K136">
        <f t="shared" si="11"/>
        <v>14</v>
      </c>
      <c r="L136">
        <f t="shared" si="12"/>
        <v>12</v>
      </c>
    </row>
    <row r="137" spans="1:12" x14ac:dyDescent="0.25">
      <c r="B137">
        <v>9</v>
      </c>
      <c r="C137" s="1">
        <v>44143</v>
      </c>
      <c r="D137" t="s">
        <v>59</v>
      </c>
      <c r="E137" t="s">
        <v>51</v>
      </c>
      <c r="F137" t="s">
        <v>59</v>
      </c>
      <c r="G137">
        <v>1</v>
      </c>
      <c r="H137">
        <f>VLOOKUP(C137,UTCLookup!C$3:D$57,2,FALSE)</f>
        <v>1604725200</v>
      </c>
      <c r="I137" s="9">
        <f t="shared" si="9"/>
        <v>1604811600</v>
      </c>
      <c r="J137">
        <f t="shared" si="10"/>
        <v>4</v>
      </c>
      <c r="K137">
        <f t="shared" si="11"/>
        <v>15</v>
      </c>
      <c r="L137">
        <f t="shared" si="12"/>
        <v>4</v>
      </c>
    </row>
    <row r="138" spans="1:12" x14ac:dyDescent="0.25">
      <c r="B138">
        <v>9</v>
      </c>
      <c r="C138" s="1">
        <v>44143</v>
      </c>
      <c r="D138" t="s">
        <v>61</v>
      </c>
      <c r="E138" t="s">
        <v>65</v>
      </c>
      <c r="F138" t="s">
        <v>61</v>
      </c>
      <c r="G138">
        <v>1</v>
      </c>
      <c r="H138">
        <f>VLOOKUP(C138,UTCLookup!C$3:D$57,2,FALSE)</f>
        <v>1604725200</v>
      </c>
      <c r="I138" s="9">
        <f t="shared" si="9"/>
        <v>1604811600</v>
      </c>
      <c r="J138">
        <f t="shared" si="10"/>
        <v>10</v>
      </c>
      <c r="K138">
        <f t="shared" si="11"/>
        <v>20</v>
      </c>
      <c r="L138">
        <f t="shared" si="12"/>
        <v>10</v>
      </c>
    </row>
    <row r="139" spans="1:12" x14ac:dyDescent="0.25">
      <c r="B139">
        <v>9</v>
      </c>
      <c r="C139" s="1">
        <v>44143</v>
      </c>
      <c r="D139" t="s">
        <v>60</v>
      </c>
      <c r="E139" t="s">
        <v>80</v>
      </c>
      <c r="F139" t="s">
        <v>60</v>
      </c>
      <c r="G139">
        <v>1</v>
      </c>
      <c r="H139">
        <f>VLOOKUP(C139,UTCLookup!C$3:D$57,2,FALSE)</f>
        <v>1604725200</v>
      </c>
      <c r="I139" s="9">
        <f t="shared" si="9"/>
        <v>1604811600</v>
      </c>
      <c r="J139">
        <f t="shared" si="10"/>
        <v>5</v>
      </c>
      <c r="K139">
        <f t="shared" si="11"/>
        <v>30</v>
      </c>
      <c r="L139">
        <f t="shared" si="12"/>
        <v>5</v>
      </c>
    </row>
    <row r="140" spans="1:12" x14ac:dyDescent="0.25">
      <c r="B140">
        <v>9</v>
      </c>
      <c r="C140" s="1">
        <v>44143</v>
      </c>
      <c r="D140" t="s">
        <v>79</v>
      </c>
      <c r="E140" t="s">
        <v>69</v>
      </c>
      <c r="F140" t="s">
        <v>79</v>
      </c>
      <c r="G140">
        <v>1</v>
      </c>
      <c r="H140">
        <f>VLOOKUP(C140,UTCLookup!C$3:D$57,2,FALSE)</f>
        <v>1604725200</v>
      </c>
      <c r="I140" s="9">
        <f t="shared" si="9"/>
        <v>1604811600</v>
      </c>
      <c r="J140">
        <f t="shared" si="10"/>
        <v>23</v>
      </c>
      <c r="K140">
        <f t="shared" si="11"/>
        <v>31</v>
      </c>
      <c r="L140">
        <f t="shared" si="12"/>
        <v>23</v>
      </c>
    </row>
    <row r="141" spans="1:12" x14ac:dyDescent="0.25">
      <c r="A141" s="1"/>
      <c r="B141">
        <v>9</v>
      </c>
      <c r="C141" s="1">
        <v>44143</v>
      </c>
      <c r="D141" t="s">
        <v>58</v>
      </c>
      <c r="E141" t="s">
        <v>70</v>
      </c>
      <c r="F141" t="s">
        <v>58</v>
      </c>
      <c r="G141" s="5">
        <v>0.17013888888888887</v>
      </c>
      <c r="H141">
        <f>VLOOKUP(C141,UTCLookup!C$3:D$57,2,FALSE)</f>
        <v>1604725200</v>
      </c>
      <c r="I141" s="9">
        <f t="shared" si="9"/>
        <v>1604739900</v>
      </c>
      <c r="J141">
        <f t="shared" si="10"/>
        <v>16</v>
      </c>
      <c r="K141">
        <f t="shared" si="11"/>
        <v>17</v>
      </c>
      <c r="L141">
        <f t="shared" si="12"/>
        <v>16</v>
      </c>
    </row>
    <row r="142" spans="1:12" x14ac:dyDescent="0.25">
      <c r="B142">
        <v>9</v>
      </c>
      <c r="C142" s="1">
        <v>44143</v>
      </c>
      <c r="D142" t="s">
        <v>66</v>
      </c>
      <c r="E142" t="s">
        <v>74</v>
      </c>
      <c r="F142" t="s">
        <v>66</v>
      </c>
      <c r="G142" s="5">
        <v>0.18402777777777779</v>
      </c>
      <c r="H142">
        <f>VLOOKUP(C142,UTCLookup!C$3:D$57,2,FALSE)</f>
        <v>1604725200</v>
      </c>
      <c r="I142" s="9">
        <f t="shared" si="9"/>
        <v>1604741100</v>
      </c>
      <c r="J142">
        <f t="shared" si="10"/>
        <v>19</v>
      </c>
      <c r="K142">
        <f t="shared" si="11"/>
        <v>0</v>
      </c>
      <c r="L142">
        <f t="shared" si="12"/>
        <v>19</v>
      </c>
    </row>
    <row r="143" spans="1:12" x14ac:dyDescent="0.25">
      <c r="B143">
        <v>9</v>
      </c>
      <c r="C143" s="1">
        <v>44143</v>
      </c>
      <c r="D143" t="s">
        <v>78</v>
      </c>
      <c r="E143" t="s">
        <v>76</v>
      </c>
      <c r="F143" t="s">
        <v>78</v>
      </c>
      <c r="G143" s="5">
        <v>0.18402777777777779</v>
      </c>
      <c r="H143">
        <f>VLOOKUP(C143,UTCLookup!C$3:D$57,2,FALSE)</f>
        <v>1604725200</v>
      </c>
      <c r="I143" s="9">
        <f t="shared" si="9"/>
        <v>1604741100</v>
      </c>
      <c r="J143">
        <f t="shared" si="10"/>
        <v>26</v>
      </c>
      <c r="K143">
        <f t="shared" si="11"/>
        <v>8</v>
      </c>
      <c r="L143">
        <f t="shared" si="12"/>
        <v>26</v>
      </c>
    </row>
    <row r="144" spans="1:12" x14ac:dyDescent="0.25">
      <c r="B144">
        <v>9</v>
      </c>
      <c r="C144" s="1">
        <v>44143</v>
      </c>
      <c r="D144" t="s">
        <v>73</v>
      </c>
      <c r="E144" t="s">
        <v>72</v>
      </c>
      <c r="F144" t="s">
        <v>73</v>
      </c>
      <c r="G144" s="5">
        <v>0.34722222222222227</v>
      </c>
      <c r="H144">
        <f>VLOOKUP(C144,UTCLookup!C$3:D$57,2,FALSE)</f>
        <v>1604725200</v>
      </c>
      <c r="I144" s="9">
        <f t="shared" si="9"/>
        <v>1604755200</v>
      </c>
      <c r="J144">
        <f t="shared" si="10"/>
        <v>22</v>
      </c>
      <c r="K144">
        <f t="shared" si="11"/>
        <v>29</v>
      </c>
      <c r="L144">
        <f t="shared" si="12"/>
        <v>22</v>
      </c>
    </row>
    <row r="145" spans="2:17" x14ac:dyDescent="0.25">
      <c r="B145">
        <v>9</v>
      </c>
      <c r="C145" s="1">
        <v>44144</v>
      </c>
      <c r="D145" t="s">
        <v>67</v>
      </c>
      <c r="E145" t="s">
        <v>56</v>
      </c>
      <c r="F145" t="s">
        <v>67</v>
      </c>
      <c r="G145" s="5">
        <v>0.34375</v>
      </c>
      <c r="H145">
        <f>VLOOKUP(C145,UTCLookup!C$3:D$57,2,FALSE)</f>
        <v>1604811600</v>
      </c>
      <c r="I145" s="9">
        <f t="shared" si="9"/>
        <v>1604841300</v>
      </c>
      <c r="J145">
        <f t="shared" si="10"/>
        <v>21</v>
      </c>
      <c r="K145">
        <f t="shared" si="11"/>
        <v>24</v>
      </c>
      <c r="L145">
        <f t="shared" si="12"/>
        <v>21</v>
      </c>
    </row>
    <row r="146" spans="2:17" x14ac:dyDescent="0.25">
      <c r="B146">
        <v>10</v>
      </c>
      <c r="C146" s="1" t="s">
        <v>8</v>
      </c>
      <c r="I146" s="9"/>
      <c r="J146" t="e">
        <f t="shared" si="10"/>
        <v>#N/A</v>
      </c>
      <c r="K146" t="e">
        <f t="shared" si="11"/>
        <v>#N/A</v>
      </c>
      <c r="L146" t="e">
        <f t="shared" si="12"/>
        <v>#N/A</v>
      </c>
    </row>
    <row r="147" spans="2:17" x14ac:dyDescent="0.25">
      <c r="B147">
        <v>10</v>
      </c>
      <c r="C147" s="1">
        <v>44147</v>
      </c>
      <c r="D147" t="s">
        <v>62</v>
      </c>
      <c r="E147" t="s">
        <v>80</v>
      </c>
      <c r="F147" t="s">
        <v>62</v>
      </c>
      <c r="G147" s="5">
        <v>0.34722222222222227</v>
      </c>
      <c r="H147">
        <f>VLOOKUP(C147,UTCLookup!C$3:D$57,2,FALSE)</f>
        <v>1605070800</v>
      </c>
      <c r="I147" s="9">
        <f t="shared" si="9"/>
        <v>1605100800</v>
      </c>
      <c r="J147">
        <f t="shared" si="10"/>
        <v>13</v>
      </c>
      <c r="K147">
        <f t="shared" si="11"/>
        <v>30</v>
      </c>
      <c r="L147">
        <f t="shared" si="12"/>
        <v>13</v>
      </c>
    </row>
    <row r="148" spans="2:17" x14ac:dyDescent="0.25">
      <c r="B148">
        <v>10</v>
      </c>
      <c r="C148" s="1">
        <v>44150</v>
      </c>
      <c r="D148" t="s">
        <v>72</v>
      </c>
      <c r="E148" t="s">
        <v>59</v>
      </c>
      <c r="F148" t="s">
        <v>72</v>
      </c>
      <c r="G148">
        <v>1</v>
      </c>
      <c r="H148">
        <f>VLOOKUP(C148,UTCLookup!C$3:D$57,2,FALSE)</f>
        <v>1605330000</v>
      </c>
      <c r="I148" s="9">
        <f t="shared" si="9"/>
        <v>1605416400</v>
      </c>
      <c r="J148">
        <f t="shared" si="10"/>
        <v>29</v>
      </c>
      <c r="K148">
        <f t="shared" si="11"/>
        <v>4</v>
      </c>
      <c r="L148">
        <f t="shared" si="12"/>
        <v>29</v>
      </c>
      <c r="M148">
        <v>2</v>
      </c>
      <c r="N148">
        <f>2-M148</f>
        <v>0</v>
      </c>
      <c r="P148" t="s">
        <v>72</v>
      </c>
      <c r="Q148">
        <v>2</v>
      </c>
    </row>
    <row r="149" spans="2:17" x14ac:dyDescent="0.25">
      <c r="B149">
        <v>10</v>
      </c>
      <c r="C149" s="1">
        <v>44150</v>
      </c>
      <c r="D149" t="s">
        <v>50</v>
      </c>
      <c r="E149" t="s">
        <v>54</v>
      </c>
      <c r="F149" t="s">
        <v>50</v>
      </c>
      <c r="G149">
        <v>1</v>
      </c>
      <c r="H149">
        <f>VLOOKUP(C149,UTCLookup!C$3:D$57,2,FALSE)</f>
        <v>1605330000</v>
      </c>
      <c r="I149" s="9">
        <f t="shared" si="9"/>
        <v>1605416400</v>
      </c>
      <c r="J149">
        <f t="shared" si="10"/>
        <v>12</v>
      </c>
      <c r="K149">
        <f t="shared" si="11"/>
        <v>7</v>
      </c>
      <c r="L149">
        <f t="shared" si="12"/>
        <v>12</v>
      </c>
      <c r="M149">
        <v>0</v>
      </c>
      <c r="N149">
        <f t="shared" ref="N149:N159" si="13">2-M149</f>
        <v>2</v>
      </c>
      <c r="P149" t="s">
        <v>50</v>
      </c>
      <c r="Q149">
        <v>0</v>
      </c>
    </row>
    <row r="150" spans="2:17" x14ac:dyDescent="0.25">
      <c r="B150">
        <v>10</v>
      </c>
      <c r="C150" s="1">
        <v>44150</v>
      </c>
      <c r="D150" t="s">
        <v>69</v>
      </c>
      <c r="E150" t="s">
        <v>61</v>
      </c>
      <c r="F150" t="s">
        <v>69</v>
      </c>
      <c r="G150">
        <v>1</v>
      </c>
      <c r="H150">
        <f>VLOOKUP(C150,UTCLookup!C$3:D$57,2,FALSE)</f>
        <v>1605330000</v>
      </c>
      <c r="I150" s="9">
        <f t="shared" si="9"/>
        <v>1605416400</v>
      </c>
      <c r="J150">
        <f t="shared" si="10"/>
        <v>31</v>
      </c>
      <c r="K150">
        <f t="shared" si="11"/>
        <v>10</v>
      </c>
      <c r="L150">
        <f t="shared" si="12"/>
        <v>31</v>
      </c>
      <c r="M150">
        <v>2</v>
      </c>
      <c r="N150">
        <f t="shared" si="13"/>
        <v>0</v>
      </c>
      <c r="P150" t="s">
        <v>69</v>
      </c>
      <c r="Q150">
        <v>2</v>
      </c>
    </row>
    <row r="151" spans="2:17" x14ac:dyDescent="0.25">
      <c r="B151">
        <v>10</v>
      </c>
      <c r="C151" s="1">
        <v>44150</v>
      </c>
      <c r="D151" t="s">
        <v>63</v>
      </c>
      <c r="E151" t="s">
        <v>64</v>
      </c>
      <c r="F151" t="s">
        <v>63</v>
      </c>
      <c r="G151">
        <v>1</v>
      </c>
      <c r="H151">
        <f>VLOOKUP(C151,UTCLookup!C$3:D$57,2,FALSE)</f>
        <v>1605330000</v>
      </c>
      <c r="I151" s="9">
        <f t="shared" si="9"/>
        <v>1605416400</v>
      </c>
      <c r="J151">
        <f t="shared" si="10"/>
        <v>14</v>
      </c>
      <c r="K151">
        <f t="shared" si="11"/>
        <v>11</v>
      </c>
      <c r="L151">
        <f t="shared" si="12"/>
        <v>14</v>
      </c>
      <c r="M151">
        <v>0</v>
      </c>
      <c r="N151">
        <f t="shared" si="13"/>
        <v>2</v>
      </c>
      <c r="P151" t="s">
        <v>63</v>
      </c>
      <c r="Q151">
        <v>0</v>
      </c>
    </row>
    <row r="152" spans="2:17" x14ac:dyDescent="0.25">
      <c r="B152">
        <v>10</v>
      </c>
      <c r="C152" s="1">
        <v>44150</v>
      </c>
      <c r="D152" t="s">
        <v>68</v>
      </c>
      <c r="E152" t="s">
        <v>79</v>
      </c>
      <c r="F152" t="s">
        <v>68</v>
      </c>
      <c r="G152">
        <v>1</v>
      </c>
      <c r="H152">
        <f>VLOOKUP(C152,UTCLookup!C$3:D$57,2,FALSE)</f>
        <v>1605330000</v>
      </c>
      <c r="I152" s="9">
        <f t="shared" si="9"/>
        <v>1605416400</v>
      </c>
      <c r="J152">
        <f t="shared" si="10"/>
        <v>25</v>
      </c>
      <c r="K152">
        <f t="shared" si="11"/>
        <v>23</v>
      </c>
      <c r="L152">
        <f t="shared" si="12"/>
        <v>25</v>
      </c>
      <c r="M152">
        <v>2</v>
      </c>
      <c r="N152">
        <f t="shared" si="13"/>
        <v>0</v>
      </c>
      <c r="P152" t="s">
        <v>68</v>
      </c>
      <c r="Q152">
        <v>2</v>
      </c>
    </row>
    <row r="153" spans="2:17" x14ac:dyDescent="0.25">
      <c r="B153">
        <v>10</v>
      </c>
      <c r="C153" s="1">
        <v>44150</v>
      </c>
      <c r="D153" t="s">
        <v>71</v>
      </c>
      <c r="E153" t="s">
        <v>78</v>
      </c>
      <c r="F153" t="s">
        <v>71</v>
      </c>
      <c r="G153">
        <v>1</v>
      </c>
      <c r="H153">
        <f>VLOOKUP(C153,UTCLookup!C$3:D$57,2,FALSE)</f>
        <v>1605330000</v>
      </c>
      <c r="I153" s="9">
        <f t="shared" si="9"/>
        <v>1605416400</v>
      </c>
      <c r="J153">
        <f t="shared" si="10"/>
        <v>6</v>
      </c>
      <c r="K153">
        <f t="shared" si="11"/>
        <v>26</v>
      </c>
      <c r="L153">
        <f t="shared" si="12"/>
        <v>6</v>
      </c>
      <c r="M153">
        <v>2</v>
      </c>
      <c r="N153">
        <f t="shared" si="13"/>
        <v>0</v>
      </c>
      <c r="P153" t="s">
        <v>71</v>
      </c>
      <c r="Q153">
        <v>2</v>
      </c>
    </row>
    <row r="154" spans="2:17" x14ac:dyDescent="0.25">
      <c r="B154">
        <v>10</v>
      </c>
      <c r="C154" s="1">
        <v>44150</v>
      </c>
      <c r="D154" t="s">
        <v>57</v>
      </c>
      <c r="E154" t="s">
        <v>74</v>
      </c>
      <c r="F154" t="s">
        <v>57</v>
      </c>
      <c r="G154" s="5">
        <v>0.17013888888888887</v>
      </c>
      <c r="H154">
        <f>VLOOKUP(C154,UTCLookup!C$3:D$57,2,FALSE)</f>
        <v>1605330000</v>
      </c>
      <c r="I154" s="9">
        <f t="shared" si="9"/>
        <v>1605344700</v>
      </c>
      <c r="J154">
        <f t="shared" si="10"/>
        <v>3</v>
      </c>
      <c r="K154">
        <f t="shared" si="11"/>
        <v>0</v>
      </c>
      <c r="L154">
        <f t="shared" si="12"/>
        <v>3</v>
      </c>
      <c r="M154">
        <v>0</v>
      </c>
      <c r="N154">
        <f t="shared" si="13"/>
        <v>2</v>
      </c>
      <c r="P154" t="s">
        <v>57</v>
      </c>
      <c r="Q154">
        <v>0</v>
      </c>
    </row>
    <row r="155" spans="2:17" x14ac:dyDescent="0.25">
      <c r="B155">
        <v>10</v>
      </c>
      <c r="C155" s="1">
        <v>44150</v>
      </c>
      <c r="D155" t="s">
        <v>81</v>
      </c>
      <c r="E155" t="s">
        <v>58</v>
      </c>
      <c r="F155" t="s">
        <v>81</v>
      </c>
      <c r="G155" s="5">
        <v>0.17013888888888887</v>
      </c>
      <c r="H155">
        <f>VLOOKUP(C155,UTCLookup!C$3:D$57,2,FALSE)</f>
        <v>1605330000</v>
      </c>
      <c r="I155" s="9">
        <f t="shared" si="9"/>
        <v>1605344700</v>
      </c>
      <c r="J155">
        <f t="shared" si="10"/>
        <v>9</v>
      </c>
      <c r="K155">
        <f t="shared" si="11"/>
        <v>16</v>
      </c>
      <c r="L155">
        <f t="shared" si="12"/>
        <v>9</v>
      </c>
      <c r="M155">
        <v>2</v>
      </c>
      <c r="N155">
        <f t="shared" si="13"/>
        <v>0</v>
      </c>
      <c r="P155" t="s">
        <v>81</v>
      </c>
      <c r="Q155">
        <v>2</v>
      </c>
    </row>
    <row r="156" spans="2:17" x14ac:dyDescent="0.25">
      <c r="B156">
        <v>10</v>
      </c>
      <c r="C156" s="1">
        <v>44150</v>
      </c>
      <c r="D156" t="s">
        <v>56</v>
      </c>
      <c r="E156" t="s">
        <v>66</v>
      </c>
      <c r="F156" t="s">
        <v>56</v>
      </c>
      <c r="G156" s="5">
        <v>0.17013888888888887</v>
      </c>
      <c r="H156">
        <f>VLOOKUP(C156,UTCLookup!C$3:D$57,2,FALSE)</f>
        <v>1605330000</v>
      </c>
      <c r="I156" s="9">
        <f t="shared" si="9"/>
        <v>1605344700</v>
      </c>
      <c r="J156">
        <f t="shared" si="10"/>
        <v>24</v>
      </c>
      <c r="K156">
        <f t="shared" si="11"/>
        <v>19</v>
      </c>
      <c r="L156">
        <f t="shared" si="12"/>
        <v>24</v>
      </c>
      <c r="M156">
        <v>0</v>
      </c>
      <c r="N156">
        <f t="shared" si="13"/>
        <v>2</v>
      </c>
      <c r="P156" t="s">
        <v>56</v>
      </c>
      <c r="Q156">
        <v>0</v>
      </c>
    </row>
    <row r="157" spans="2:17" x14ac:dyDescent="0.25">
      <c r="B157">
        <v>10</v>
      </c>
      <c r="C157" s="1">
        <v>44150</v>
      </c>
      <c r="D157" t="s">
        <v>52</v>
      </c>
      <c r="E157" t="s">
        <v>77</v>
      </c>
      <c r="F157" t="s">
        <v>52</v>
      </c>
      <c r="G157" s="5">
        <v>0.18402777777777779</v>
      </c>
      <c r="H157">
        <f>VLOOKUP(C157,UTCLookup!C$3:D$57,2,FALSE)</f>
        <v>1605330000</v>
      </c>
      <c r="I157" s="9">
        <f t="shared" si="9"/>
        <v>1605345900</v>
      </c>
      <c r="J157">
        <f t="shared" si="10"/>
        <v>28</v>
      </c>
      <c r="K157">
        <f t="shared" si="11"/>
        <v>18</v>
      </c>
      <c r="L157">
        <f t="shared" si="12"/>
        <v>28</v>
      </c>
      <c r="M157">
        <v>2</v>
      </c>
      <c r="N157">
        <f t="shared" si="13"/>
        <v>0</v>
      </c>
      <c r="P157" t="s">
        <v>52</v>
      </c>
      <c r="Q157">
        <v>2</v>
      </c>
    </row>
    <row r="158" spans="2:17" x14ac:dyDescent="0.25">
      <c r="B158">
        <v>10</v>
      </c>
      <c r="C158" s="1">
        <v>44150</v>
      </c>
      <c r="D158" t="s">
        <v>75</v>
      </c>
      <c r="E158" t="s">
        <v>73</v>
      </c>
      <c r="F158" t="s">
        <v>75</v>
      </c>
      <c r="G158" s="5">
        <v>0.18402777777777779</v>
      </c>
      <c r="H158">
        <f>VLOOKUP(C158,UTCLookup!C$3:D$57,2,FALSE)</f>
        <v>1605330000</v>
      </c>
      <c r="I158" s="9">
        <f t="shared" si="9"/>
        <v>1605345900</v>
      </c>
      <c r="J158">
        <f t="shared" si="10"/>
        <v>27</v>
      </c>
      <c r="K158">
        <f t="shared" si="11"/>
        <v>22</v>
      </c>
      <c r="L158">
        <f t="shared" si="12"/>
        <v>27</v>
      </c>
      <c r="M158">
        <v>0</v>
      </c>
      <c r="N158">
        <f t="shared" si="13"/>
        <v>2</v>
      </c>
      <c r="P158" t="s">
        <v>75</v>
      </c>
      <c r="Q158">
        <v>0</v>
      </c>
    </row>
    <row r="159" spans="2:17" x14ac:dyDescent="0.25">
      <c r="B159">
        <v>10</v>
      </c>
      <c r="C159" s="1">
        <v>44150</v>
      </c>
      <c r="D159" t="s">
        <v>55</v>
      </c>
      <c r="E159" t="s">
        <v>67</v>
      </c>
      <c r="F159" t="s">
        <v>55</v>
      </c>
      <c r="G159" s="5">
        <v>0.34722222222222227</v>
      </c>
      <c r="H159">
        <f>VLOOKUP(C159,UTCLookup!C$3:D$57,2,FALSE)</f>
        <v>1605330000</v>
      </c>
      <c r="I159" s="9">
        <f t="shared" si="9"/>
        <v>1605360000</v>
      </c>
      <c r="J159">
        <f t="shared" si="10"/>
        <v>2</v>
      </c>
      <c r="K159">
        <f t="shared" si="11"/>
        <v>21</v>
      </c>
      <c r="L159">
        <f t="shared" si="12"/>
        <v>2</v>
      </c>
      <c r="M159">
        <v>2</v>
      </c>
      <c r="N159">
        <f t="shared" si="13"/>
        <v>0</v>
      </c>
      <c r="P159" t="s">
        <v>55</v>
      </c>
      <c r="Q159">
        <v>2</v>
      </c>
    </row>
    <row r="160" spans="2:17" x14ac:dyDescent="0.25">
      <c r="B160">
        <v>10</v>
      </c>
      <c r="C160" s="1">
        <v>44151</v>
      </c>
      <c r="D160" t="s">
        <v>65</v>
      </c>
      <c r="E160" t="s">
        <v>60</v>
      </c>
      <c r="F160" t="s">
        <v>65</v>
      </c>
      <c r="G160" s="5">
        <v>0.34375</v>
      </c>
      <c r="H160">
        <f>VLOOKUP(C160,UTCLookup!C$3:D$57,2,FALSE)</f>
        <v>1605416400</v>
      </c>
      <c r="I160" s="9">
        <f t="shared" si="9"/>
        <v>1605446100</v>
      </c>
      <c r="J160">
        <f t="shared" si="10"/>
        <v>20</v>
      </c>
      <c r="K160">
        <f t="shared" si="11"/>
        <v>5</v>
      </c>
      <c r="L160">
        <f t="shared" si="12"/>
        <v>20</v>
      </c>
      <c r="P160" t="s">
        <v>59</v>
      </c>
      <c r="Q160">
        <v>0</v>
      </c>
    </row>
    <row r="161" spans="2:17" x14ac:dyDescent="0.25">
      <c r="B161">
        <v>11</v>
      </c>
      <c r="C161" s="1" t="s">
        <v>9</v>
      </c>
      <c r="I161" s="9"/>
      <c r="J161" t="e">
        <f t="shared" si="10"/>
        <v>#N/A</v>
      </c>
      <c r="K161" t="e">
        <f t="shared" si="11"/>
        <v>#N/A</v>
      </c>
      <c r="L161" t="e">
        <f t="shared" si="12"/>
        <v>#N/A</v>
      </c>
      <c r="P161" t="s">
        <v>54</v>
      </c>
      <c r="Q161">
        <v>2</v>
      </c>
    </row>
    <row r="162" spans="2:17" x14ac:dyDescent="0.25">
      <c r="B162">
        <v>11</v>
      </c>
      <c r="C162" s="1">
        <v>44154</v>
      </c>
      <c r="D162" t="s">
        <v>74</v>
      </c>
      <c r="E162" t="s">
        <v>52</v>
      </c>
      <c r="F162" t="s">
        <v>74</v>
      </c>
      <c r="G162" s="5">
        <v>0.34722222222222227</v>
      </c>
      <c r="H162">
        <f>VLOOKUP(C162,UTCLookup!C$3:D$57,2,FALSE)</f>
        <v>1605675600</v>
      </c>
      <c r="I162" s="9">
        <f t="shared" si="9"/>
        <v>1605705600</v>
      </c>
      <c r="J162">
        <f t="shared" si="10"/>
        <v>0</v>
      </c>
      <c r="K162">
        <f t="shared" si="11"/>
        <v>28</v>
      </c>
      <c r="L162">
        <f t="shared" si="12"/>
        <v>0</v>
      </c>
      <c r="P162" t="s">
        <v>61</v>
      </c>
      <c r="Q162">
        <v>0</v>
      </c>
    </row>
    <row r="163" spans="2:17" x14ac:dyDescent="0.25">
      <c r="B163">
        <v>11</v>
      </c>
      <c r="C163" s="1">
        <v>44157</v>
      </c>
      <c r="D163" t="s">
        <v>80</v>
      </c>
      <c r="E163" t="s">
        <v>55</v>
      </c>
      <c r="F163" t="s">
        <v>80</v>
      </c>
      <c r="G163">
        <v>1</v>
      </c>
      <c r="H163">
        <f>VLOOKUP(C163,UTCLookup!C$3:D$57,2,FALSE)</f>
        <v>1605934800</v>
      </c>
      <c r="I163" s="9">
        <f t="shared" si="9"/>
        <v>1606021200</v>
      </c>
      <c r="J163">
        <f t="shared" si="10"/>
        <v>30</v>
      </c>
      <c r="K163">
        <f t="shared" si="11"/>
        <v>2</v>
      </c>
      <c r="L163">
        <f t="shared" si="12"/>
        <v>30</v>
      </c>
      <c r="P163" t="s">
        <v>64</v>
      </c>
      <c r="Q163">
        <v>2</v>
      </c>
    </row>
    <row r="164" spans="2:17" x14ac:dyDescent="0.25">
      <c r="B164">
        <v>11</v>
      </c>
      <c r="C164" s="1">
        <v>44157</v>
      </c>
      <c r="D164" t="s">
        <v>61</v>
      </c>
      <c r="E164" t="s">
        <v>59</v>
      </c>
      <c r="F164" t="s">
        <v>61</v>
      </c>
      <c r="G164">
        <v>1</v>
      </c>
      <c r="H164">
        <f>VLOOKUP(C164,UTCLookup!C$3:D$57,2,FALSE)</f>
        <v>1605934800</v>
      </c>
      <c r="I164" s="9">
        <f t="shared" si="9"/>
        <v>1606021200</v>
      </c>
      <c r="J164">
        <f t="shared" si="10"/>
        <v>10</v>
      </c>
      <c r="K164">
        <f t="shared" si="11"/>
        <v>4</v>
      </c>
      <c r="L164">
        <f t="shared" si="12"/>
        <v>10</v>
      </c>
      <c r="P164" t="s">
        <v>79</v>
      </c>
      <c r="Q164">
        <v>0</v>
      </c>
    </row>
    <row r="165" spans="2:17" x14ac:dyDescent="0.25">
      <c r="B165">
        <v>11</v>
      </c>
      <c r="C165" s="1">
        <v>44157</v>
      </c>
      <c r="D165" t="s">
        <v>68</v>
      </c>
      <c r="E165" t="s">
        <v>54</v>
      </c>
      <c r="F165" t="s">
        <v>68</v>
      </c>
      <c r="G165">
        <v>1</v>
      </c>
      <c r="H165">
        <f>VLOOKUP(C165,UTCLookup!C$3:D$57,2,FALSE)</f>
        <v>1605934800</v>
      </c>
      <c r="I165" s="9">
        <f t="shared" si="9"/>
        <v>1606021200</v>
      </c>
      <c r="J165">
        <f t="shared" si="10"/>
        <v>25</v>
      </c>
      <c r="K165">
        <f t="shared" si="11"/>
        <v>7</v>
      </c>
      <c r="L165">
        <f t="shared" si="12"/>
        <v>25</v>
      </c>
      <c r="P165" t="s">
        <v>78</v>
      </c>
      <c r="Q165">
        <v>0</v>
      </c>
    </row>
    <row r="166" spans="2:17" x14ac:dyDescent="0.25">
      <c r="B166">
        <v>11</v>
      </c>
      <c r="C166" s="1">
        <v>44157</v>
      </c>
      <c r="D166" t="s">
        <v>67</v>
      </c>
      <c r="E166" t="s">
        <v>50</v>
      </c>
      <c r="F166" t="s">
        <v>67</v>
      </c>
      <c r="G166">
        <v>1</v>
      </c>
      <c r="H166">
        <f>VLOOKUP(C166,UTCLookup!C$3:D$57,2,FALSE)</f>
        <v>1605934800</v>
      </c>
      <c r="I166" s="9">
        <f t="shared" si="9"/>
        <v>1606021200</v>
      </c>
      <c r="J166">
        <f t="shared" si="10"/>
        <v>21</v>
      </c>
      <c r="K166">
        <f t="shared" si="11"/>
        <v>12</v>
      </c>
      <c r="L166">
        <f t="shared" si="12"/>
        <v>21</v>
      </c>
      <c r="P166" t="s">
        <v>74</v>
      </c>
      <c r="Q166">
        <v>2</v>
      </c>
    </row>
    <row r="167" spans="2:17" x14ac:dyDescent="0.25">
      <c r="B167">
        <v>11</v>
      </c>
      <c r="C167" s="1">
        <v>44157</v>
      </c>
      <c r="D167" t="s">
        <v>64</v>
      </c>
      <c r="E167" t="s">
        <v>62</v>
      </c>
      <c r="F167" t="s">
        <v>64</v>
      </c>
      <c r="G167">
        <v>1</v>
      </c>
      <c r="H167">
        <f>VLOOKUP(C167,UTCLookup!C$3:D$57,2,FALSE)</f>
        <v>1605934800</v>
      </c>
      <c r="I167" s="9">
        <f t="shared" si="9"/>
        <v>1606021200</v>
      </c>
      <c r="J167">
        <f t="shared" si="10"/>
        <v>11</v>
      </c>
      <c r="K167">
        <f t="shared" si="11"/>
        <v>13</v>
      </c>
      <c r="L167">
        <f t="shared" si="12"/>
        <v>11</v>
      </c>
      <c r="P167" t="s">
        <v>58</v>
      </c>
      <c r="Q167">
        <v>0</v>
      </c>
    </row>
    <row r="168" spans="2:17" x14ac:dyDescent="0.25">
      <c r="B168">
        <v>11</v>
      </c>
      <c r="C168" s="1">
        <v>44157</v>
      </c>
      <c r="D168" t="s">
        <v>78</v>
      </c>
      <c r="E168" t="s">
        <v>63</v>
      </c>
      <c r="F168" t="s">
        <v>78</v>
      </c>
      <c r="G168">
        <v>1</v>
      </c>
      <c r="H168">
        <f>VLOOKUP(C168,UTCLookup!C$3:D$57,2,FALSE)</f>
        <v>1605934800</v>
      </c>
      <c r="I168" s="9">
        <f t="shared" si="9"/>
        <v>1606021200</v>
      </c>
      <c r="J168">
        <f t="shared" si="10"/>
        <v>26</v>
      </c>
      <c r="K168">
        <f t="shared" si="11"/>
        <v>14</v>
      </c>
      <c r="L168">
        <f t="shared" si="12"/>
        <v>26</v>
      </c>
      <c r="P168" t="s">
        <v>66</v>
      </c>
      <c r="Q168">
        <v>2</v>
      </c>
    </row>
    <row r="169" spans="2:17" x14ac:dyDescent="0.25">
      <c r="B169">
        <v>11</v>
      </c>
      <c r="C169" s="1">
        <v>44157</v>
      </c>
      <c r="D169" t="s">
        <v>53</v>
      </c>
      <c r="E169" t="s">
        <v>73</v>
      </c>
      <c r="F169" t="s">
        <v>53</v>
      </c>
      <c r="G169">
        <v>1</v>
      </c>
      <c r="H169">
        <f>VLOOKUP(C169,UTCLookup!C$3:D$57,2,FALSE)</f>
        <v>1605934800</v>
      </c>
      <c r="I169" s="9">
        <f t="shared" si="9"/>
        <v>1606021200</v>
      </c>
      <c r="J169">
        <f t="shared" si="10"/>
        <v>1</v>
      </c>
      <c r="K169">
        <f t="shared" si="11"/>
        <v>22</v>
      </c>
      <c r="L169">
        <f t="shared" si="12"/>
        <v>1</v>
      </c>
      <c r="P169" t="s">
        <v>77</v>
      </c>
      <c r="Q169">
        <v>0</v>
      </c>
    </row>
    <row r="170" spans="2:17" x14ac:dyDescent="0.25">
      <c r="B170">
        <v>11</v>
      </c>
      <c r="C170" s="1">
        <v>44157</v>
      </c>
      <c r="D170" t="s">
        <v>71</v>
      </c>
      <c r="E170" t="s">
        <v>69</v>
      </c>
      <c r="F170" t="s">
        <v>71</v>
      </c>
      <c r="G170">
        <v>1</v>
      </c>
      <c r="H170">
        <f>VLOOKUP(C170,UTCLookup!C$3:D$57,2,FALSE)</f>
        <v>1605934800</v>
      </c>
      <c r="I170" s="9">
        <f t="shared" si="9"/>
        <v>1606021200</v>
      </c>
      <c r="J170">
        <f t="shared" si="10"/>
        <v>6</v>
      </c>
      <c r="K170">
        <f t="shared" si="11"/>
        <v>31</v>
      </c>
      <c r="L170">
        <f t="shared" si="12"/>
        <v>6</v>
      </c>
      <c r="P170" t="s">
        <v>73</v>
      </c>
      <c r="Q170">
        <v>2</v>
      </c>
    </row>
    <row r="171" spans="2:17" x14ac:dyDescent="0.25">
      <c r="B171">
        <v>11</v>
      </c>
      <c r="C171" s="1">
        <v>44157</v>
      </c>
      <c r="D171" t="s">
        <v>70</v>
      </c>
      <c r="E171" t="s">
        <v>81</v>
      </c>
      <c r="F171" t="s">
        <v>70</v>
      </c>
      <c r="G171" s="5">
        <v>0.17013888888888887</v>
      </c>
      <c r="H171">
        <f>VLOOKUP(C171,UTCLookup!C$3:D$57,2,FALSE)</f>
        <v>1605934800</v>
      </c>
      <c r="I171" s="9">
        <f t="shared" si="9"/>
        <v>1605949500</v>
      </c>
      <c r="J171">
        <f t="shared" si="10"/>
        <v>17</v>
      </c>
      <c r="K171">
        <f t="shared" si="11"/>
        <v>9</v>
      </c>
      <c r="L171">
        <f t="shared" si="12"/>
        <v>17</v>
      </c>
      <c r="P171" t="s">
        <v>67</v>
      </c>
      <c r="Q171">
        <v>0</v>
      </c>
    </row>
    <row r="172" spans="2:17" x14ac:dyDescent="0.25">
      <c r="B172">
        <v>11</v>
      </c>
      <c r="C172" s="1">
        <v>44157</v>
      </c>
      <c r="D172" t="s">
        <v>76</v>
      </c>
      <c r="E172" t="s">
        <v>65</v>
      </c>
      <c r="F172" t="s">
        <v>76</v>
      </c>
      <c r="G172" s="5">
        <v>0.18402777777777779</v>
      </c>
      <c r="H172">
        <f>VLOOKUP(C172,UTCLookup!C$3:D$57,2,FALSE)</f>
        <v>1605934800</v>
      </c>
      <c r="I172" s="9">
        <f t="shared" si="9"/>
        <v>1605950700</v>
      </c>
      <c r="J172">
        <f t="shared" si="10"/>
        <v>8</v>
      </c>
      <c r="K172">
        <f t="shared" si="11"/>
        <v>20</v>
      </c>
      <c r="L172">
        <f t="shared" si="12"/>
        <v>8</v>
      </c>
    </row>
    <row r="173" spans="2:17" x14ac:dyDescent="0.25">
      <c r="B173">
        <v>11</v>
      </c>
      <c r="C173" s="1">
        <v>44157</v>
      </c>
      <c r="D173" t="s">
        <v>51</v>
      </c>
      <c r="E173" t="s">
        <v>58</v>
      </c>
      <c r="F173" t="s">
        <v>51</v>
      </c>
      <c r="G173" s="5">
        <v>0.34722222222222227</v>
      </c>
      <c r="H173">
        <f>VLOOKUP(C173,UTCLookup!C$3:D$57,2,FALSE)</f>
        <v>1605934800</v>
      </c>
      <c r="I173" s="9">
        <f t="shared" si="9"/>
        <v>1605964800</v>
      </c>
      <c r="J173">
        <f t="shared" si="10"/>
        <v>15</v>
      </c>
      <c r="K173">
        <f t="shared" si="11"/>
        <v>16</v>
      </c>
      <c r="L173">
        <f t="shared" si="12"/>
        <v>15</v>
      </c>
    </row>
    <row r="174" spans="2:17" x14ac:dyDescent="0.25">
      <c r="B174">
        <v>11</v>
      </c>
      <c r="C174" s="1">
        <v>44158</v>
      </c>
      <c r="D174" t="s">
        <v>77</v>
      </c>
      <c r="E174" t="s">
        <v>72</v>
      </c>
      <c r="F174" t="s">
        <v>77</v>
      </c>
      <c r="G174" s="5">
        <v>0.34375</v>
      </c>
      <c r="H174">
        <f>VLOOKUP(C174,UTCLookup!C$3:D$57,2,FALSE)</f>
        <v>1606021200</v>
      </c>
      <c r="I174" s="9">
        <f t="shared" si="9"/>
        <v>1606050900</v>
      </c>
      <c r="J174">
        <f t="shared" si="10"/>
        <v>18</v>
      </c>
      <c r="K174">
        <f t="shared" si="11"/>
        <v>29</v>
      </c>
      <c r="L174">
        <f t="shared" si="12"/>
        <v>18</v>
      </c>
    </row>
    <row r="175" spans="2:17" x14ac:dyDescent="0.25">
      <c r="B175">
        <v>12</v>
      </c>
      <c r="C175" s="1" t="s">
        <v>10</v>
      </c>
      <c r="I175" s="9"/>
      <c r="J175" t="e">
        <f t="shared" si="10"/>
        <v>#N/A</v>
      </c>
      <c r="K175" t="e">
        <f t="shared" si="11"/>
        <v>#N/A</v>
      </c>
      <c r="L175" t="e">
        <f t="shared" si="12"/>
        <v>#N/A</v>
      </c>
    </row>
    <row r="176" spans="2:17" x14ac:dyDescent="0.25">
      <c r="B176">
        <v>12</v>
      </c>
      <c r="C176" s="1">
        <v>44161</v>
      </c>
      <c r="D176" t="s">
        <v>50</v>
      </c>
      <c r="E176" t="s">
        <v>61</v>
      </c>
      <c r="F176" t="s">
        <v>50</v>
      </c>
      <c r="G176" s="5">
        <v>0.52083333333333337</v>
      </c>
      <c r="H176">
        <f>VLOOKUP(C176,UTCLookup!C$3:D$57,2,FALSE)</f>
        <v>1606280400</v>
      </c>
      <c r="I176" s="9">
        <f t="shared" si="9"/>
        <v>1606325400</v>
      </c>
      <c r="J176">
        <f t="shared" si="10"/>
        <v>12</v>
      </c>
      <c r="K176">
        <f t="shared" si="11"/>
        <v>10</v>
      </c>
      <c r="L176">
        <f t="shared" si="12"/>
        <v>12</v>
      </c>
    </row>
    <row r="177" spans="2:12" x14ac:dyDescent="0.25">
      <c r="B177">
        <v>12</v>
      </c>
      <c r="C177" s="1">
        <v>44161</v>
      </c>
      <c r="D177" t="s">
        <v>69</v>
      </c>
      <c r="E177" t="s">
        <v>76</v>
      </c>
      <c r="F177" t="s">
        <v>69</v>
      </c>
      <c r="G177" s="5">
        <v>0.1875</v>
      </c>
      <c r="H177">
        <f>VLOOKUP(C177,UTCLookup!C$3:D$57,2,FALSE)</f>
        <v>1606280400</v>
      </c>
      <c r="I177" s="9">
        <f t="shared" si="9"/>
        <v>1606296600</v>
      </c>
      <c r="J177">
        <f t="shared" si="10"/>
        <v>31</v>
      </c>
      <c r="K177">
        <f t="shared" si="11"/>
        <v>8</v>
      </c>
      <c r="L177">
        <f t="shared" si="12"/>
        <v>31</v>
      </c>
    </row>
    <row r="178" spans="2:12" x14ac:dyDescent="0.25">
      <c r="B178">
        <v>12</v>
      </c>
      <c r="C178" s="1">
        <v>44161</v>
      </c>
      <c r="D178" t="s">
        <v>55</v>
      </c>
      <c r="E178" t="s">
        <v>78</v>
      </c>
      <c r="F178" t="s">
        <v>55</v>
      </c>
      <c r="G178" s="5">
        <v>0.34722222222222227</v>
      </c>
      <c r="H178">
        <f>VLOOKUP(C178,UTCLookup!C$3:D$57,2,FALSE)</f>
        <v>1606280400</v>
      </c>
      <c r="I178" s="9">
        <f t="shared" si="9"/>
        <v>1606310400</v>
      </c>
      <c r="J178">
        <f t="shared" si="10"/>
        <v>2</v>
      </c>
      <c r="K178">
        <f t="shared" si="11"/>
        <v>26</v>
      </c>
      <c r="L178">
        <f t="shared" si="12"/>
        <v>2</v>
      </c>
    </row>
    <row r="179" spans="2:12" x14ac:dyDescent="0.25">
      <c r="B179">
        <v>12</v>
      </c>
      <c r="C179" s="1">
        <v>44164</v>
      </c>
      <c r="D179" t="s">
        <v>58</v>
      </c>
      <c r="E179" t="s">
        <v>53</v>
      </c>
      <c r="F179" t="s">
        <v>58</v>
      </c>
      <c r="G179">
        <v>1</v>
      </c>
      <c r="H179">
        <f>VLOOKUP(C179,UTCLookup!C$3:D$57,2,FALSE)</f>
        <v>1606539600</v>
      </c>
      <c r="I179" s="9">
        <f t="shared" si="9"/>
        <v>1606626000</v>
      </c>
      <c r="J179">
        <f t="shared" si="10"/>
        <v>16</v>
      </c>
      <c r="K179">
        <f t="shared" si="11"/>
        <v>1</v>
      </c>
      <c r="L179">
        <f t="shared" si="12"/>
        <v>16</v>
      </c>
    </row>
    <row r="180" spans="2:12" x14ac:dyDescent="0.25">
      <c r="B180">
        <v>12</v>
      </c>
      <c r="C180" s="1">
        <v>44164</v>
      </c>
      <c r="D180" t="s">
        <v>70</v>
      </c>
      <c r="E180" t="s">
        <v>57</v>
      </c>
      <c r="F180" t="s">
        <v>70</v>
      </c>
      <c r="G180">
        <v>1</v>
      </c>
      <c r="H180">
        <f>VLOOKUP(C180,UTCLookup!C$3:D$57,2,FALSE)</f>
        <v>1606539600</v>
      </c>
      <c r="I180" s="9">
        <f t="shared" si="9"/>
        <v>1606626000</v>
      </c>
      <c r="J180">
        <f t="shared" si="10"/>
        <v>17</v>
      </c>
      <c r="K180">
        <f t="shared" si="11"/>
        <v>3</v>
      </c>
      <c r="L180">
        <f t="shared" si="12"/>
        <v>17</v>
      </c>
    </row>
    <row r="181" spans="2:12" x14ac:dyDescent="0.25">
      <c r="B181">
        <v>12</v>
      </c>
      <c r="C181" s="1">
        <v>44164</v>
      </c>
      <c r="D181" t="s">
        <v>79</v>
      </c>
      <c r="E181" t="s">
        <v>71</v>
      </c>
      <c r="F181" t="s">
        <v>79</v>
      </c>
      <c r="G181">
        <v>1</v>
      </c>
      <c r="H181">
        <f>VLOOKUP(C181,UTCLookup!C$3:D$57,2,FALSE)</f>
        <v>1606539600</v>
      </c>
      <c r="I181" s="9">
        <f t="shared" si="9"/>
        <v>1606626000</v>
      </c>
      <c r="J181">
        <f t="shared" si="10"/>
        <v>23</v>
      </c>
      <c r="K181">
        <f t="shared" si="11"/>
        <v>6</v>
      </c>
      <c r="L181">
        <f t="shared" si="12"/>
        <v>23</v>
      </c>
    </row>
    <row r="182" spans="2:12" x14ac:dyDescent="0.25">
      <c r="B182">
        <v>12</v>
      </c>
      <c r="C182" s="1">
        <v>44164</v>
      </c>
      <c r="D182" t="s">
        <v>80</v>
      </c>
      <c r="E182" t="s">
        <v>62</v>
      </c>
      <c r="F182" t="s">
        <v>80</v>
      </c>
      <c r="G182">
        <v>1</v>
      </c>
      <c r="H182">
        <f>VLOOKUP(C182,UTCLookup!C$3:D$57,2,FALSE)</f>
        <v>1606539600</v>
      </c>
      <c r="I182" s="9">
        <f t="shared" si="9"/>
        <v>1606626000</v>
      </c>
      <c r="J182">
        <f t="shared" si="10"/>
        <v>30</v>
      </c>
      <c r="K182">
        <f t="shared" si="11"/>
        <v>13</v>
      </c>
      <c r="L182">
        <f t="shared" si="12"/>
        <v>30</v>
      </c>
    </row>
    <row r="183" spans="2:12" x14ac:dyDescent="0.25">
      <c r="B183">
        <v>12</v>
      </c>
      <c r="C183" s="1">
        <v>44164</v>
      </c>
      <c r="D183" t="s">
        <v>54</v>
      </c>
      <c r="E183" t="s">
        <v>63</v>
      </c>
      <c r="F183" t="s">
        <v>54</v>
      </c>
      <c r="G183">
        <v>1</v>
      </c>
      <c r="H183">
        <f>VLOOKUP(C183,UTCLookup!C$3:D$57,2,FALSE)</f>
        <v>1606539600</v>
      </c>
      <c r="I183" s="9">
        <f t="shared" si="9"/>
        <v>1606626000</v>
      </c>
      <c r="J183">
        <f t="shared" si="10"/>
        <v>7</v>
      </c>
      <c r="K183">
        <f t="shared" si="11"/>
        <v>14</v>
      </c>
      <c r="L183">
        <f t="shared" si="12"/>
        <v>7</v>
      </c>
    </row>
    <row r="184" spans="2:12" x14ac:dyDescent="0.25">
      <c r="B184">
        <v>12</v>
      </c>
      <c r="C184" s="1">
        <v>44164</v>
      </c>
      <c r="D184" t="s">
        <v>59</v>
      </c>
      <c r="E184" t="s">
        <v>65</v>
      </c>
      <c r="F184" t="s">
        <v>59</v>
      </c>
      <c r="G184">
        <v>1</v>
      </c>
      <c r="H184">
        <f>VLOOKUP(C184,UTCLookup!C$3:D$57,2,FALSE)</f>
        <v>1606539600</v>
      </c>
      <c r="I184" s="9">
        <f t="shared" si="9"/>
        <v>1606626000</v>
      </c>
      <c r="J184">
        <f t="shared" si="10"/>
        <v>4</v>
      </c>
      <c r="K184">
        <f t="shared" si="11"/>
        <v>20</v>
      </c>
      <c r="L184">
        <f t="shared" si="12"/>
        <v>4</v>
      </c>
    </row>
    <row r="185" spans="2:12" x14ac:dyDescent="0.25">
      <c r="B185">
        <v>12</v>
      </c>
      <c r="C185" s="1">
        <v>44164</v>
      </c>
      <c r="D185" t="s">
        <v>74</v>
      </c>
      <c r="E185" t="s">
        <v>67</v>
      </c>
      <c r="F185" t="s">
        <v>74</v>
      </c>
      <c r="G185">
        <v>1</v>
      </c>
      <c r="H185">
        <f>VLOOKUP(C185,UTCLookup!C$3:D$57,2,FALSE)</f>
        <v>1606539600</v>
      </c>
      <c r="I185" s="9">
        <f t="shared" si="9"/>
        <v>1606626000</v>
      </c>
      <c r="J185">
        <f t="shared" si="10"/>
        <v>0</v>
      </c>
      <c r="K185">
        <f t="shared" si="11"/>
        <v>21</v>
      </c>
      <c r="L185">
        <f t="shared" si="12"/>
        <v>0</v>
      </c>
    </row>
    <row r="186" spans="2:12" x14ac:dyDescent="0.25">
      <c r="B186">
        <v>12</v>
      </c>
      <c r="C186" s="1">
        <v>44164</v>
      </c>
      <c r="D186" t="s">
        <v>66</v>
      </c>
      <c r="E186" t="s">
        <v>56</v>
      </c>
      <c r="F186" t="s">
        <v>66</v>
      </c>
      <c r="G186">
        <v>1</v>
      </c>
      <c r="H186">
        <f>VLOOKUP(C186,UTCLookup!C$3:D$57,2,FALSE)</f>
        <v>1606539600</v>
      </c>
      <c r="I186" s="9">
        <f t="shared" si="9"/>
        <v>1606626000</v>
      </c>
      <c r="J186">
        <f t="shared" si="10"/>
        <v>19</v>
      </c>
      <c r="K186">
        <f t="shared" si="11"/>
        <v>24</v>
      </c>
      <c r="L186">
        <f t="shared" si="12"/>
        <v>19</v>
      </c>
    </row>
    <row r="187" spans="2:12" x14ac:dyDescent="0.25">
      <c r="B187">
        <v>12</v>
      </c>
      <c r="C187" s="1">
        <v>44164</v>
      </c>
      <c r="D187" t="s">
        <v>73</v>
      </c>
      <c r="E187" t="s">
        <v>81</v>
      </c>
      <c r="F187" t="s">
        <v>73</v>
      </c>
      <c r="G187" s="5">
        <v>0.17013888888888887</v>
      </c>
      <c r="H187">
        <f>VLOOKUP(C187,UTCLookup!C$3:D$57,2,FALSE)</f>
        <v>1606539600</v>
      </c>
      <c r="I187" s="9">
        <f t="shared" si="9"/>
        <v>1606554300</v>
      </c>
      <c r="J187">
        <f t="shared" si="10"/>
        <v>22</v>
      </c>
      <c r="K187">
        <f t="shared" si="11"/>
        <v>9</v>
      </c>
      <c r="L187">
        <f t="shared" si="12"/>
        <v>22</v>
      </c>
    </row>
    <row r="188" spans="2:12" x14ac:dyDescent="0.25">
      <c r="B188">
        <v>12</v>
      </c>
      <c r="C188" s="1">
        <v>44164</v>
      </c>
      <c r="D188" t="s">
        <v>75</v>
      </c>
      <c r="E188" t="s">
        <v>77</v>
      </c>
      <c r="F188" t="s">
        <v>75</v>
      </c>
      <c r="G188" s="5">
        <v>0.17013888888888887</v>
      </c>
      <c r="H188">
        <f>VLOOKUP(C188,UTCLookup!C$3:D$57,2,FALSE)</f>
        <v>1606539600</v>
      </c>
      <c r="I188" s="9">
        <f t="shared" si="9"/>
        <v>1606554300</v>
      </c>
      <c r="J188">
        <f t="shared" si="10"/>
        <v>27</v>
      </c>
      <c r="K188">
        <f t="shared" si="11"/>
        <v>18</v>
      </c>
      <c r="L188">
        <f t="shared" si="12"/>
        <v>27</v>
      </c>
    </row>
    <row r="189" spans="2:12" x14ac:dyDescent="0.25">
      <c r="B189">
        <v>12</v>
      </c>
      <c r="C189" s="1">
        <v>44164</v>
      </c>
      <c r="D189" t="s">
        <v>51</v>
      </c>
      <c r="E189" t="s">
        <v>72</v>
      </c>
      <c r="F189" t="s">
        <v>51</v>
      </c>
      <c r="G189" s="5">
        <v>0.18402777777777779</v>
      </c>
      <c r="H189">
        <f>VLOOKUP(C189,UTCLookup!C$3:D$57,2,FALSE)</f>
        <v>1606539600</v>
      </c>
      <c r="I189" s="9">
        <f t="shared" si="9"/>
        <v>1606555500</v>
      </c>
      <c r="J189">
        <f t="shared" si="10"/>
        <v>15</v>
      </c>
      <c r="K189">
        <f t="shared" si="11"/>
        <v>29</v>
      </c>
      <c r="L189">
        <f t="shared" si="12"/>
        <v>15</v>
      </c>
    </row>
    <row r="190" spans="2:12" x14ac:dyDescent="0.25">
      <c r="B190">
        <v>12</v>
      </c>
      <c r="C190" s="1">
        <v>44164</v>
      </c>
      <c r="D190" t="s">
        <v>60</v>
      </c>
      <c r="E190" t="s">
        <v>64</v>
      </c>
      <c r="F190" t="s">
        <v>60</v>
      </c>
      <c r="G190" s="5">
        <v>0.34722222222222227</v>
      </c>
      <c r="H190">
        <f>VLOOKUP(C190,UTCLookup!C$3:D$57,2,FALSE)</f>
        <v>1606539600</v>
      </c>
      <c r="I190" s="9">
        <f t="shared" si="9"/>
        <v>1606569600</v>
      </c>
      <c r="J190">
        <f t="shared" si="10"/>
        <v>5</v>
      </c>
      <c r="K190">
        <f t="shared" si="11"/>
        <v>11</v>
      </c>
      <c r="L190">
        <f t="shared" si="12"/>
        <v>5</v>
      </c>
    </row>
    <row r="191" spans="2:12" x14ac:dyDescent="0.25">
      <c r="B191">
        <v>12</v>
      </c>
      <c r="C191" s="1">
        <v>44165</v>
      </c>
      <c r="D191" t="s">
        <v>52</v>
      </c>
      <c r="E191" t="s">
        <v>68</v>
      </c>
      <c r="F191" t="s">
        <v>52</v>
      </c>
      <c r="G191" s="5">
        <v>0.34375</v>
      </c>
      <c r="H191">
        <f>VLOOKUP(C191,UTCLookup!C$3:D$57,2,FALSE)</f>
        <v>1606626000</v>
      </c>
      <c r="I191" s="9">
        <f t="shared" si="9"/>
        <v>1606655700</v>
      </c>
      <c r="J191">
        <f t="shared" si="10"/>
        <v>28</v>
      </c>
      <c r="K191">
        <f t="shared" si="11"/>
        <v>25</v>
      </c>
      <c r="L191">
        <f t="shared" si="12"/>
        <v>28</v>
      </c>
    </row>
    <row r="192" spans="2:12" x14ac:dyDescent="0.25">
      <c r="B192">
        <v>13</v>
      </c>
      <c r="C192" s="1" t="s">
        <v>11</v>
      </c>
      <c r="I192" s="9"/>
      <c r="J192" t="e">
        <f t="shared" si="10"/>
        <v>#N/A</v>
      </c>
      <c r="K192" t="e">
        <f t="shared" si="11"/>
        <v>#N/A</v>
      </c>
      <c r="L192" t="e">
        <f t="shared" si="12"/>
        <v>#N/A</v>
      </c>
    </row>
    <row r="193" spans="2:12" x14ac:dyDescent="0.25">
      <c r="B193">
        <v>13</v>
      </c>
      <c r="C193" s="1">
        <v>44168</v>
      </c>
      <c r="D193" t="s">
        <v>76</v>
      </c>
      <c r="E193" t="s">
        <v>55</v>
      </c>
      <c r="F193" t="s">
        <v>76</v>
      </c>
      <c r="G193" s="5">
        <v>0.34722222222222227</v>
      </c>
      <c r="H193">
        <f>VLOOKUP(C193,UTCLookup!C$3:D$57,2,FALSE)</f>
        <v>1606885200</v>
      </c>
      <c r="I193" s="9">
        <f t="shared" si="9"/>
        <v>1606915200</v>
      </c>
      <c r="J193">
        <f t="shared" si="10"/>
        <v>8</v>
      </c>
      <c r="K193">
        <f t="shared" si="11"/>
        <v>2</v>
      </c>
      <c r="L193">
        <f t="shared" si="12"/>
        <v>8</v>
      </c>
    </row>
    <row r="194" spans="2:12" x14ac:dyDescent="0.25">
      <c r="B194">
        <v>13</v>
      </c>
      <c r="C194" s="1">
        <v>44171</v>
      </c>
      <c r="D194" t="s">
        <v>73</v>
      </c>
      <c r="E194" t="s">
        <v>53</v>
      </c>
      <c r="F194" t="s">
        <v>73</v>
      </c>
      <c r="G194">
        <v>1</v>
      </c>
      <c r="H194">
        <f>VLOOKUP(C194,UTCLookup!C$3:D$57,2,FALSE)</f>
        <v>1607144400</v>
      </c>
      <c r="I194" s="9">
        <f t="shared" si="9"/>
        <v>1607230800</v>
      </c>
      <c r="J194">
        <f t="shared" si="10"/>
        <v>22</v>
      </c>
      <c r="K194">
        <f t="shared" si="11"/>
        <v>1</v>
      </c>
      <c r="L194">
        <f t="shared" si="12"/>
        <v>22</v>
      </c>
    </row>
    <row r="195" spans="2:12" x14ac:dyDescent="0.25">
      <c r="B195">
        <v>13</v>
      </c>
      <c r="C195" s="1">
        <v>44171</v>
      </c>
      <c r="D195" t="s">
        <v>61</v>
      </c>
      <c r="E195" t="s">
        <v>60</v>
      </c>
      <c r="F195" t="s">
        <v>61</v>
      </c>
      <c r="G195">
        <v>1</v>
      </c>
      <c r="H195">
        <f>VLOOKUP(C195,UTCLookup!C$3:D$57,2,FALSE)</f>
        <v>1607144400</v>
      </c>
      <c r="I195" s="9">
        <f t="shared" si="9"/>
        <v>1607230800</v>
      </c>
      <c r="J195">
        <f t="shared" si="10"/>
        <v>10</v>
      </c>
      <c r="K195">
        <f t="shared" si="11"/>
        <v>5</v>
      </c>
      <c r="L195">
        <f t="shared" si="12"/>
        <v>10</v>
      </c>
    </row>
    <row r="196" spans="2:12" x14ac:dyDescent="0.25">
      <c r="B196">
        <v>13</v>
      </c>
      <c r="C196" s="1">
        <v>44171</v>
      </c>
      <c r="D196" t="s">
        <v>62</v>
      </c>
      <c r="E196" t="s">
        <v>50</v>
      </c>
      <c r="F196" t="s">
        <v>62</v>
      </c>
      <c r="G196">
        <v>1</v>
      </c>
      <c r="H196">
        <f>VLOOKUP(C196,UTCLookup!C$3:D$57,2,FALSE)</f>
        <v>1607144400</v>
      </c>
      <c r="I196" s="9">
        <f t="shared" si="9"/>
        <v>1607230800</v>
      </c>
      <c r="J196">
        <f t="shared" si="10"/>
        <v>13</v>
      </c>
      <c r="K196">
        <f t="shared" si="11"/>
        <v>12</v>
      </c>
      <c r="L196">
        <f t="shared" si="12"/>
        <v>13</v>
      </c>
    </row>
    <row r="197" spans="2:12" x14ac:dyDescent="0.25">
      <c r="B197">
        <v>13</v>
      </c>
      <c r="C197" s="1">
        <v>44171</v>
      </c>
      <c r="D197" t="s">
        <v>71</v>
      </c>
      <c r="E197" t="s">
        <v>66</v>
      </c>
      <c r="F197" t="s">
        <v>71</v>
      </c>
      <c r="G197">
        <v>1</v>
      </c>
      <c r="H197">
        <f>VLOOKUP(C197,UTCLookup!C$3:D$57,2,FALSE)</f>
        <v>1607144400</v>
      </c>
      <c r="I197" s="9">
        <f t="shared" ref="I197:I260" si="14">H197+G197*86400</f>
        <v>1607230800</v>
      </c>
      <c r="J197">
        <f t="shared" ref="J197:J260" si="15">VLOOKUP(D197,$O$4:$P$35,2,FALSE)</f>
        <v>6</v>
      </c>
      <c r="K197">
        <f t="shared" ref="K197:K260" si="16">VLOOKUP(E197,$O$4:$P$35,2,FALSE)</f>
        <v>19</v>
      </c>
      <c r="L197">
        <f t="shared" ref="L197:L260" si="17">VLOOKUP(F197,$O$4:$P$35,2,FALSE)</f>
        <v>6</v>
      </c>
    </row>
    <row r="198" spans="2:12" x14ac:dyDescent="0.25">
      <c r="B198">
        <v>13</v>
      </c>
      <c r="C198" s="1">
        <v>44171</v>
      </c>
      <c r="D198" t="s">
        <v>63</v>
      </c>
      <c r="E198" t="s">
        <v>65</v>
      </c>
      <c r="F198" t="s">
        <v>63</v>
      </c>
      <c r="G198">
        <v>1</v>
      </c>
      <c r="H198">
        <f>VLOOKUP(C198,UTCLookup!C$3:D$57,2,FALSE)</f>
        <v>1607144400</v>
      </c>
      <c r="I198" s="9">
        <f t="shared" si="14"/>
        <v>1607230800</v>
      </c>
      <c r="J198">
        <f t="shared" si="15"/>
        <v>14</v>
      </c>
      <c r="K198">
        <f t="shared" si="16"/>
        <v>20</v>
      </c>
      <c r="L198">
        <f t="shared" si="17"/>
        <v>14</v>
      </c>
    </row>
    <row r="199" spans="2:12" x14ac:dyDescent="0.25">
      <c r="B199">
        <v>13</v>
      </c>
      <c r="C199" s="1">
        <v>44171</v>
      </c>
      <c r="D199" t="s">
        <v>58</v>
      </c>
      <c r="E199" t="s">
        <v>56</v>
      </c>
      <c r="F199" t="s">
        <v>58</v>
      </c>
      <c r="G199">
        <v>1</v>
      </c>
      <c r="H199">
        <f>VLOOKUP(C199,UTCLookup!C$3:D$57,2,FALSE)</f>
        <v>1607144400</v>
      </c>
      <c r="I199" s="9">
        <f t="shared" si="14"/>
        <v>1607230800</v>
      </c>
      <c r="J199">
        <f t="shared" si="15"/>
        <v>16</v>
      </c>
      <c r="K199">
        <f t="shared" si="16"/>
        <v>24</v>
      </c>
      <c r="L199">
        <f t="shared" si="17"/>
        <v>16</v>
      </c>
    </row>
    <row r="200" spans="2:12" x14ac:dyDescent="0.25">
      <c r="B200">
        <v>13</v>
      </c>
      <c r="C200" s="1">
        <v>44171</v>
      </c>
      <c r="D200" t="s">
        <v>69</v>
      </c>
      <c r="E200" t="s">
        <v>78</v>
      </c>
      <c r="F200" t="s">
        <v>69</v>
      </c>
      <c r="G200">
        <v>1</v>
      </c>
      <c r="H200">
        <f>VLOOKUP(C200,UTCLookup!C$3:D$57,2,FALSE)</f>
        <v>1607144400</v>
      </c>
      <c r="I200" s="9">
        <f t="shared" si="14"/>
        <v>1607230800</v>
      </c>
      <c r="J200">
        <f t="shared" si="15"/>
        <v>31</v>
      </c>
      <c r="K200">
        <f t="shared" si="16"/>
        <v>26</v>
      </c>
      <c r="L200">
        <f t="shared" si="17"/>
        <v>31</v>
      </c>
    </row>
    <row r="201" spans="2:12" x14ac:dyDescent="0.25">
      <c r="B201">
        <v>13</v>
      </c>
      <c r="C201" s="1">
        <v>44171</v>
      </c>
      <c r="D201" t="s">
        <v>54</v>
      </c>
      <c r="E201" t="s">
        <v>80</v>
      </c>
      <c r="F201" t="s">
        <v>54</v>
      </c>
      <c r="G201">
        <v>1</v>
      </c>
      <c r="H201">
        <f>VLOOKUP(C201,UTCLookup!C$3:D$57,2,FALSE)</f>
        <v>1607144400</v>
      </c>
      <c r="I201" s="9">
        <f t="shared" si="14"/>
        <v>1607230800</v>
      </c>
      <c r="J201">
        <f t="shared" si="15"/>
        <v>7</v>
      </c>
      <c r="K201">
        <f t="shared" si="16"/>
        <v>30</v>
      </c>
      <c r="L201">
        <f t="shared" si="17"/>
        <v>7</v>
      </c>
    </row>
    <row r="202" spans="2:12" x14ac:dyDescent="0.25">
      <c r="B202">
        <v>13</v>
      </c>
      <c r="C202" s="1">
        <v>44171</v>
      </c>
      <c r="D202" t="s">
        <v>77</v>
      </c>
      <c r="E202" t="s">
        <v>74</v>
      </c>
      <c r="F202" t="s">
        <v>77</v>
      </c>
      <c r="G202" s="5">
        <v>0.17013888888888887</v>
      </c>
      <c r="H202">
        <f>VLOOKUP(C202,UTCLookup!C$3:D$57,2,FALSE)</f>
        <v>1607144400</v>
      </c>
      <c r="I202" s="9">
        <f t="shared" si="14"/>
        <v>1607159100</v>
      </c>
      <c r="J202">
        <f t="shared" si="15"/>
        <v>18</v>
      </c>
      <c r="K202">
        <f t="shared" si="16"/>
        <v>0</v>
      </c>
      <c r="L202">
        <f t="shared" si="17"/>
        <v>18</v>
      </c>
    </row>
    <row r="203" spans="2:12" x14ac:dyDescent="0.25">
      <c r="B203">
        <v>13</v>
      </c>
      <c r="C203" s="1">
        <v>44171</v>
      </c>
      <c r="D203" t="s">
        <v>79</v>
      </c>
      <c r="E203" t="s">
        <v>52</v>
      </c>
      <c r="F203" t="s">
        <v>79</v>
      </c>
      <c r="G203" s="5">
        <v>0.17013888888888887</v>
      </c>
      <c r="H203">
        <f>VLOOKUP(C203,UTCLookup!C$3:D$57,2,FALSE)</f>
        <v>1607144400</v>
      </c>
      <c r="I203" s="9">
        <f t="shared" si="14"/>
        <v>1607159100</v>
      </c>
      <c r="J203">
        <f t="shared" si="15"/>
        <v>23</v>
      </c>
      <c r="K203">
        <f t="shared" si="16"/>
        <v>28</v>
      </c>
      <c r="L203">
        <f t="shared" si="17"/>
        <v>23</v>
      </c>
    </row>
    <row r="204" spans="2:12" x14ac:dyDescent="0.25">
      <c r="B204">
        <v>13</v>
      </c>
      <c r="C204" s="1">
        <v>44171</v>
      </c>
      <c r="D204" t="s">
        <v>68</v>
      </c>
      <c r="E204" t="s">
        <v>64</v>
      </c>
      <c r="F204" t="s">
        <v>68</v>
      </c>
      <c r="G204" s="5">
        <v>0.18402777777777779</v>
      </c>
      <c r="H204">
        <f>VLOOKUP(C204,UTCLookup!C$3:D$57,2,FALSE)</f>
        <v>1607144400</v>
      </c>
      <c r="I204" s="9">
        <f t="shared" si="14"/>
        <v>1607160300</v>
      </c>
      <c r="J204">
        <f t="shared" si="15"/>
        <v>25</v>
      </c>
      <c r="K204">
        <f t="shared" si="16"/>
        <v>11</v>
      </c>
      <c r="L204">
        <f t="shared" si="17"/>
        <v>25</v>
      </c>
    </row>
    <row r="205" spans="2:12" x14ac:dyDescent="0.25">
      <c r="B205">
        <v>13</v>
      </c>
      <c r="C205" s="1">
        <v>44171</v>
      </c>
      <c r="D205" t="s">
        <v>67</v>
      </c>
      <c r="E205" t="s">
        <v>70</v>
      </c>
      <c r="F205" t="s">
        <v>67</v>
      </c>
      <c r="G205" s="5">
        <v>0.18402777777777779</v>
      </c>
      <c r="H205">
        <f>VLOOKUP(C205,UTCLookup!C$3:D$57,2,FALSE)</f>
        <v>1607144400</v>
      </c>
      <c r="I205" s="9">
        <f t="shared" si="14"/>
        <v>1607160300</v>
      </c>
      <c r="J205">
        <f t="shared" si="15"/>
        <v>21</v>
      </c>
      <c r="K205">
        <f t="shared" si="16"/>
        <v>17</v>
      </c>
      <c r="L205">
        <f t="shared" si="17"/>
        <v>21</v>
      </c>
    </row>
    <row r="206" spans="2:12" x14ac:dyDescent="0.25">
      <c r="B206">
        <v>13</v>
      </c>
      <c r="C206" s="1">
        <v>44171</v>
      </c>
      <c r="D206" t="s">
        <v>81</v>
      </c>
      <c r="E206" t="s">
        <v>51</v>
      </c>
      <c r="F206" t="s">
        <v>81</v>
      </c>
      <c r="G206" s="5">
        <v>0.34722222222222227</v>
      </c>
      <c r="H206">
        <f>VLOOKUP(C206,UTCLookup!C$3:D$57,2,FALSE)</f>
        <v>1607144400</v>
      </c>
      <c r="I206" s="9">
        <f t="shared" si="14"/>
        <v>1607174400</v>
      </c>
      <c r="J206">
        <f t="shared" si="15"/>
        <v>9</v>
      </c>
      <c r="K206">
        <f t="shared" si="16"/>
        <v>15</v>
      </c>
      <c r="L206">
        <f t="shared" si="17"/>
        <v>9</v>
      </c>
    </row>
    <row r="207" spans="2:12" x14ac:dyDescent="0.25">
      <c r="B207">
        <v>13</v>
      </c>
      <c r="C207" s="1">
        <v>44172</v>
      </c>
      <c r="D207" t="s">
        <v>57</v>
      </c>
      <c r="E207" t="s">
        <v>75</v>
      </c>
      <c r="F207" t="s">
        <v>57</v>
      </c>
      <c r="G207" s="5">
        <v>0.34375</v>
      </c>
      <c r="H207">
        <f>VLOOKUP(C207,UTCLookup!C$3:D$57,2,FALSE)</f>
        <v>1607230800</v>
      </c>
      <c r="I207" s="9">
        <f t="shared" si="14"/>
        <v>1607260500</v>
      </c>
      <c r="J207">
        <f t="shared" si="15"/>
        <v>3</v>
      </c>
      <c r="K207">
        <f t="shared" si="16"/>
        <v>27</v>
      </c>
      <c r="L207">
        <f t="shared" si="17"/>
        <v>3</v>
      </c>
    </row>
    <row r="208" spans="2:12" x14ac:dyDescent="0.25">
      <c r="B208">
        <v>14</v>
      </c>
      <c r="C208" s="1" t="s">
        <v>12</v>
      </c>
      <c r="I208" s="9"/>
      <c r="J208" t="e">
        <f t="shared" si="15"/>
        <v>#N/A</v>
      </c>
      <c r="K208" t="e">
        <f t="shared" si="16"/>
        <v>#N/A</v>
      </c>
      <c r="L208" t="e">
        <f t="shared" si="17"/>
        <v>#N/A</v>
      </c>
    </row>
    <row r="209" spans="2:12" x14ac:dyDescent="0.25">
      <c r="B209">
        <v>14</v>
      </c>
      <c r="C209" s="1">
        <v>44175</v>
      </c>
      <c r="D209" t="s">
        <v>67</v>
      </c>
      <c r="E209" t="s">
        <v>77</v>
      </c>
      <c r="F209" t="s">
        <v>67</v>
      </c>
      <c r="G209" s="5">
        <v>0.34722222222222227</v>
      </c>
      <c r="H209">
        <f>VLOOKUP(C209,UTCLookup!C$3:D$57,2,FALSE)</f>
        <v>1607490000</v>
      </c>
      <c r="I209" s="9">
        <f t="shared" si="14"/>
        <v>1607520000</v>
      </c>
      <c r="J209">
        <f t="shared" si="15"/>
        <v>21</v>
      </c>
      <c r="K209">
        <f t="shared" si="16"/>
        <v>18</v>
      </c>
      <c r="L209">
        <f t="shared" si="17"/>
        <v>21</v>
      </c>
    </row>
    <row r="210" spans="2:12" x14ac:dyDescent="0.25">
      <c r="B210">
        <v>14</v>
      </c>
      <c r="C210" s="1">
        <v>44178</v>
      </c>
      <c r="D210" t="s">
        <v>81</v>
      </c>
      <c r="E210" t="s">
        <v>59</v>
      </c>
      <c r="F210" t="s">
        <v>81</v>
      </c>
      <c r="G210">
        <v>1</v>
      </c>
      <c r="H210">
        <f>VLOOKUP(C210,UTCLookup!C$3:D$57,2,FALSE)</f>
        <v>1607749200</v>
      </c>
      <c r="I210" s="9">
        <f t="shared" si="14"/>
        <v>1607835600</v>
      </c>
      <c r="J210">
        <f t="shared" si="15"/>
        <v>9</v>
      </c>
      <c r="K210">
        <f t="shared" si="16"/>
        <v>4</v>
      </c>
      <c r="L210">
        <f t="shared" si="17"/>
        <v>9</v>
      </c>
    </row>
    <row r="211" spans="2:12" x14ac:dyDescent="0.25">
      <c r="B211">
        <v>14</v>
      </c>
      <c r="C211" s="1">
        <v>44178</v>
      </c>
      <c r="D211" t="s">
        <v>50</v>
      </c>
      <c r="E211" t="s">
        <v>60</v>
      </c>
      <c r="F211" t="s">
        <v>50</v>
      </c>
      <c r="G211">
        <v>1</v>
      </c>
      <c r="H211">
        <f>VLOOKUP(C211,UTCLookup!C$3:D$57,2,FALSE)</f>
        <v>1607749200</v>
      </c>
      <c r="I211" s="9">
        <f t="shared" si="14"/>
        <v>1607835600</v>
      </c>
      <c r="J211">
        <f t="shared" si="15"/>
        <v>12</v>
      </c>
      <c r="K211">
        <f t="shared" si="16"/>
        <v>5</v>
      </c>
      <c r="L211">
        <f t="shared" si="17"/>
        <v>12</v>
      </c>
    </row>
    <row r="212" spans="2:12" x14ac:dyDescent="0.25">
      <c r="B212">
        <v>14</v>
      </c>
      <c r="C212" s="1">
        <v>44178</v>
      </c>
      <c r="D212" t="s">
        <v>76</v>
      </c>
      <c r="E212" t="s">
        <v>71</v>
      </c>
      <c r="F212" t="s">
        <v>76</v>
      </c>
      <c r="G212">
        <v>1</v>
      </c>
      <c r="H212">
        <f>VLOOKUP(C212,UTCLookup!C$3:D$57,2,FALSE)</f>
        <v>1607749200</v>
      </c>
      <c r="I212" s="9">
        <f t="shared" si="14"/>
        <v>1607835600</v>
      </c>
      <c r="J212">
        <f t="shared" si="15"/>
        <v>8</v>
      </c>
      <c r="K212">
        <f t="shared" si="16"/>
        <v>6</v>
      </c>
      <c r="L212">
        <f t="shared" si="17"/>
        <v>8</v>
      </c>
    </row>
    <row r="213" spans="2:12" x14ac:dyDescent="0.25">
      <c r="B213">
        <v>14</v>
      </c>
      <c r="C213" s="1">
        <v>44178</v>
      </c>
      <c r="D213" t="s">
        <v>64</v>
      </c>
      <c r="E213" t="s">
        <v>61</v>
      </c>
      <c r="F213" t="s">
        <v>64</v>
      </c>
      <c r="G213">
        <v>1</v>
      </c>
      <c r="H213">
        <f>VLOOKUP(C213,UTCLookup!C$3:D$57,2,FALSE)</f>
        <v>1607749200</v>
      </c>
      <c r="I213" s="9">
        <f t="shared" si="14"/>
        <v>1607835600</v>
      </c>
      <c r="J213">
        <f t="shared" si="15"/>
        <v>11</v>
      </c>
      <c r="K213">
        <f t="shared" si="16"/>
        <v>10</v>
      </c>
      <c r="L213">
        <f t="shared" si="17"/>
        <v>11</v>
      </c>
    </row>
    <row r="214" spans="2:12" x14ac:dyDescent="0.25">
      <c r="B214">
        <v>14</v>
      </c>
      <c r="C214" s="1">
        <v>44178</v>
      </c>
      <c r="D214" t="s">
        <v>80</v>
      </c>
      <c r="E214" t="s">
        <v>63</v>
      </c>
      <c r="F214" t="s">
        <v>80</v>
      </c>
      <c r="G214">
        <v>1</v>
      </c>
      <c r="H214">
        <f>VLOOKUP(C214,UTCLookup!C$3:D$57,2,FALSE)</f>
        <v>1607749200</v>
      </c>
      <c r="I214" s="9">
        <f t="shared" si="14"/>
        <v>1607835600</v>
      </c>
      <c r="J214">
        <f t="shared" si="15"/>
        <v>30</v>
      </c>
      <c r="K214">
        <f t="shared" si="16"/>
        <v>14</v>
      </c>
      <c r="L214">
        <f t="shared" si="17"/>
        <v>30</v>
      </c>
    </row>
    <row r="215" spans="2:12" x14ac:dyDescent="0.25">
      <c r="B215">
        <v>14</v>
      </c>
      <c r="C215" s="1">
        <v>44178</v>
      </c>
      <c r="D215" t="s">
        <v>51</v>
      </c>
      <c r="E215" t="s">
        <v>66</v>
      </c>
      <c r="F215" t="s">
        <v>51</v>
      </c>
      <c r="G215">
        <v>1</v>
      </c>
      <c r="H215">
        <f>VLOOKUP(C215,UTCLookup!C$3:D$57,2,FALSE)</f>
        <v>1607749200</v>
      </c>
      <c r="I215" s="9">
        <f t="shared" si="14"/>
        <v>1607835600</v>
      </c>
      <c r="J215">
        <f t="shared" si="15"/>
        <v>15</v>
      </c>
      <c r="K215">
        <f t="shared" si="16"/>
        <v>19</v>
      </c>
      <c r="L215">
        <f t="shared" si="17"/>
        <v>15</v>
      </c>
    </row>
    <row r="216" spans="2:12" x14ac:dyDescent="0.25">
      <c r="B216">
        <v>14</v>
      </c>
      <c r="C216" s="1">
        <v>44178</v>
      </c>
      <c r="D216" t="s">
        <v>74</v>
      </c>
      <c r="E216" t="s">
        <v>79</v>
      </c>
      <c r="F216" t="s">
        <v>74</v>
      </c>
      <c r="G216">
        <v>1</v>
      </c>
      <c r="H216">
        <f>VLOOKUP(C216,UTCLookup!C$3:D$57,2,FALSE)</f>
        <v>1607749200</v>
      </c>
      <c r="I216" s="9">
        <f t="shared" si="14"/>
        <v>1607835600</v>
      </c>
      <c r="J216">
        <f t="shared" si="15"/>
        <v>0</v>
      </c>
      <c r="K216">
        <f t="shared" si="16"/>
        <v>23</v>
      </c>
      <c r="L216">
        <f t="shared" si="17"/>
        <v>0</v>
      </c>
    </row>
    <row r="217" spans="2:12" x14ac:dyDescent="0.25">
      <c r="B217">
        <v>14</v>
      </c>
      <c r="C217" s="1">
        <v>44178</v>
      </c>
      <c r="D217" t="s">
        <v>65</v>
      </c>
      <c r="E217" t="s">
        <v>72</v>
      </c>
      <c r="F217" t="s">
        <v>65</v>
      </c>
      <c r="G217">
        <v>1</v>
      </c>
      <c r="H217">
        <f>VLOOKUP(C217,UTCLookup!C$3:D$57,2,FALSE)</f>
        <v>1607749200</v>
      </c>
      <c r="I217" s="9">
        <f t="shared" si="14"/>
        <v>1607835600</v>
      </c>
      <c r="J217">
        <f t="shared" si="15"/>
        <v>20</v>
      </c>
      <c r="K217">
        <f t="shared" si="16"/>
        <v>29</v>
      </c>
      <c r="L217">
        <f t="shared" si="17"/>
        <v>20</v>
      </c>
    </row>
    <row r="218" spans="2:12" x14ac:dyDescent="0.25">
      <c r="B218">
        <v>14</v>
      </c>
      <c r="C218" s="1">
        <v>44178</v>
      </c>
      <c r="D218" t="s">
        <v>62</v>
      </c>
      <c r="E218" t="s">
        <v>58</v>
      </c>
      <c r="F218" t="s">
        <v>62</v>
      </c>
      <c r="G218" s="5">
        <v>0.17013888888888887</v>
      </c>
      <c r="H218">
        <f>VLOOKUP(C218,UTCLookup!C$3:D$57,2,FALSE)</f>
        <v>1607749200</v>
      </c>
      <c r="I218" s="9">
        <f t="shared" si="14"/>
        <v>1607763900</v>
      </c>
      <c r="J218">
        <f t="shared" si="15"/>
        <v>13</v>
      </c>
      <c r="K218">
        <f t="shared" si="16"/>
        <v>16</v>
      </c>
      <c r="L218">
        <f t="shared" si="17"/>
        <v>13</v>
      </c>
    </row>
    <row r="219" spans="2:12" x14ac:dyDescent="0.25">
      <c r="B219">
        <v>14</v>
      </c>
      <c r="C219" s="1">
        <v>44178</v>
      </c>
      <c r="D219" t="s">
        <v>56</v>
      </c>
      <c r="E219" t="s">
        <v>52</v>
      </c>
      <c r="F219" t="s">
        <v>56</v>
      </c>
      <c r="G219" s="5">
        <v>0.17013888888888887</v>
      </c>
      <c r="H219">
        <f>VLOOKUP(C219,UTCLookup!C$3:D$57,2,FALSE)</f>
        <v>1607749200</v>
      </c>
      <c r="I219" s="9">
        <f t="shared" si="14"/>
        <v>1607763900</v>
      </c>
      <c r="J219">
        <f t="shared" si="15"/>
        <v>24</v>
      </c>
      <c r="K219">
        <f t="shared" si="16"/>
        <v>28</v>
      </c>
      <c r="L219">
        <f t="shared" si="17"/>
        <v>24</v>
      </c>
    </row>
    <row r="220" spans="2:12" x14ac:dyDescent="0.25">
      <c r="B220">
        <v>14</v>
      </c>
      <c r="C220" s="1">
        <v>44178</v>
      </c>
      <c r="D220" t="s">
        <v>53</v>
      </c>
      <c r="E220" t="s">
        <v>70</v>
      </c>
      <c r="F220" t="s">
        <v>53</v>
      </c>
      <c r="G220" s="5">
        <v>0.18402777777777779</v>
      </c>
      <c r="H220">
        <f>VLOOKUP(C220,UTCLookup!C$3:D$57,2,FALSE)</f>
        <v>1607749200</v>
      </c>
      <c r="I220" s="9">
        <f t="shared" si="14"/>
        <v>1607765100</v>
      </c>
      <c r="J220">
        <f t="shared" si="15"/>
        <v>1</v>
      </c>
      <c r="K220">
        <f t="shared" si="16"/>
        <v>17</v>
      </c>
      <c r="L220">
        <f t="shared" si="17"/>
        <v>1</v>
      </c>
    </row>
    <row r="221" spans="2:12" x14ac:dyDescent="0.25">
      <c r="B221">
        <v>14</v>
      </c>
      <c r="C221" s="1">
        <v>44178</v>
      </c>
      <c r="D221" t="s">
        <v>73</v>
      </c>
      <c r="E221" t="s">
        <v>68</v>
      </c>
      <c r="F221" t="s">
        <v>73</v>
      </c>
      <c r="G221" s="5">
        <v>0.18402777777777779</v>
      </c>
      <c r="H221">
        <f>VLOOKUP(C221,UTCLookup!C$3:D$57,2,FALSE)</f>
        <v>1607749200</v>
      </c>
      <c r="I221" s="9">
        <f t="shared" si="14"/>
        <v>1607765100</v>
      </c>
      <c r="J221">
        <f t="shared" si="15"/>
        <v>22</v>
      </c>
      <c r="K221">
        <f t="shared" si="16"/>
        <v>25</v>
      </c>
      <c r="L221">
        <f t="shared" si="17"/>
        <v>22</v>
      </c>
    </row>
    <row r="222" spans="2:12" x14ac:dyDescent="0.25">
      <c r="B222">
        <v>14</v>
      </c>
      <c r="C222" s="1">
        <v>44178</v>
      </c>
      <c r="D222" t="s">
        <v>69</v>
      </c>
      <c r="E222" t="s">
        <v>75</v>
      </c>
      <c r="F222" t="s">
        <v>69</v>
      </c>
      <c r="G222" s="5">
        <v>0.18402777777777779</v>
      </c>
      <c r="H222">
        <f>VLOOKUP(C222,UTCLookup!C$3:D$57,2,FALSE)</f>
        <v>1607749200</v>
      </c>
      <c r="I222" s="9">
        <f t="shared" si="14"/>
        <v>1607765100</v>
      </c>
      <c r="J222">
        <f t="shared" si="15"/>
        <v>31</v>
      </c>
      <c r="K222">
        <f t="shared" si="16"/>
        <v>27</v>
      </c>
      <c r="L222">
        <f t="shared" si="17"/>
        <v>31</v>
      </c>
    </row>
    <row r="223" spans="2:12" x14ac:dyDescent="0.25">
      <c r="B223">
        <v>14</v>
      </c>
      <c r="C223" s="1">
        <v>44178</v>
      </c>
      <c r="D223" t="s">
        <v>78</v>
      </c>
      <c r="E223" t="s">
        <v>57</v>
      </c>
      <c r="F223" t="s">
        <v>78</v>
      </c>
      <c r="G223" s="5">
        <v>0.34722222222222227</v>
      </c>
      <c r="H223">
        <f>VLOOKUP(C223,UTCLookup!C$3:D$57,2,FALSE)</f>
        <v>1607749200</v>
      </c>
      <c r="I223" s="9">
        <f t="shared" si="14"/>
        <v>1607779200</v>
      </c>
      <c r="J223">
        <f t="shared" si="15"/>
        <v>26</v>
      </c>
      <c r="K223">
        <f t="shared" si="16"/>
        <v>3</v>
      </c>
      <c r="L223">
        <f t="shared" si="17"/>
        <v>26</v>
      </c>
    </row>
    <row r="224" spans="2:12" x14ac:dyDescent="0.25">
      <c r="B224">
        <v>14</v>
      </c>
      <c r="C224" s="1">
        <v>44179</v>
      </c>
      <c r="D224" t="s">
        <v>55</v>
      </c>
      <c r="E224" t="s">
        <v>54</v>
      </c>
      <c r="F224" t="s">
        <v>55</v>
      </c>
      <c r="G224" s="5">
        <v>0.34375</v>
      </c>
      <c r="H224">
        <f>VLOOKUP(C224,UTCLookup!C$3:D$57,2,FALSE)</f>
        <v>1607835600</v>
      </c>
      <c r="I224" s="9">
        <f t="shared" si="14"/>
        <v>1607865300</v>
      </c>
      <c r="J224">
        <f t="shared" si="15"/>
        <v>2</v>
      </c>
      <c r="K224">
        <f t="shared" si="16"/>
        <v>7</v>
      </c>
      <c r="L224">
        <f t="shared" si="17"/>
        <v>2</v>
      </c>
    </row>
    <row r="225" spans="2:12" x14ac:dyDescent="0.25">
      <c r="B225">
        <v>15</v>
      </c>
      <c r="C225" s="1" t="s">
        <v>13</v>
      </c>
      <c r="I225" s="9"/>
      <c r="J225" t="e">
        <f t="shared" si="15"/>
        <v>#N/A</v>
      </c>
      <c r="K225" t="e">
        <f t="shared" si="16"/>
        <v>#N/A</v>
      </c>
      <c r="L225" t="e">
        <f t="shared" si="17"/>
        <v>#N/A</v>
      </c>
    </row>
    <row r="226" spans="2:12" x14ac:dyDescent="0.25">
      <c r="B226">
        <v>15</v>
      </c>
      <c r="C226" s="1">
        <v>44182</v>
      </c>
      <c r="D226" t="s">
        <v>70</v>
      </c>
      <c r="E226" t="s">
        <v>58</v>
      </c>
      <c r="F226" t="s">
        <v>70</v>
      </c>
      <c r="G226" s="5">
        <v>0.34722222222222227</v>
      </c>
      <c r="H226">
        <f>VLOOKUP(C226,UTCLookup!C$3:D$57,2,FALSE)</f>
        <v>1608094800</v>
      </c>
      <c r="I226" s="9">
        <f t="shared" si="14"/>
        <v>1608124800</v>
      </c>
      <c r="J226">
        <f t="shared" si="15"/>
        <v>17</v>
      </c>
      <c r="K226">
        <f t="shared" si="16"/>
        <v>16</v>
      </c>
      <c r="L226">
        <f t="shared" si="17"/>
        <v>17</v>
      </c>
    </row>
    <row r="227" spans="2:12" x14ac:dyDescent="0.25">
      <c r="B227">
        <v>15</v>
      </c>
      <c r="C227" s="1">
        <v>44182</v>
      </c>
      <c r="D227" t="s">
        <v>57</v>
      </c>
      <c r="E227" t="s">
        <v>81</v>
      </c>
      <c r="F227" t="s">
        <v>57</v>
      </c>
      <c r="G227" s="5">
        <v>0.34722222222222227</v>
      </c>
      <c r="H227">
        <f>VLOOKUP(C227,UTCLookup!C$3:D$57,2,FALSE)</f>
        <v>1608094800</v>
      </c>
      <c r="I227" s="9">
        <f t="shared" si="14"/>
        <v>1608124800</v>
      </c>
      <c r="J227">
        <f t="shared" si="15"/>
        <v>3</v>
      </c>
      <c r="K227">
        <f t="shared" si="16"/>
        <v>9</v>
      </c>
      <c r="L227">
        <f t="shared" si="17"/>
        <v>3</v>
      </c>
    </row>
    <row r="228" spans="2:12" x14ac:dyDescent="0.25">
      <c r="B228">
        <v>15</v>
      </c>
      <c r="C228" s="1">
        <v>44182</v>
      </c>
      <c r="D228" t="s">
        <v>59</v>
      </c>
      <c r="E228" t="s">
        <v>64</v>
      </c>
      <c r="F228" t="s">
        <v>59</v>
      </c>
      <c r="G228" s="5">
        <v>0.34722222222222227</v>
      </c>
      <c r="H228">
        <f>VLOOKUP(C228,UTCLookup!C$3:D$57,2,FALSE)</f>
        <v>1608094800</v>
      </c>
      <c r="I228" s="9">
        <f t="shared" si="14"/>
        <v>1608124800</v>
      </c>
      <c r="J228">
        <f t="shared" si="15"/>
        <v>4</v>
      </c>
      <c r="K228">
        <f t="shared" si="16"/>
        <v>11</v>
      </c>
      <c r="L228">
        <f t="shared" si="17"/>
        <v>4</v>
      </c>
    </row>
    <row r="229" spans="2:12" x14ac:dyDescent="0.25">
      <c r="B229">
        <v>15</v>
      </c>
      <c r="C229" s="1">
        <v>44182</v>
      </c>
      <c r="D229" t="s">
        <v>50</v>
      </c>
      <c r="E229" t="s">
        <v>62</v>
      </c>
      <c r="F229" t="s">
        <v>50</v>
      </c>
      <c r="G229" s="5">
        <v>0.34722222222222227</v>
      </c>
      <c r="H229">
        <f>VLOOKUP(C229,UTCLookup!C$3:D$57,2,FALSE)</f>
        <v>1608094800</v>
      </c>
      <c r="I229" s="9">
        <f t="shared" si="14"/>
        <v>1608124800</v>
      </c>
      <c r="J229">
        <f t="shared" si="15"/>
        <v>12</v>
      </c>
      <c r="K229">
        <f t="shared" si="16"/>
        <v>13</v>
      </c>
      <c r="L229">
        <f t="shared" si="17"/>
        <v>12</v>
      </c>
    </row>
    <row r="230" spans="2:12" x14ac:dyDescent="0.25">
      <c r="B230">
        <v>15</v>
      </c>
      <c r="C230" s="1">
        <v>44182</v>
      </c>
      <c r="D230" t="s">
        <v>56</v>
      </c>
      <c r="E230" t="s">
        <v>77</v>
      </c>
      <c r="F230" t="s">
        <v>56</v>
      </c>
      <c r="G230" s="5">
        <v>0.34722222222222227</v>
      </c>
      <c r="H230">
        <f>VLOOKUP(C230,UTCLookup!C$3:D$57,2,FALSE)</f>
        <v>1608094800</v>
      </c>
      <c r="I230" s="9">
        <f t="shared" si="14"/>
        <v>1608124800</v>
      </c>
      <c r="J230">
        <f t="shared" si="15"/>
        <v>24</v>
      </c>
      <c r="K230">
        <f t="shared" si="16"/>
        <v>18</v>
      </c>
      <c r="L230">
        <f t="shared" si="17"/>
        <v>24</v>
      </c>
    </row>
    <row r="231" spans="2:12" x14ac:dyDescent="0.25">
      <c r="B231">
        <v>15</v>
      </c>
      <c r="C231" s="1">
        <v>44182</v>
      </c>
      <c r="D231" t="s">
        <v>61</v>
      </c>
      <c r="E231" t="s">
        <v>80</v>
      </c>
      <c r="F231" t="s">
        <v>61</v>
      </c>
      <c r="G231" s="5">
        <v>0.34722222222222227</v>
      </c>
      <c r="H231">
        <f>VLOOKUP(C231,UTCLookup!C$3:D$57,2,FALSE)</f>
        <v>1608094800</v>
      </c>
      <c r="I231" s="9">
        <f t="shared" si="14"/>
        <v>1608124800</v>
      </c>
      <c r="J231">
        <f t="shared" si="15"/>
        <v>10</v>
      </c>
      <c r="K231">
        <f t="shared" si="16"/>
        <v>30</v>
      </c>
      <c r="L231">
        <f t="shared" si="17"/>
        <v>10</v>
      </c>
    </row>
    <row r="232" spans="2:12" x14ac:dyDescent="0.25">
      <c r="B232">
        <v>15</v>
      </c>
      <c r="C232" s="1">
        <v>44185</v>
      </c>
      <c r="D232" t="s">
        <v>72</v>
      </c>
      <c r="E232" t="s">
        <v>53</v>
      </c>
      <c r="F232" t="s">
        <v>72</v>
      </c>
      <c r="G232">
        <v>1</v>
      </c>
      <c r="H232">
        <f>VLOOKUP(C232,UTCLookup!C$3:D$57,2,FALSE)</f>
        <v>1608354000</v>
      </c>
      <c r="I232" s="9">
        <f t="shared" si="14"/>
        <v>1608440400</v>
      </c>
      <c r="J232">
        <f t="shared" si="15"/>
        <v>29</v>
      </c>
      <c r="K232">
        <f t="shared" si="16"/>
        <v>1</v>
      </c>
      <c r="L232">
        <f t="shared" si="17"/>
        <v>29</v>
      </c>
    </row>
    <row r="233" spans="2:12" x14ac:dyDescent="0.25">
      <c r="B233">
        <v>15</v>
      </c>
      <c r="C233" s="1">
        <v>44185</v>
      </c>
      <c r="D233" t="s">
        <v>63</v>
      </c>
      <c r="E233" t="s">
        <v>55</v>
      </c>
      <c r="F233" t="s">
        <v>63</v>
      </c>
      <c r="G233">
        <v>1</v>
      </c>
      <c r="H233">
        <f>VLOOKUP(C233,UTCLookup!C$3:D$57,2,FALSE)</f>
        <v>1608354000</v>
      </c>
      <c r="I233" s="9">
        <f t="shared" si="14"/>
        <v>1608440400</v>
      </c>
      <c r="J233">
        <f t="shared" si="15"/>
        <v>14</v>
      </c>
      <c r="K233">
        <f t="shared" si="16"/>
        <v>2</v>
      </c>
      <c r="L233">
        <f t="shared" si="17"/>
        <v>14</v>
      </c>
    </row>
    <row r="234" spans="2:12" x14ac:dyDescent="0.25">
      <c r="B234">
        <v>15</v>
      </c>
      <c r="C234" s="1">
        <v>44185</v>
      </c>
      <c r="D234" t="s">
        <v>67</v>
      </c>
      <c r="E234" t="s">
        <v>66</v>
      </c>
      <c r="F234" t="s">
        <v>67</v>
      </c>
      <c r="G234">
        <v>1</v>
      </c>
      <c r="H234">
        <f>VLOOKUP(C234,UTCLookup!C$3:D$57,2,FALSE)</f>
        <v>1608354000</v>
      </c>
      <c r="I234" s="9">
        <f t="shared" si="14"/>
        <v>1608440400</v>
      </c>
      <c r="J234">
        <f t="shared" si="15"/>
        <v>21</v>
      </c>
      <c r="K234">
        <f t="shared" si="16"/>
        <v>19</v>
      </c>
      <c r="L234">
        <f t="shared" si="17"/>
        <v>21</v>
      </c>
    </row>
    <row r="235" spans="2:12" x14ac:dyDescent="0.25">
      <c r="B235">
        <v>15</v>
      </c>
      <c r="C235" s="1">
        <v>44185</v>
      </c>
      <c r="D235" t="s">
        <v>60</v>
      </c>
      <c r="E235" t="s">
        <v>65</v>
      </c>
      <c r="F235" t="s">
        <v>60</v>
      </c>
      <c r="G235">
        <v>1</v>
      </c>
      <c r="H235">
        <f>VLOOKUP(C235,UTCLookup!C$3:D$57,2,FALSE)</f>
        <v>1608354000</v>
      </c>
      <c r="I235" s="9">
        <f t="shared" si="14"/>
        <v>1608440400</v>
      </c>
      <c r="J235">
        <f t="shared" si="15"/>
        <v>5</v>
      </c>
      <c r="K235">
        <f t="shared" si="16"/>
        <v>20</v>
      </c>
      <c r="L235">
        <f t="shared" si="17"/>
        <v>5</v>
      </c>
    </row>
    <row r="236" spans="2:12" x14ac:dyDescent="0.25">
      <c r="B236">
        <v>15</v>
      </c>
      <c r="C236" s="1">
        <v>44185</v>
      </c>
      <c r="D236" t="s">
        <v>54</v>
      </c>
      <c r="E236" t="s">
        <v>79</v>
      </c>
      <c r="F236" t="s">
        <v>54</v>
      </c>
      <c r="G236">
        <v>1</v>
      </c>
      <c r="H236">
        <f>VLOOKUP(C236,UTCLookup!C$3:D$57,2,FALSE)</f>
        <v>1608354000</v>
      </c>
      <c r="I236" s="9">
        <f t="shared" si="14"/>
        <v>1608440400</v>
      </c>
      <c r="J236">
        <f t="shared" si="15"/>
        <v>7</v>
      </c>
      <c r="K236">
        <f t="shared" si="16"/>
        <v>23</v>
      </c>
      <c r="L236">
        <f t="shared" si="17"/>
        <v>7</v>
      </c>
    </row>
    <row r="237" spans="2:12" x14ac:dyDescent="0.25">
      <c r="B237">
        <v>15</v>
      </c>
      <c r="C237" s="1">
        <v>44185</v>
      </c>
      <c r="D237" t="s">
        <v>52</v>
      </c>
      <c r="E237" t="s">
        <v>69</v>
      </c>
      <c r="F237" t="s">
        <v>52</v>
      </c>
      <c r="G237">
        <v>1</v>
      </c>
      <c r="H237">
        <f>VLOOKUP(C237,UTCLookup!C$3:D$57,2,FALSE)</f>
        <v>1608354000</v>
      </c>
      <c r="I237" s="9">
        <f t="shared" si="14"/>
        <v>1608440400</v>
      </c>
      <c r="J237">
        <f t="shared" si="15"/>
        <v>28</v>
      </c>
      <c r="K237">
        <f t="shared" si="16"/>
        <v>31</v>
      </c>
      <c r="L237">
        <f t="shared" si="17"/>
        <v>28</v>
      </c>
    </row>
    <row r="238" spans="2:12" x14ac:dyDescent="0.25">
      <c r="B238">
        <v>15</v>
      </c>
      <c r="C238" s="1">
        <v>44185</v>
      </c>
      <c r="D238" t="s">
        <v>68</v>
      </c>
      <c r="E238" t="s">
        <v>74</v>
      </c>
      <c r="F238" t="s">
        <v>68</v>
      </c>
      <c r="G238" s="5">
        <v>0.17013888888888887</v>
      </c>
      <c r="H238">
        <f>VLOOKUP(C238,UTCLookup!C$3:D$57,2,FALSE)</f>
        <v>1608354000</v>
      </c>
      <c r="I238" s="9">
        <f t="shared" si="14"/>
        <v>1608368700</v>
      </c>
      <c r="J238">
        <f t="shared" si="15"/>
        <v>25</v>
      </c>
      <c r="K238">
        <f t="shared" si="16"/>
        <v>0</v>
      </c>
      <c r="L238">
        <f t="shared" si="17"/>
        <v>25</v>
      </c>
    </row>
    <row r="239" spans="2:12" x14ac:dyDescent="0.25">
      <c r="B239">
        <v>15</v>
      </c>
      <c r="C239" s="1">
        <v>44185</v>
      </c>
      <c r="D239" t="s">
        <v>51</v>
      </c>
      <c r="E239" t="s">
        <v>73</v>
      </c>
      <c r="F239" t="s">
        <v>51</v>
      </c>
      <c r="G239" s="5">
        <v>0.18402777777777779</v>
      </c>
      <c r="H239">
        <f>VLOOKUP(C239,UTCLookup!C$3:D$57,2,FALSE)</f>
        <v>1608354000</v>
      </c>
      <c r="I239" s="9">
        <f t="shared" si="14"/>
        <v>1608369900</v>
      </c>
      <c r="J239">
        <f t="shared" si="15"/>
        <v>15</v>
      </c>
      <c r="K239">
        <f t="shared" si="16"/>
        <v>22</v>
      </c>
      <c r="L239">
        <f t="shared" si="17"/>
        <v>15</v>
      </c>
    </row>
    <row r="240" spans="2:12" x14ac:dyDescent="0.25">
      <c r="B240">
        <v>15</v>
      </c>
      <c r="C240" s="1">
        <v>44185</v>
      </c>
      <c r="D240" t="s">
        <v>75</v>
      </c>
      <c r="E240" t="s">
        <v>76</v>
      </c>
      <c r="F240" t="s">
        <v>75</v>
      </c>
      <c r="G240" s="5">
        <v>0.34722222222222227</v>
      </c>
      <c r="H240">
        <f>VLOOKUP(C240,UTCLookup!C$3:D$57,2,FALSE)</f>
        <v>1608354000</v>
      </c>
      <c r="I240" s="9">
        <f t="shared" si="14"/>
        <v>1608384000</v>
      </c>
      <c r="J240">
        <f t="shared" si="15"/>
        <v>27</v>
      </c>
      <c r="K240">
        <f t="shared" si="16"/>
        <v>8</v>
      </c>
      <c r="L240">
        <f t="shared" si="17"/>
        <v>27</v>
      </c>
    </row>
    <row r="241" spans="2:20" x14ac:dyDescent="0.25">
      <c r="B241">
        <v>15</v>
      </c>
      <c r="C241" s="1">
        <v>44186</v>
      </c>
      <c r="D241" t="s">
        <v>78</v>
      </c>
      <c r="E241" t="s">
        <v>71</v>
      </c>
      <c r="F241" t="s">
        <v>78</v>
      </c>
      <c r="G241" s="5">
        <v>0.34375</v>
      </c>
      <c r="H241">
        <f>VLOOKUP(C241,UTCLookup!C$3:D$57,2,FALSE)</f>
        <v>1608440400</v>
      </c>
      <c r="I241" s="9">
        <f t="shared" si="14"/>
        <v>1608470100</v>
      </c>
      <c r="J241">
        <f t="shared" si="15"/>
        <v>26</v>
      </c>
      <c r="K241">
        <f t="shared" si="16"/>
        <v>6</v>
      </c>
      <c r="L241">
        <f t="shared" si="17"/>
        <v>26</v>
      </c>
    </row>
    <row r="242" spans="2:20" x14ac:dyDescent="0.25">
      <c r="B242">
        <v>16</v>
      </c>
      <c r="C242" s="1" t="s">
        <v>14</v>
      </c>
      <c r="I242" s="9"/>
      <c r="J242" t="e">
        <f t="shared" si="15"/>
        <v>#N/A</v>
      </c>
      <c r="K242" t="e">
        <f t="shared" si="16"/>
        <v>#N/A</v>
      </c>
      <c r="L242" t="e">
        <f t="shared" si="17"/>
        <v>#N/A</v>
      </c>
    </row>
    <row r="243" spans="2:20" x14ac:dyDescent="0.25">
      <c r="B243">
        <v>16</v>
      </c>
      <c r="C243" s="1">
        <v>44190</v>
      </c>
      <c r="D243" t="s">
        <v>65</v>
      </c>
      <c r="E243" t="s">
        <v>73</v>
      </c>
      <c r="F243" t="s">
        <v>65</v>
      </c>
      <c r="G243" s="5">
        <v>0.1875</v>
      </c>
      <c r="H243">
        <f>VLOOKUP(C243,UTCLookup!C$3:D$57,2,FALSE)</f>
        <v>1608786000</v>
      </c>
      <c r="I243" s="9">
        <f>H243+G243*86400</f>
        <v>1608802200</v>
      </c>
      <c r="J243">
        <f t="shared" si="15"/>
        <v>20</v>
      </c>
      <c r="K243">
        <f t="shared" si="16"/>
        <v>22</v>
      </c>
      <c r="L243">
        <f t="shared" si="17"/>
        <v>20</v>
      </c>
    </row>
    <row r="244" spans="2:20" x14ac:dyDescent="0.25">
      <c r="B244">
        <v>16</v>
      </c>
      <c r="C244" s="1">
        <v>44190</v>
      </c>
      <c r="D244" t="s">
        <v>75</v>
      </c>
      <c r="E244" t="s">
        <v>74</v>
      </c>
      <c r="F244" t="s">
        <v>75</v>
      </c>
      <c r="G244" s="5">
        <v>0.1875</v>
      </c>
      <c r="H244">
        <f>VLOOKUP(C244,UTCLookup!C$3:D$57,2,FALSE)</f>
        <v>1608786000</v>
      </c>
      <c r="I244" s="9">
        <f t="shared" si="14"/>
        <v>1608802200</v>
      </c>
      <c r="J244">
        <f t="shared" si="15"/>
        <v>27</v>
      </c>
      <c r="K244">
        <f t="shared" si="16"/>
        <v>0</v>
      </c>
      <c r="L244">
        <f t="shared" si="17"/>
        <v>27</v>
      </c>
    </row>
    <row r="245" spans="2:20" x14ac:dyDescent="0.25">
      <c r="B245">
        <v>16</v>
      </c>
      <c r="C245" s="1">
        <v>44190</v>
      </c>
      <c r="D245" t="s">
        <v>72</v>
      </c>
      <c r="E245" t="s">
        <v>61</v>
      </c>
      <c r="F245" t="s">
        <v>72</v>
      </c>
      <c r="G245" s="5">
        <v>0.1875</v>
      </c>
      <c r="H245">
        <f>VLOOKUP(C245,UTCLookup!C$3:D$57,2,FALSE)</f>
        <v>1608786000</v>
      </c>
      <c r="I245" s="9">
        <f t="shared" si="14"/>
        <v>1608802200</v>
      </c>
      <c r="J245">
        <f t="shared" si="15"/>
        <v>29</v>
      </c>
      <c r="K245">
        <f t="shared" si="16"/>
        <v>10</v>
      </c>
      <c r="L245">
        <f t="shared" si="17"/>
        <v>29</v>
      </c>
    </row>
    <row r="246" spans="2:20" x14ac:dyDescent="0.25">
      <c r="B246">
        <v>16</v>
      </c>
      <c r="C246" s="1">
        <v>44190</v>
      </c>
      <c r="D246" t="s">
        <v>66</v>
      </c>
      <c r="E246" t="s">
        <v>58</v>
      </c>
      <c r="F246" t="s">
        <v>66</v>
      </c>
      <c r="G246" s="5">
        <v>0.1875</v>
      </c>
      <c r="H246">
        <f>VLOOKUP(C246,UTCLookup!C$3:D$57,2,FALSE)</f>
        <v>1608786000</v>
      </c>
      <c r="I246" s="9">
        <f t="shared" si="14"/>
        <v>1608802200</v>
      </c>
      <c r="J246">
        <f t="shared" si="15"/>
        <v>19</v>
      </c>
      <c r="K246">
        <f t="shared" si="16"/>
        <v>16</v>
      </c>
      <c r="L246">
        <f t="shared" si="17"/>
        <v>19</v>
      </c>
    </row>
    <row r="247" spans="2:20" x14ac:dyDescent="0.25">
      <c r="B247">
        <v>16</v>
      </c>
      <c r="C247" s="1">
        <v>44190</v>
      </c>
      <c r="D247" t="s">
        <v>81</v>
      </c>
      <c r="E247" t="s">
        <v>70</v>
      </c>
      <c r="F247" t="s">
        <v>81</v>
      </c>
      <c r="G247" s="5">
        <v>0.1875</v>
      </c>
      <c r="H247">
        <f>VLOOKUP(C247,UTCLookup!C$3:D$57,2,FALSE)</f>
        <v>1608786000</v>
      </c>
      <c r="I247" s="9">
        <f t="shared" si="14"/>
        <v>1608802200</v>
      </c>
      <c r="J247">
        <f t="shared" si="15"/>
        <v>9</v>
      </c>
      <c r="K247">
        <f t="shared" si="16"/>
        <v>17</v>
      </c>
      <c r="L247">
        <f t="shared" si="17"/>
        <v>9</v>
      </c>
    </row>
    <row r="248" spans="2:20" x14ac:dyDescent="0.25">
      <c r="B248">
        <v>16</v>
      </c>
      <c r="C248" s="1">
        <v>44190</v>
      </c>
      <c r="D248" t="s">
        <v>54</v>
      </c>
      <c r="E248" t="s">
        <v>56</v>
      </c>
      <c r="F248" t="s">
        <v>54</v>
      </c>
      <c r="G248" s="5">
        <v>0.1875</v>
      </c>
      <c r="H248">
        <f>VLOOKUP(C248,UTCLookup!C$3:D$57,2,FALSE)</f>
        <v>1608786000</v>
      </c>
      <c r="I248" s="9">
        <f t="shared" si="14"/>
        <v>1608802200</v>
      </c>
      <c r="J248">
        <f t="shared" si="15"/>
        <v>7</v>
      </c>
      <c r="K248">
        <f t="shared" si="16"/>
        <v>24</v>
      </c>
      <c r="L248">
        <f t="shared" si="17"/>
        <v>7</v>
      </c>
    </row>
    <row r="249" spans="2:20" x14ac:dyDescent="0.25">
      <c r="B249">
        <v>16</v>
      </c>
      <c r="C249" s="1">
        <v>44192</v>
      </c>
      <c r="D249" t="s">
        <v>79</v>
      </c>
      <c r="E249" t="s">
        <v>55</v>
      </c>
      <c r="F249" t="s">
        <v>79</v>
      </c>
      <c r="G249">
        <v>1</v>
      </c>
      <c r="H249">
        <f>VLOOKUP(C249,UTCLookup!C$3:D$57,2,FALSE)</f>
        <v>1608958800</v>
      </c>
      <c r="I249" s="9">
        <f t="shared" si="14"/>
        <v>1609045200</v>
      </c>
      <c r="J249">
        <f t="shared" si="15"/>
        <v>23</v>
      </c>
      <c r="K249">
        <f t="shared" si="16"/>
        <v>2</v>
      </c>
      <c r="L249">
        <f t="shared" si="17"/>
        <v>23</v>
      </c>
    </row>
    <row r="250" spans="2:20" x14ac:dyDescent="0.25">
      <c r="B250">
        <v>16</v>
      </c>
      <c r="C250" s="1">
        <v>44192</v>
      </c>
      <c r="D250" t="s">
        <v>71</v>
      </c>
      <c r="E250" t="s">
        <v>50</v>
      </c>
      <c r="F250" t="s">
        <v>71</v>
      </c>
      <c r="G250">
        <v>1</v>
      </c>
      <c r="H250">
        <f>VLOOKUP(C250,UTCLookup!C$3:D$57,2,FALSE)</f>
        <v>1608958800</v>
      </c>
      <c r="I250" s="9">
        <f t="shared" si="14"/>
        <v>1609045200</v>
      </c>
      <c r="J250">
        <f t="shared" si="15"/>
        <v>6</v>
      </c>
      <c r="K250">
        <f t="shared" si="16"/>
        <v>12</v>
      </c>
      <c r="L250">
        <f t="shared" si="17"/>
        <v>6</v>
      </c>
    </row>
    <row r="251" spans="2:20" x14ac:dyDescent="0.25">
      <c r="B251">
        <v>16</v>
      </c>
      <c r="C251" s="1">
        <v>44192</v>
      </c>
      <c r="D251" t="s">
        <v>60</v>
      </c>
      <c r="E251" t="s">
        <v>63</v>
      </c>
      <c r="F251" t="s">
        <v>60</v>
      </c>
      <c r="G251">
        <v>1</v>
      </c>
      <c r="H251">
        <f>VLOOKUP(C251,UTCLookup!C$3:D$57,2,FALSE)</f>
        <v>1608958800</v>
      </c>
      <c r="I251" s="9">
        <f t="shared" si="14"/>
        <v>1609045200</v>
      </c>
      <c r="J251">
        <f t="shared" si="15"/>
        <v>5</v>
      </c>
      <c r="K251">
        <f t="shared" si="16"/>
        <v>14</v>
      </c>
      <c r="L251">
        <f t="shared" si="17"/>
        <v>5</v>
      </c>
    </row>
    <row r="252" spans="2:20" x14ac:dyDescent="0.25">
      <c r="B252">
        <v>16</v>
      </c>
      <c r="C252" s="1">
        <v>44192</v>
      </c>
      <c r="D252" t="s">
        <v>53</v>
      </c>
      <c r="E252" t="s">
        <v>51</v>
      </c>
      <c r="F252" t="s">
        <v>53</v>
      </c>
      <c r="G252">
        <v>1</v>
      </c>
      <c r="H252">
        <f>VLOOKUP(C252,UTCLookup!C$3:D$57,2,FALSE)</f>
        <v>1608958800</v>
      </c>
      <c r="I252" s="9">
        <f t="shared" si="14"/>
        <v>1609045200</v>
      </c>
      <c r="J252">
        <f t="shared" si="15"/>
        <v>1</v>
      </c>
      <c r="K252">
        <f t="shared" si="16"/>
        <v>15</v>
      </c>
      <c r="L252">
        <f t="shared" si="17"/>
        <v>1</v>
      </c>
    </row>
    <row r="253" spans="2:20" x14ac:dyDescent="0.25">
      <c r="B253">
        <v>16</v>
      </c>
      <c r="C253" s="1">
        <v>44192</v>
      </c>
      <c r="D253" t="s">
        <v>62</v>
      </c>
      <c r="E253" t="s">
        <v>78</v>
      </c>
      <c r="F253" t="s">
        <v>62</v>
      </c>
      <c r="G253">
        <v>1</v>
      </c>
      <c r="H253">
        <f>VLOOKUP(C253,UTCLookup!C$3:D$57,2,FALSE)</f>
        <v>1608958800</v>
      </c>
      <c r="I253" s="9">
        <f t="shared" si="14"/>
        <v>1609045200</v>
      </c>
      <c r="J253">
        <f t="shared" si="15"/>
        <v>13</v>
      </c>
      <c r="K253">
        <f t="shared" si="16"/>
        <v>26</v>
      </c>
      <c r="L253">
        <f t="shared" si="17"/>
        <v>13</v>
      </c>
      <c r="T253" s="9"/>
    </row>
    <row r="254" spans="2:20" x14ac:dyDescent="0.25">
      <c r="B254">
        <v>16</v>
      </c>
      <c r="C254" s="1">
        <v>44192</v>
      </c>
      <c r="D254" t="s">
        <v>59</v>
      </c>
      <c r="E254" t="s">
        <v>69</v>
      </c>
      <c r="F254" t="s">
        <v>59</v>
      </c>
      <c r="G254">
        <v>1</v>
      </c>
      <c r="H254">
        <f>VLOOKUP(C254,UTCLookup!C$3:D$57,2,FALSE)</f>
        <v>1608958800</v>
      </c>
      <c r="I254" s="9">
        <f t="shared" si="14"/>
        <v>1609045200</v>
      </c>
      <c r="J254">
        <f t="shared" si="15"/>
        <v>4</v>
      </c>
      <c r="K254">
        <f t="shared" si="16"/>
        <v>31</v>
      </c>
      <c r="L254">
        <f t="shared" si="17"/>
        <v>4</v>
      </c>
      <c r="T254" s="9"/>
    </row>
    <row r="255" spans="2:20" x14ac:dyDescent="0.25">
      <c r="B255">
        <v>16</v>
      </c>
      <c r="C255" s="1">
        <v>44192</v>
      </c>
      <c r="D255" t="s">
        <v>77</v>
      </c>
      <c r="E255" t="s">
        <v>52</v>
      </c>
      <c r="F255" t="s">
        <v>77</v>
      </c>
      <c r="G255" s="5">
        <v>0.17013888888888887</v>
      </c>
      <c r="H255">
        <f>VLOOKUP(C255,UTCLookup!C$3:D$57,2,FALSE)</f>
        <v>1608958800</v>
      </c>
      <c r="I255" s="9">
        <f t="shared" si="14"/>
        <v>1608973500</v>
      </c>
      <c r="J255">
        <f t="shared" si="15"/>
        <v>18</v>
      </c>
      <c r="K255">
        <f t="shared" si="16"/>
        <v>28</v>
      </c>
      <c r="L255">
        <f t="shared" si="17"/>
        <v>18</v>
      </c>
    </row>
    <row r="256" spans="2:20" x14ac:dyDescent="0.25">
      <c r="B256">
        <v>16</v>
      </c>
      <c r="C256" s="1">
        <v>44192</v>
      </c>
      <c r="D256" t="s">
        <v>68</v>
      </c>
      <c r="E256" t="s">
        <v>76</v>
      </c>
      <c r="F256" t="s">
        <v>68</v>
      </c>
      <c r="G256" s="5">
        <v>0.18402777777777779</v>
      </c>
      <c r="H256">
        <f>VLOOKUP(C256,UTCLookup!C$3:D$57,2,FALSE)</f>
        <v>1608958800</v>
      </c>
      <c r="I256" s="9">
        <f t="shared" si="14"/>
        <v>1608974700</v>
      </c>
      <c r="J256">
        <f t="shared" si="15"/>
        <v>25</v>
      </c>
      <c r="K256">
        <f t="shared" si="16"/>
        <v>8</v>
      </c>
      <c r="L256">
        <f t="shared" si="17"/>
        <v>25</v>
      </c>
    </row>
    <row r="257" spans="2:22" x14ac:dyDescent="0.25">
      <c r="B257">
        <v>16</v>
      </c>
      <c r="C257" s="1">
        <v>44192</v>
      </c>
      <c r="D257" t="s">
        <v>80</v>
      </c>
      <c r="E257" t="s">
        <v>64</v>
      </c>
      <c r="F257" t="s">
        <v>80</v>
      </c>
      <c r="G257" s="5">
        <v>0.34722222222222227</v>
      </c>
      <c r="H257">
        <f>VLOOKUP(C257,UTCLookup!C$3:D$57,2,FALSE)</f>
        <v>1608958800</v>
      </c>
      <c r="I257" s="9">
        <f t="shared" si="14"/>
        <v>1608988800</v>
      </c>
      <c r="J257">
        <f t="shared" si="15"/>
        <v>30</v>
      </c>
      <c r="K257">
        <f t="shared" si="16"/>
        <v>11</v>
      </c>
      <c r="L257">
        <f t="shared" si="17"/>
        <v>30</v>
      </c>
    </row>
    <row r="258" spans="2:22" x14ac:dyDescent="0.25">
      <c r="B258">
        <v>16</v>
      </c>
      <c r="C258" s="1">
        <v>44193</v>
      </c>
      <c r="D258" t="s">
        <v>57</v>
      </c>
      <c r="E258" t="s">
        <v>67</v>
      </c>
      <c r="F258" t="s">
        <v>57</v>
      </c>
      <c r="G258" s="5">
        <v>0.34375</v>
      </c>
      <c r="H258">
        <f>VLOOKUP(C258,UTCLookup!C$3:D$57,2,FALSE)</f>
        <v>1609045200</v>
      </c>
      <c r="I258" s="9">
        <f t="shared" si="14"/>
        <v>1609074900</v>
      </c>
      <c r="J258">
        <f t="shared" si="15"/>
        <v>3</v>
      </c>
      <c r="K258">
        <f t="shared" si="16"/>
        <v>21</v>
      </c>
      <c r="L258">
        <f t="shared" si="17"/>
        <v>3</v>
      </c>
      <c r="T258" s="9"/>
      <c r="V258" s="16"/>
    </row>
    <row r="259" spans="2:22" x14ac:dyDescent="0.25">
      <c r="B259">
        <v>17</v>
      </c>
      <c r="C259" s="1" t="s">
        <v>15</v>
      </c>
      <c r="I259" s="9"/>
      <c r="J259" t="e">
        <f t="shared" si="15"/>
        <v>#N/A</v>
      </c>
      <c r="K259" t="e">
        <f t="shared" si="16"/>
        <v>#N/A</v>
      </c>
      <c r="L259" t="e">
        <f t="shared" si="17"/>
        <v>#N/A</v>
      </c>
      <c r="T259" s="9"/>
      <c r="V259" s="16"/>
    </row>
    <row r="260" spans="2:22" x14ac:dyDescent="0.25">
      <c r="B260">
        <v>17</v>
      </c>
      <c r="C260" s="1">
        <v>44199</v>
      </c>
      <c r="D260" t="s">
        <v>66</v>
      </c>
      <c r="E260" t="s">
        <v>57</v>
      </c>
      <c r="F260" t="s">
        <v>66</v>
      </c>
      <c r="G260">
        <v>1</v>
      </c>
      <c r="H260">
        <f>VLOOKUP(C260,UTCLookup!C$3:D$57,2,FALSE)</f>
        <v>1609563600</v>
      </c>
      <c r="I260" s="9">
        <f t="shared" si="14"/>
        <v>1609650000</v>
      </c>
      <c r="J260">
        <f t="shared" si="15"/>
        <v>19</v>
      </c>
      <c r="K260">
        <f t="shared" si="16"/>
        <v>3</v>
      </c>
      <c r="L260">
        <f t="shared" si="17"/>
        <v>19</v>
      </c>
    </row>
    <row r="261" spans="2:22" x14ac:dyDescent="0.25">
      <c r="B261">
        <v>17</v>
      </c>
      <c r="C261" s="1">
        <v>44199</v>
      </c>
      <c r="D261" t="s">
        <v>73</v>
      </c>
      <c r="E261" t="s">
        <v>59</v>
      </c>
      <c r="F261" t="s">
        <v>73</v>
      </c>
      <c r="G261">
        <v>1</v>
      </c>
      <c r="H261">
        <f>VLOOKUP(C261,UTCLookup!C$3:D$57,2,FALSE)</f>
        <v>1609563600</v>
      </c>
      <c r="I261" s="9">
        <f t="shared" ref="I261:I289" si="18">H261+G261*86400</f>
        <v>1609650000</v>
      </c>
      <c r="J261">
        <f t="shared" ref="J261:J289" si="19">VLOOKUP(D261,$O$4:$P$35,2,FALSE)</f>
        <v>22</v>
      </c>
      <c r="K261">
        <f t="shared" ref="K261:K289" si="20">VLOOKUP(E261,$O$4:$P$35,2,FALSE)</f>
        <v>4</v>
      </c>
      <c r="L261">
        <f t="shared" ref="L261:L289" si="21">VLOOKUP(F261,$O$4:$P$35,2,FALSE)</f>
        <v>22</v>
      </c>
    </row>
    <row r="262" spans="2:22" x14ac:dyDescent="0.25">
      <c r="B262">
        <v>17</v>
      </c>
      <c r="C262" s="1">
        <v>44199</v>
      </c>
      <c r="D262" t="s">
        <v>64</v>
      </c>
      <c r="E262" t="s">
        <v>60</v>
      </c>
      <c r="F262" t="s">
        <v>64</v>
      </c>
      <c r="G262">
        <v>1</v>
      </c>
      <c r="H262">
        <f>VLOOKUP(C262,UTCLookup!C$3:D$57,2,FALSE)</f>
        <v>1609563600</v>
      </c>
      <c r="I262" s="9">
        <f t="shared" si="18"/>
        <v>1609650000</v>
      </c>
      <c r="J262">
        <f t="shared" si="19"/>
        <v>11</v>
      </c>
      <c r="K262">
        <f t="shared" si="20"/>
        <v>5</v>
      </c>
      <c r="L262">
        <f t="shared" si="21"/>
        <v>11</v>
      </c>
    </row>
    <row r="263" spans="2:22" x14ac:dyDescent="0.25">
      <c r="B263">
        <v>17</v>
      </c>
      <c r="C263" s="1">
        <v>44199</v>
      </c>
      <c r="D263" t="s">
        <v>55</v>
      </c>
      <c r="E263" t="s">
        <v>71</v>
      </c>
      <c r="F263" t="s">
        <v>55</v>
      </c>
      <c r="G263">
        <v>1</v>
      </c>
      <c r="H263">
        <f>VLOOKUP(C263,UTCLookup!C$3:D$57,2,FALSE)</f>
        <v>1609563600</v>
      </c>
      <c r="I263" s="9">
        <f t="shared" si="18"/>
        <v>1609650000</v>
      </c>
      <c r="J263">
        <f t="shared" si="19"/>
        <v>2</v>
      </c>
      <c r="K263">
        <f t="shared" si="20"/>
        <v>6</v>
      </c>
      <c r="L263">
        <f t="shared" si="21"/>
        <v>2</v>
      </c>
    </row>
    <row r="264" spans="2:22" x14ac:dyDescent="0.25">
      <c r="B264">
        <v>17</v>
      </c>
      <c r="C264" s="1">
        <v>44199</v>
      </c>
      <c r="D264" t="s">
        <v>78</v>
      </c>
      <c r="E264" t="s">
        <v>54</v>
      </c>
      <c r="F264" t="s">
        <v>78</v>
      </c>
      <c r="G264">
        <v>1</v>
      </c>
      <c r="H264">
        <f>VLOOKUP(C264,UTCLookup!C$3:D$57,2,FALSE)</f>
        <v>1609563600</v>
      </c>
      <c r="I264" s="9">
        <f t="shared" si="18"/>
        <v>1609650000</v>
      </c>
      <c r="J264">
        <f t="shared" si="19"/>
        <v>26</v>
      </c>
      <c r="K264">
        <f t="shared" si="20"/>
        <v>7</v>
      </c>
      <c r="L264">
        <f t="shared" si="21"/>
        <v>26</v>
      </c>
      <c r="N264" s="9"/>
    </row>
    <row r="265" spans="2:22" x14ac:dyDescent="0.25">
      <c r="B265">
        <v>17</v>
      </c>
      <c r="C265" s="1">
        <v>44199</v>
      </c>
      <c r="D265" t="s">
        <v>65</v>
      </c>
      <c r="E265" t="s">
        <v>61</v>
      </c>
      <c r="F265" t="s">
        <v>65</v>
      </c>
      <c r="G265">
        <v>1</v>
      </c>
      <c r="H265">
        <f>VLOOKUP(C265,UTCLookup!C$3:D$57,2,FALSE)</f>
        <v>1609563600</v>
      </c>
      <c r="I265" s="9">
        <f t="shared" si="18"/>
        <v>1609650000</v>
      </c>
      <c r="J265">
        <f t="shared" si="19"/>
        <v>20</v>
      </c>
      <c r="K265">
        <f t="shared" si="20"/>
        <v>10</v>
      </c>
      <c r="L265">
        <f t="shared" si="21"/>
        <v>20</v>
      </c>
    </row>
    <row r="266" spans="2:22" x14ac:dyDescent="0.25">
      <c r="B266">
        <v>17</v>
      </c>
      <c r="C266" s="1">
        <v>44199</v>
      </c>
      <c r="D266" t="s">
        <v>80</v>
      </c>
      <c r="E266" t="s">
        <v>50</v>
      </c>
      <c r="F266" t="s">
        <v>80</v>
      </c>
      <c r="G266">
        <v>1</v>
      </c>
      <c r="H266">
        <f>VLOOKUP(C266,UTCLookup!C$3:D$57,2,FALSE)</f>
        <v>1609563600</v>
      </c>
      <c r="I266" s="9">
        <f t="shared" si="18"/>
        <v>1609650000</v>
      </c>
      <c r="J266">
        <f t="shared" si="19"/>
        <v>30</v>
      </c>
      <c r="K266">
        <f t="shared" si="20"/>
        <v>12</v>
      </c>
      <c r="L266">
        <f t="shared" si="21"/>
        <v>30</v>
      </c>
    </row>
    <row r="267" spans="2:22" x14ac:dyDescent="0.25">
      <c r="B267">
        <v>17</v>
      </c>
      <c r="C267" s="1">
        <v>44199</v>
      </c>
      <c r="D267" t="s">
        <v>63</v>
      </c>
      <c r="E267" t="s">
        <v>62</v>
      </c>
      <c r="F267" t="s">
        <v>63</v>
      </c>
      <c r="G267">
        <v>1</v>
      </c>
      <c r="H267">
        <f>VLOOKUP(C267,UTCLookup!C$3:D$57,2,FALSE)</f>
        <v>1609563600</v>
      </c>
      <c r="I267" s="9">
        <f t="shared" si="18"/>
        <v>1609650000</v>
      </c>
      <c r="J267">
        <f t="shared" si="19"/>
        <v>14</v>
      </c>
      <c r="K267">
        <f t="shared" si="20"/>
        <v>13</v>
      </c>
      <c r="L267">
        <f t="shared" si="21"/>
        <v>14</v>
      </c>
    </row>
    <row r="268" spans="2:22" x14ac:dyDescent="0.25">
      <c r="B268">
        <v>17</v>
      </c>
      <c r="C268" s="1">
        <v>44199</v>
      </c>
      <c r="D268" t="s">
        <v>70</v>
      </c>
      <c r="E268" t="s">
        <v>51</v>
      </c>
      <c r="F268" t="s">
        <v>70</v>
      </c>
      <c r="G268">
        <v>1</v>
      </c>
      <c r="H268">
        <f>VLOOKUP(C268,UTCLookup!C$3:D$57,2,FALSE)</f>
        <v>1609563600</v>
      </c>
      <c r="I268" s="9">
        <f t="shared" si="18"/>
        <v>1609650000</v>
      </c>
      <c r="J268">
        <f t="shared" si="19"/>
        <v>17</v>
      </c>
      <c r="K268">
        <f t="shared" si="20"/>
        <v>15</v>
      </c>
      <c r="L268">
        <f t="shared" si="21"/>
        <v>17</v>
      </c>
    </row>
    <row r="269" spans="2:22" x14ac:dyDescent="0.25">
      <c r="B269">
        <v>17</v>
      </c>
      <c r="C269" s="1">
        <v>44199</v>
      </c>
      <c r="D269" t="s">
        <v>56</v>
      </c>
      <c r="E269" t="s">
        <v>67</v>
      </c>
      <c r="F269" t="s">
        <v>56</v>
      </c>
      <c r="G269">
        <v>1</v>
      </c>
      <c r="H269">
        <f>VLOOKUP(C269,UTCLookup!C$3:D$57,2,FALSE)</f>
        <v>1609563600</v>
      </c>
      <c r="I269" s="9">
        <f t="shared" si="18"/>
        <v>1609650000</v>
      </c>
      <c r="J269">
        <f t="shared" si="19"/>
        <v>24</v>
      </c>
      <c r="K269">
        <f t="shared" si="20"/>
        <v>21</v>
      </c>
      <c r="L269">
        <f t="shared" si="21"/>
        <v>24</v>
      </c>
    </row>
    <row r="270" spans="2:22" x14ac:dyDescent="0.25">
      <c r="B270">
        <v>17</v>
      </c>
      <c r="C270" s="1">
        <v>44199</v>
      </c>
      <c r="D270" t="s">
        <v>76</v>
      </c>
      <c r="E270" t="s">
        <v>79</v>
      </c>
      <c r="F270" t="s">
        <v>76</v>
      </c>
      <c r="G270">
        <v>1</v>
      </c>
      <c r="H270">
        <f>VLOOKUP(C270,UTCLookup!C$3:D$57,2,FALSE)</f>
        <v>1609563600</v>
      </c>
      <c r="I270" s="9">
        <f t="shared" si="18"/>
        <v>1609650000</v>
      </c>
      <c r="J270">
        <f t="shared" si="19"/>
        <v>8</v>
      </c>
      <c r="K270">
        <f t="shared" si="20"/>
        <v>23</v>
      </c>
      <c r="L270">
        <f t="shared" si="21"/>
        <v>8</v>
      </c>
    </row>
    <row r="271" spans="2:22" x14ac:dyDescent="0.25">
      <c r="B271">
        <v>17</v>
      </c>
      <c r="C271" s="1">
        <v>44199</v>
      </c>
      <c r="D271" t="s">
        <v>69</v>
      </c>
      <c r="E271" t="s">
        <v>68</v>
      </c>
      <c r="F271" t="s">
        <v>69</v>
      </c>
      <c r="G271">
        <v>1</v>
      </c>
      <c r="H271">
        <f>VLOOKUP(C271,UTCLookup!C$3:D$57,2,FALSE)</f>
        <v>1609563600</v>
      </c>
      <c r="I271" s="9">
        <f t="shared" si="18"/>
        <v>1609650000</v>
      </c>
      <c r="J271">
        <f t="shared" si="19"/>
        <v>31</v>
      </c>
      <c r="K271">
        <f t="shared" si="20"/>
        <v>25</v>
      </c>
      <c r="L271">
        <f t="shared" si="21"/>
        <v>31</v>
      </c>
    </row>
    <row r="272" spans="2:22" x14ac:dyDescent="0.25">
      <c r="B272">
        <v>17</v>
      </c>
      <c r="C272" s="1">
        <v>44199</v>
      </c>
      <c r="D272" t="s">
        <v>53</v>
      </c>
      <c r="E272" t="s">
        <v>72</v>
      </c>
      <c r="F272" t="s">
        <v>53</v>
      </c>
      <c r="G272">
        <v>1</v>
      </c>
      <c r="H272">
        <f>VLOOKUP(C272,UTCLookup!C$3:D$57,2,FALSE)</f>
        <v>1609563600</v>
      </c>
      <c r="I272" s="9">
        <f t="shared" si="18"/>
        <v>1609650000</v>
      </c>
      <c r="J272">
        <f t="shared" si="19"/>
        <v>1</v>
      </c>
      <c r="K272">
        <f t="shared" si="20"/>
        <v>29</v>
      </c>
      <c r="L272">
        <f t="shared" si="21"/>
        <v>1</v>
      </c>
    </row>
    <row r="273" spans="2:14" x14ac:dyDescent="0.25">
      <c r="B273">
        <v>17</v>
      </c>
      <c r="C273" s="1">
        <v>44199</v>
      </c>
      <c r="D273" t="s">
        <v>58</v>
      </c>
      <c r="E273" t="s">
        <v>81</v>
      </c>
      <c r="F273" t="s">
        <v>58</v>
      </c>
      <c r="G273" s="5">
        <v>0.18402777777777779</v>
      </c>
      <c r="H273">
        <f>VLOOKUP(C273,UTCLookup!C$3:D$57,2,FALSE)</f>
        <v>1609563600</v>
      </c>
      <c r="I273" s="9">
        <f t="shared" si="18"/>
        <v>1609579500</v>
      </c>
      <c r="J273">
        <f t="shared" si="19"/>
        <v>16</v>
      </c>
      <c r="K273">
        <f t="shared" si="20"/>
        <v>9</v>
      </c>
      <c r="L273">
        <f t="shared" si="21"/>
        <v>16</v>
      </c>
    </row>
    <row r="274" spans="2:14" x14ac:dyDescent="0.25">
      <c r="B274">
        <v>17</v>
      </c>
      <c r="C274" s="1">
        <v>44199</v>
      </c>
      <c r="D274" t="s">
        <v>74</v>
      </c>
      <c r="E274" t="s">
        <v>77</v>
      </c>
      <c r="F274" t="s">
        <v>74</v>
      </c>
      <c r="G274" s="5">
        <v>0.18402777777777779</v>
      </c>
      <c r="H274">
        <f>VLOOKUP(C274,UTCLookup!C$3:D$57,2,FALSE)</f>
        <v>1609563600</v>
      </c>
      <c r="I274" s="9">
        <f t="shared" si="18"/>
        <v>1609579500</v>
      </c>
      <c r="J274">
        <f t="shared" si="19"/>
        <v>0</v>
      </c>
      <c r="K274">
        <f t="shared" si="20"/>
        <v>18</v>
      </c>
      <c r="L274">
        <f t="shared" si="21"/>
        <v>0</v>
      </c>
    </row>
    <row r="275" spans="2:14" x14ac:dyDescent="0.25">
      <c r="B275">
        <v>17</v>
      </c>
      <c r="C275" s="1">
        <v>44199</v>
      </c>
      <c r="D275" t="s">
        <v>52</v>
      </c>
      <c r="E275" t="s">
        <v>75</v>
      </c>
      <c r="F275" t="s">
        <v>52</v>
      </c>
      <c r="G275" s="5">
        <v>0.18402777777777779</v>
      </c>
      <c r="H275">
        <f>VLOOKUP(C275,UTCLookup!C$3:D$57,2,FALSE)</f>
        <v>1609563600</v>
      </c>
      <c r="I275" s="9">
        <f t="shared" si="18"/>
        <v>1609579500</v>
      </c>
      <c r="J275">
        <f t="shared" si="19"/>
        <v>28</v>
      </c>
      <c r="K275">
        <f t="shared" si="20"/>
        <v>27</v>
      </c>
      <c r="L275">
        <f t="shared" si="21"/>
        <v>28</v>
      </c>
    </row>
    <row r="276" spans="2:14" x14ac:dyDescent="0.25">
      <c r="I276" s="9"/>
      <c r="J276" t="e">
        <f t="shared" si="19"/>
        <v>#N/A</v>
      </c>
      <c r="K276" t="e">
        <f t="shared" si="20"/>
        <v>#N/A</v>
      </c>
      <c r="L276" t="e">
        <f t="shared" si="21"/>
        <v>#N/A</v>
      </c>
      <c r="M276" s="3"/>
      <c r="N276" s="3"/>
    </row>
    <row r="277" spans="2:14" x14ac:dyDescent="0.25">
      <c r="B277">
        <v>18</v>
      </c>
      <c r="C277" s="1">
        <v>44205</v>
      </c>
      <c r="H277">
        <f>VLOOKUP(C277,UTCLookup!C$3:D$57,2,FALSE)</f>
        <v>1610082000</v>
      </c>
      <c r="I277" s="9">
        <f t="shared" si="18"/>
        <v>1610082000</v>
      </c>
      <c r="J277" t="e">
        <f t="shared" si="19"/>
        <v>#N/A</v>
      </c>
      <c r="K277" t="e">
        <f t="shared" si="20"/>
        <v>#N/A</v>
      </c>
      <c r="L277" t="e">
        <f t="shared" si="21"/>
        <v>#N/A</v>
      </c>
    </row>
    <row r="278" spans="2:14" x14ac:dyDescent="0.25">
      <c r="B278">
        <v>18</v>
      </c>
      <c r="C278" s="1">
        <v>44205</v>
      </c>
      <c r="H278">
        <f>VLOOKUP(C278,UTCLookup!C$3:D$57,2,FALSE)</f>
        <v>1610082000</v>
      </c>
      <c r="I278" s="9">
        <f t="shared" si="18"/>
        <v>1610082000</v>
      </c>
      <c r="J278" t="e">
        <f t="shared" si="19"/>
        <v>#N/A</v>
      </c>
      <c r="K278" t="e">
        <f t="shared" si="20"/>
        <v>#N/A</v>
      </c>
      <c r="L278" t="e">
        <f t="shared" si="21"/>
        <v>#N/A</v>
      </c>
    </row>
    <row r="279" spans="2:14" x14ac:dyDescent="0.25">
      <c r="B279">
        <v>18</v>
      </c>
      <c r="C279" s="1">
        <v>44205</v>
      </c>
      <c r="H279">
        <f>VLOOKUP(C279,UTCLookup!C$3:D$57,2,FALSE)</f>
        <v>1610082000</v>
      </c>
      <c r="I279" s="9">
        <f t="shared" si="18"/>
        <v>1610082000</v>
      </c>
      <c r="J279" t="e">
        <f t="shared" si="19"/>
        <v>#N/A</v>
      </c>
      <c r="K279" t="e">
        <f t="shared" si="20"/>
        <v>#N/A</v>
      </c>
      <c r="L279" t="e">
        <f t="shared" si="21"/>
        <v>#N/A</v>
      </c>
    </row>
    <row r="280" spans="2:14" x14ac:dyDescent="0.25">
      <c r="B280">
        <v>18</v>
      </c>
      <c r="C280" s="1">
        <v>44206</v>
      </c>
      <c r="H280">
        <f>VLOOKUP(C280,UTCLookup!C$3:D$57,2,FALSE)</f>
        <v>1610168400</v>
      </c>
      <c r="I280" s="9">
        <f t="shared" si="18"/>
        <v>1610168400</v>
      </c>
      <c r="J280" t="e">
        <f t="shared" si="19"/>
        <v>#N/A</v>
      </c>
      <c r="K280" t="e">
        <f t="shared" si="20"/>
        <v>#N/A</v>
      </c>
      <c r="L280" t="e">
        <f t="shared" si="21"/>
        <v>#N/A</v>
      </c>
    </row>
    <row r="281" spans="2:14" x14ac:dyDescent="0.25">
      <c r="B281">
        <v>18</v>
      </c>
      <c r="C281" s="1">
        <v>44206</v>
      </c>
      <c r="H281">
        <f>VLOOKUP(C281,UTCLookup!C$3:D$57,2,FALSE)</f>
        <v>1610168400</v>
      </c>
      <c r="I281" s="9">
        <f t="shared" si="18"/>
        <v>1610168400</v>
      </c>
      <c r="J281" t="e">
        <f t="shared" si="19"/>
        <v>#N/A</v>
      </c>
      <c r="K281" t="e">
        <f t="shared" si="20"/>
        <v>#N/A</v>
      </c>
      <c r="L281" t="e">
        <f t="shared" si="21"/>
        <v>#N/A</v>
      </c>
    </row>
    <row r="282" spans="2:14" x14ac:dyDescent="0.25">
      <c r="B282">
        <v>18</v>
      </c>
      <c r="C282" s="1">
        <v>44206</v>
      </c>
      <c r="H282">
        <f>VLOOKUP(C282,UTCLookup!C$3:D$57,2,FALSE)</f>
        <v>1610168400</v>
      </c>
      <c r="I282" s="9">
        <f t="shared" si="18"/>
        <v>1610168400</v>
      </c>
      <c r="J282" t="e">
        <f t="shared" si="19"/>
        <v>#N/A</v>
      </c>
      <c r="K282" t="e">
        <f t="shared" si="20"/>
        <v>#N/A</v>
      </c>
      <c r="L282" t="e">
        <f t="shared" si="21"/>
        <v>#N/A</v>
      </c>
    </row>
    <row r="283" spans="2:14" x14ac:dyDescent="0.25">
      <c r="I283" s="9"/>
      <c r="J283" t="e">
        <f t="shared" si="19"/>
        <v>#N/A</v>
      </c>
      <c r="K283" t="e">
        <f t="shared" si="20"/>
        <v>#N/A</v>
      </c>
      <c r="L283" t="e">
        <f t="shared" si="21"/>
        <v>#N/A</v>
      </c>
    </row>
    <row r="284" spans="2:14" x14ac:dyDescent="0.25">
      <c r="B284">
        <v>19</v>
      </c>
      <c r="C284" s="1">
        <v>44212</v>
      </c>
      <c r="H284">
        <f>VLOOKUP(C284,UTCLookup!C$3:D$57,2,FALSE)</f>
        <v>1610686800</v>
      </c>
      <c r="I284" s="9">
        <f t="shared" si="18"/>
        <v>1610686800</v>
      </c>
      <c r="J284" t="e">
        <f t="shared" si="19"/>
        <v>#N/A</v>
      </c>
      <c r="K284" t="e">
        <f t="shared" si="20"/>
        <v>#N/A</v>
      </c>
      <c r="L284" t="e">
        <f t="shared" si="21"/>
        <v>#N/A</v>
      </c>
    </row>
    <row r="285" spans="2:14" x14ac:dyDescent="0.25">
      <c r="B285">
        <v>19</v>
      </c>
      <c r="C285" s="1">
        <v>44213</v>
      </c>
      <c r="H285">
        <f>VLOOKUP(C285,UTCLookup!C$3:D$57,2,FALSE)</f>
        <v>1610773200</v>
      </c>
      <c r="I285" s="9">
        <f t="shared" si="18"/>
        <v>1610773200</v>
      </c>
      <c r="J285" t="e">
        <f t="shared" si="19"/>
        <v>#N/A</v>
      </c>
      <c r="K285" t="e">
        <f t="shared" si="20"/>
        <v>#N/A</v>
      </c>
      <c r="L285" t="e">
        <f t="shared" si="21"/>
        <v>#N/A</v>
      </c>
    </row>
    <row r="286" spans="2:14" x14ac:dyDescent="0.25">
      <c r="I286" s="9"/>
      <c r="J286" t="e">
        <f t="shared" si="19"/>
        <v>#N/A</v>
      </c>
      <c r="K286" t="e">
        <f t="shared" si="20"/>
        <v>#N/A</v>
      </c>
      <c r="L286" t="e">
        <f t="shared" si="21"/>
        <v>#N/A</v>
      </c>
    </row>
    <row r="287" spans="2:14" x14ac:dyDescent="0.25">
      <c r="B287">
        <v>20</v>
      </c>
      <c r="C287" s="1">
        <v>44220</v>
      </c>
      <c r="H287">
        <f>VLOOKUP(C287,UTCLookup!C$3:D$57,2,FALSE)</f>
        <v>1611378000</v>
      </c>
      <c r="I287" s="9">
        <f t="shared" si="18"/>
        <v>1611378000</v>
      </c>
      <c r="J287" t="e">
        <f t="shared" si="19"/>
        <v>#N/A</v>
      </c>
      <c r="K287" t="e">
        <f t="shared" si="20"/>
        <v>#N/A</v>
      </c>
      <c r="L287" t="e">
        <f t="shared" si="21"/>
        <v>#N/A</v>
      </c>
    </row>
    <row r="288" spans="2:14" x14ac:dyDescent="0.25">
      <c r="I288" s="9"/>
      <c r="J288" t="e">
        <f t="shared" si="19"/>
        <v>#N/A</v>
      </c>
      <c r="K288" t="e">
        <f t="shared" si="20"/>
        <v>#N/A</v>
      </c>
      <c r="L288" t="e">
        <f t="shared" si="21"/>
        <v>#N/A</v>
      </c>
    </row>
    <row r="289" spans="2:12" x14ac:dyDescent="0.25">
      <c r="B289">
        <v>21</v>
      </c>
      <c r="C289" s="1">
        <v>44234</v>
      </c>
      <c r="H289">
        <f>VLOOKUP(C289,UTCLookup!C$3:D$57,2,FALSE)</f>
        <v>1612587600</v>
      </c>
      <c r="I289" s="9">
        <f t="shared" si="18"/>
        <v>1612587600</v>
      </c>
      <c r="J289" t="e">
        <f t="shared" si="19"/>
        <v>#N/A</v>
      </c>
      <c r="K289" t="e">
        <f t="shared" si="20"/>
        <v>#N/A</v>
      </c>
      <c r="L289" t="e">
        <f t="shared" si="2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OneGame</vt:lpstr>
      <vt:lpstr>TestSheet</vt:lpstr>
      <vt:lpstr>Conversion</vt:lpstr>
      <vt:lpstr>MarginTest</vt:lpstr>
      <vt:lpstr>UTCLookup</vt:lpstr>
      <vt:lpstr>SeasonSchedule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2019-05-02T19:42:25Z</dcterms:created>
  <dcterms:modified xsi:type="dcterms:W3CDTF">2020-12-14T11:58:25Z</dcterms:modified>
</cp:coreProperties>
</file>