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F97692AD-9F34-4CAA-AB6A-BC21DCB91CF4}" xr6:coauthVersionLast="47" xr6:coauthVersionMax="47" xr10:uidLastSave="{00000000-0000-0000-0000-000000000000}"/>
  <bookViews>
    <workbookView xWindow="29070" yWindow="1620" windowWidth="24135" windowHeight="13305" xr2:uid="{1230EDBB-7CF7-4CB6-8A8B-436EE42A5ED4}"/>
  </bookViews>
  <sheets>
    <sheet name="initData" sheetId="3" r:id="rId1"/>
    <sheet name="MLtoDEC" sheetId="4" r:id="rId2"/>
    <sheet name="Sheet1" sheetId="1" r:id="rId3"/>
  </sheets>
  <definedNames>
    <definedName name="solver_adj" localSheetId="0" hidden="1">initData!$X$1:$Y$1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initData!$X$1</definedName>
    <definedName name="solver_lhs2" localSheetId="0" hidden="1">initData!$X$1</definedName>
    <definedName name="solver_lhs3" localSheetId="0" hidden="1">initData!$Y$1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initData!#REF!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0.5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909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I39" i="3"/>
  <c r="I37" i="3"/>
  <c r="X5" i="1"/>
  <c r="X6" i="1"/>
  <c r="X4" i="1"/>
  <c r="R5" i="1"/>
  <c r="S5" i="1"/>
  <c r="T5" i="1"/>
  <c r="R6" i="1"/>
  <c r="S6" i="1"/>
  <c r="R7" i="1"/>
  <c r="S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S4" i="1"/>
  <c r="R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A8" i="4"/>
  <c r="A7" i="4"/>
  <c r="G6" i="4"/>
  <c r="G5" i="4"/>
  <c r="A6" i="4"/>
  <c r="A5" i="4"/>
  <c r="A19" i="4"/>
  <c r="A18" i="4"/>
  <c r="A25" i="4"/>
  <c r="C23" i="4"/>
  <c r="C22" i="4"/>
  <c r="I20" i="4"/>
  <c r="J20" i="4" s="1"/>
  <c r="C19" i="4"/>
  <c r="C18" i="4"/>
  <c r="G1" i="3"/>
  <c r="J4" i="3"/>
  <c r="U9" i="3"/>
  <c r="I41" i="3" l="1"/>
  <c r="T7" i="1"/>
  <c r="T6" i="1"/>
  <c r="T4" i="1"/>
  <c r="U5" i="3"/>
  <c r="D13" i="4"/>
  <c r="J13" i="4" s="1"/>
  <c r="F13" i="4"/>
  <c r="D12" i="4"/>
  <c r="J12" i="4" s="1"/>
  <c r="F12" i="4"/>
  <c r="I4" i="4"/>
  <c r="I5" i="4"/>
  <c r="I6" i="4"/>
  <c r="I7" i="4"/>
  <c r="I8" i="4"/>
  <c r="I9" i="4"/>
  <c r="I10" i="4"/>
  <c r="I11" i="4"/>
  <c r="I3" i="4"/>
  <c r="H7" i="4"/>
  <c r="H8" i="4"/>
  <c r="H9" i="4"/>
  <c r="H10" i="4"/>
  <c r="H11" i="4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W19" i="3"/>
  <c r="P8" i="3"/>
  <c r="Y5" i="3"/>
  <c r="Y6" i="3"/>
  <c r="Y7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O5" i="3"/>
  <c r="Q5" i="3" s="1"/>
  <c r="S5" i="3" s="1"/>
  <c r="W5" i="3" s="1"/>
  <c r="P5" i="3"/>
  <c r="R5" i="3" s="1"/>
  <c r="T5" i="3" s="1"/>
  <c r="O6" i="3"/>
  <c r="P6" i="3"/>
  <c r="O7" i="3"/>
  <c r="P7" i="3"/>
  <c r="O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P4" i="3"/>
  <c r="O4" i="3"/>
  <c r="Q4" i="3" s="1"/>
  <c r="Z4" i="3" s="1"/>
  <c r="AA4" i="3" l="1"/>
  <c r="AD4" i="3"/>
  <c r="G13" i="4"/>
  <c r="H13" i="4" s="1"/>
  <c r="I13" i="4" s="1"/>
  <c r="E13" i="4"/>
  <c r="E12" i="4"/>
  <c r="L23" i="4"/>
  <c r="L22" i="4"/>
  <c r="L35" i="4"/>
  <c r="D41" i="4"/>
  <c r="F41" i="4" s="1"/>
  <c r="H41" i="4" s="1"/>
  <c r="D42" i="4"/>
  <c r="F42" i="4" s="1"/>
  <c r="H42" i="4" s="1"/>
  <c r="D43" i="4"/>
  <c r="F43" i="4" s="1"/>
  <c r="H43" i="4" s="1"/>
  <c r="D44" i="4"/>
  <c r="F44" i="4" s="1"/>
  <c r="H44" i="4" s="1"/>
  <c r="D45" i="4"/>
  <c r="F45" i="4" s="1"/>
  <c r="H45" i="4" s="1"/>
  <c r="D46" i="4"/>
  <c r="D40" i="4"/>
  <c r="F40" i="4" s="1"/>
  <c r="H40" i="4" s="1"/>
  <c r="E41" i="4"/>
  <c r="G41" i="4" s="1"/>
  <c r="E42" i="4"/>
  <c r="G42" i="4" s="1"/>
  <c r="E43" i="4"/>
  <c r="G43" i="4" s="1"/>
  <c r="E44" i="4"/>
  <c r="G44" i="4"/>
  <c r="E45" i="4"/>
  <c r="G45" i="4" s="1"/>
  <c r="E46" i="4"/>
  <c r="G46" i="4" s="1"/>
  <c r="F46" i="4"/>
  <c r="H46" i="4" s="1"/>
  <c r="E40" i="4"/>
  <c r="G40" i="4" s="1"/>
  <c r="K25" i="4"/>
  <c r="Z5" i="4"/>
  <c r="T32" i="4"/>
  <c r="Q33" i="4"/>
  <c r="P33" i="4"/>
  <c r="R26" i="4"/>
  <c r="R28" i="4" s="1"/>
  <c r="T26" i="4" s="1"/>
  <c r="R25" i="4"/>
  <c r="M28" i="4"/>
  <c r="N28" i="4" s="1"/>
  <c r="M29" i="4"/>
  <c r="L29" i="4"/>
  <c r="N29" i="4" s="1"/>
  <c r="M26" i="4"/>
  <c r="N26" i="4" s="1"/>
  <c r="O26" i="4" s="1"/>
  <c r="K4" i="4"/>
  <c r="K5" i="4" s="1"/>
  <c r="L3" i="4"/>
  <c r="R3" i="4" s="1"/>
  <c r="G12" i="4" l="1"/>
  <c r="H12" i="4" s="1"/>
  <c r="I12" i="4" s="1"/>
  <c r="M3" i="4"/>
  <c r="P3" i="4" s="1"/>
  <c r="O3" i="4" s="1"/>
  <c r="L4" i="4"/>
  <c r="M4" i="4" s="1"/>
  <c r="P4" i="4" s="1"/>
  <c r="O4" i="4" s="1"/>
  <c r="K6" i="4"/>
  <c r="L6" i="4" s="1"/>
  <c r="L5" i="4"/>
  <c r="R4" i="4"/>
  <c r="T24" i="4"/>
  <c r="T25" i="4"/>
  <c r="S4" i="4"/>
  <c r="U4" i="4"/>
  <c r="N4" i="4"/>
  <c r="S3" i="4"/>
  <c r="T3" i="4" s="1"/>
  <c r="U3" i="4"/>
  <c r="N3" i="4"/>
  <c r="K7" i="4"/>
  <c r="U6" i="4" l="1"/>
  <c r="M5" i="4"/>
  <c r="P5" i="4" s="1"/>
  <c r="O5" i="4" s="1"/>
  <c r="R5" i="4"/>
  <c r="M6" i="4"/>
  <c r="P6" i="4" s="1"/>
  <c r="O6" i="4" s="1"/>
  <c r="R6" i="4"/>
  <c r="T4" i="4"/>
  <c r="L7" i="4"/>
  <c r="K8" i="4"/>
  <c r="M7" i="4" l="1"/>
  <c r="P7" i="4" s="1"/>
  <c r="O7" i="4" s="1"/>
  <c r="U7" i="4" s="1"/>
  <c r="R7" i="4"/>
  <c r="N5" i="4"/>
  <c r="U5" i="4"/>
  <c r="S5" i="4"/>
  <c r="T5" i="4" s="1"/>
  <c r="N6" i="4"/>
  <c r="S6" i="4"/>
  <c r="T6" i="4" s="1"/>
  <c r="K9" i="4"/>
  <c r="L8" i="4"/>
  <c r="M8" i="4" l="1"/>
  <c r="P8" i="4" s="1"/>
  <c r="O8" i="4" s="1"/>
  <c r="U8" i="4" s="1"/>
  <c r="R8" i="4"/>
  <c r="N7" i="4"/>
  <c r="S7" i="4"/>
  <c r="T7" i="4" s="1"/>
  <c r="K10" i="4"/>
  <c r="L9" i="4"/>
  <c r="M9" i="4" l="1"/>
  <c r="P9" i="4" s="1"/>
  <c r="O9" i="4" s="1"/>
  <c r="U9" i="4" s="1"/>
  <c r="R9" i="4"/>
  <c r="N8" i="4"/>
  <c r="S8" i="4"/>
  <c r="T8" i="4" s="1"/>
  <c r="K11" i="4"/>
  <c r="L10" i="4"/>
  <c r="M10" i="4" l="1"/>
  <c r="P10" i="4" s="1"/>
  <c r="O10" i="4" s="1"/>
  <c r="U10" i="4" s="1"/>
  <c r="R10" i="4"/>
  <c r="N9" i="4"/>
  <c r="S9" i="4"/>
  <c r="T9" i="4" s="1"/>
  <c r="K12" i="4"/>
  <c r="L11" i="4"/>
  <c r="M11" i="4" l="1"/>
  <c r="P11" i="4" s="1"/>
  <c r="O11" i="4" s="1"/>
  <c r="R11" i="4"/>
  <c r="U11" i="4"/>
  <c r="N10" i="4"/>
  <c r="S10" i="4"/>
  <c r="T10" i="4" s="1"/>
  <c r="K13" i="4"/>
  <c r="L12" i="4"/>
  <c r="M12" i="4" l="1"/>
  <c r="P12" i="4" s="1"/>
  <c r="O12" i="4" s="1"/>
  <c r="R12" i="4"/>
  <c r="N11" i="4"/>
  <c r="S11" i="4"/>
  <c r="T11" i="4" s="1"/>
  <c r="K14" i="4"/>
  <c r="L13" i="4"/>
  <c r="M13" i="4" l="1"/>
  <c r="P13" i="4" s="1"/>
  <c r="O13" i="4" s="1"/>
  <c r="R13" i="4"/>
  <c r="U12" i="4"/>
  <c r="N12" i="4"/>
  <c r="S12" i="4"/>
  <c r="T12" i="4" s="1"/>
  <c r="K15" i="4"/>
  <c r="L14" i="4"/>
  <c r="M14" i="4" l="1"/>
  <c r="P14" i="4" s="1"/>
  <c r="O14" i="4" s="1"/>
  <c r="R14" i="4"/>
  <c r="U13" i="4"/>
  <c r="N13" i="4"/>
  <c r="S13" i="4"/>
  <c r="T13" i="4" s="1"/>
  <c r="L15" i="4"/>
  <c r="K16" i="4"/>
  <c r="D37" i="4"/>
  <c r="M15" i="4" l="1"/>
  <c r="P15" i="4" s="1"/>
  <c r="O15" i="4" s="1"/>
  <c r="R15" i="4"/>
  <c r="U14" i="4"/>
  <c r="N14" i="4"/>
  <c r="S14" i="4"/>
  <c r="T14" i="4" s="1"/>
  <c r="K17" i="4"/>
  <c r="L16" i="4"/>
  <c r="M16" i="4" l="1"/>
  <c r="P16" i="4" s="1"/>
  <c r="O16" i="4" s="1"/>
  <c r="R16" i="4"/>
  <c r="U15" i="4"/>
  <c r="N15" i="4"/>
  <c r="S15" i="4"/>
  <c r="T15" i="4" s="1"/>
  <c r="K18" i="4"/>
  <c r="L17" i="4"/>
  <c r="M17" i="4" l="1"/>
  <c r="P17" i="4" s="1"/>
  <c r="O17" i="4" s="1"/>
  <c r="U17" i="4" s="1"/>
  <c r="R17" i="4"/>
  <c r="U16" i="4"/>
  <c r="S16" i="4"/>
  <c r="T16" i="4" s="1"/>
  <c r="N16" i="4"/>
  <c r="K19" i="4"/>
  <c r="L18" i="4"/>
  <c r="M18" i="4" l="1"/>
  <c r="P18" i="4" s="1"/>
  <c r="O18" i="4" s="1"/>
  <c r="U18" i="4" s="1"/>
  <c r="R18" i="4"/>
  <c r="N17" i="4"/>
  <c r="S17" i="4"/>
  <c r="T17" i="4" s="1"/>
  <c r="K20" i="4"/>
  <c r="L19" i="4"/>
  <c r="M19" i="4" l="1"/>
  <c r="P19" i="4" s="1"/>
  <c r="O19" i="4" s="1"/>
  <c r="U19" i="4" s="1"/>
  <c r="R19" i="4"/>
  <c r="N18" i="4"/>
  <c r="S18" i="4"/>
  <c r="T18" i="4" s="1"/>
  <c r="L20" i="4"/>
  <c r="M20" i="4" s="1"/>
  <c r="P20" i="4" s="1"/>
  <c r="N19" i="4" l="1"/>
  <c r="S19" i="4"/>
  <c r="T19" i="4" s="1"/>
  <c r="G17" i="4" l="1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T33" i="3" s="1"/>
  <c r="Q34" i="3"/>
  <c r="R34" i="3"/>
  <c r="T34" i="3" s="1"/>
  <c r="Q35" i="3"/>
  <c r="R35" i="3"/>
  <c r="T35" i="3" s="1"/>
  <c r="N4" i="3"/>
  <c r="M4" i="3"/>
  <c r="R4" i="3"/>
  <c r="U4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5" i="3"/>
  <c r="M6" i="3"/>
  <c r="M7" i="3"/>
  <c r="M8" i="3"/>
  <c r="M9" i="3"/>
  <c r="M10" i="3"/>
  <c r="M11" i="3"/>
  <c r="M12" i="3"/>
  <c r="I12" i="3" s="1"/>
  <c r="M13" i="3"/>
  <c r="I13" i="3" s="1"/>
  <c r="M14" i="3"/>
  <c r="I14" i="3" s="1"/>
  <c r="M15" i="3"/>
  <c r="M16" i="3"/>
  <c r="M17" i="3"/>
  <c r="M18" i="3"/>
  <c r="M19" i="3"/>
  <c r="M20" i="3"/>
  <c r="M21" i="3"/>
  <c r="M22" i="3"/>
  <c r="M23" i="3"/>
  <c r="M24" i="3"/>
  <c r="I24" i="3" s="1"/>
  <c r="M25" i="3"/>
  <c r="I25" i="3" s="1"/>
  <c r="M26" i="3"/>
  <c r="M27" i="3"/>
  <c r="M28" i="3"/>
  <c r="M29" i="3"/>
  <c r="M30" i="3"/>
  <c r="M31" i="3"/>
  <c r="M32" i="3"/>
  <c r="M33" i="3"/>
  <c r="M34" i="3"/>
  <c r="I34" i="3" s="1"/>
  <c r="M35" i="3"/>
  <c r="I35" i="3" s="1"/>
  <c r="M5" i="3"/>
  <c r="I5" i="3" s="1"/>
  <c r="G16" i="4"/>
  <c r="H16" i="4" s="1"/>
  <c r="J2" i="3"/>
  <c r="J1" i="3" s="1"/>
  <c r="I4" i="3" l="1"/>
  <c r="I28" i="3"/>
  <c r="I22" i="3"/>
  <c r="I10" i="3"/>
  <c r="I18" i="3"/>
  <c r="I6" i="3"/>
  <c r="I30" i="3"/>
  <c r="I9" i="3"/>
  <c r="I21" i="3"/>
  <c r="I33" i="3"/>
  <c r="I20" i="3"/>
  <c r="I8" i="3"/>
  <c r="I16" i="3"/>
  <c r="S34" i="3"/>
  <c r="W34" i="3" s="1"/>
  <c r="U34" i="3"/>
  <c r="S33" i="3"/>
  <c r="W33" i="3" s="1"/>
  <c r="U33" i="3"/>
  <c r="S35" i="3"/>
  <c r="W35" i="3" s="1"/>
  <c r="U35" i="3"/>
  <c r="I11" i="3"/>
  <c r="I15" i="3"/>
  <c r="I23" i="3"/>
  <c r="I32" i="3"/>
  <c r="I27" i="3"/>
  <c r="I26" i="3"/>
  <c r="I31" i="3"/>
  <c r="I19" i="3"/>
  <c r="I7" i="3"/>
  <c r="I29" i="3"/>
  <c r="I17" i="3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16" i="4"/>
  <c r="E16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3" i="4"/>
  <c r="F3" i="4"/>
  <c r="D4" i="4"/>
  <c r="H4" i="4" s="1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E3" i="4" l="1"/>
  <c r="H3" i="4"/>
  <c r="E6" i="4"/>
  <c r="H6" i="4"/>
  <c r="E5" i="4"/>
  <c r="H5" i="4"/>
  <c r="A17" i="4"/>
  <c r="I16" i="4"/>
  <c r="J16" i="4" s="1"/>
  <c r="A23" i="4"/>
  <c r="E4" i="4"/>
  <c r="T25" i="3"/>
  <c r="T26" i="3"/>
  <c r="T27" i="3"/>
  <c r="T28" i="3"/>
  <c r="T29" i="3"/>
  <c r="T30" i="3"/>
  <c r="T31" i="3"/>
  <c r="T32" i="3"/>
  <c r="U11" i="3"/>
  <c r="T11" i="3"/>
  <c r="U13" i="3"/>
  <c r="G8" i="3"/>
  <c r="G12" i="3" s="1"/>
  <c r="G16" i="3" s="1"/>
  <c r="G20" i="3" s="1"/>
  <c r="G24" i="3" s="1"/>
  <c r="G28" i="3" s="1"/>
  <c r="G5" i="3"/>
  <c r="T17" i="3"/>
  <c r="T6" i="3"/>
  <c r="E14" i="4" l="1"/>
  <c r="E1" i="4"/>
  <c r="AD33" i="3"/>
  <c r="AD34" i="3"/>
  <c r="AB34" i="3"/>
  <c r="AB33" i="3"/>
  <c r="G9" i="3"/>
  <c r="G13" i="3" s="1"/>
  <c r="G17" i="3" s="1"/>
  <c r="G21" i="3" s="1"/>
  <c r="J21" i="3" s="1"/>
  <c r="J5" i="3"/>
  <c r="S25" i="3"/>
  <c r="W25" i="3" s="1"/>
  <c r="U25" i="3"/>
  <c r="S7" i="3"/>
  <c r="U7" i="3"/>
  <c r="S30" i="3"/>
  <c r="W30" i="3" s="1"/>
  <c r="U30" i="3"/>
  <c r="U14" i="3"/>
  <c r="S31" i="3"/>
  <c r="W31" i="3" s="1"/>
  <c r="U31" i="3"/>
  <c r="S12" i="3"/>
  <c r="U12" i="3"/>
  <c r="S29" i="3"/>
  <c r="W29" i="3" s="1"/>
  <c r="U29" i="3"/>
  <c r="U17" i="3"/>
  <c r="S19" i="3"/>
  <c r="S21" i="3"/>
  <c r="S23" i="3"/>
  <c r="U23" i="3"/>
  <c r="S28" i="3"/>
  <c r="W28" i="3" s="1"/>
  <c r="U28" i="3"/>
  <c r="U8" i="3"/>
  <c r="U10" i="3"/>
  <c r="S27" i="3"/>
  <c r="W27" i="3" s="1"/>
  <c r="U27" i="3"/>
  <c r="U18" i="3"/>
  <c r="U6" i="3"/>
  <c r="S32" i="3"/>
  <c r="W32" i="3" s="1"/>
  <c r="U32" i="3"/>
  <c r="S26" i="3"/>
  <c r="W26" i="3" s="1"/>
  <c r="U26" i="3"/>
  <c r="S4" i="3"/>
  <c r="J28" i="3"/>
  <c r="G32" i="3"/>
  <c r="J24" i="3"/>
  <c r="J12" i="3"/>
  <c r="J20" i="3"/>
  <c r="J8" i="3"/>
  <c r="J16" i="3"/>
  <c r="G6" i="3"/>
  <c r="T18" i="3"/>
  <c r="T16" i="3"/>
  <c r="T4" i="3"/>
  <c r="Y4" i="3" s="1"/>
  <c r="T7" i="3"/>
  <c r="S16" i="3"/>
  <c r="W16" i="3" s="1"/>
  <c r="S17" i="3"/>
  <c r="W17" i="3" s="1"/>
  <c r="T14" i="3"/>
  <c r="T21" i="3"/>
  <c r="S11" i="3"/>
  <c r="W11" i="3" s="1"/>
  <c r="T13" i="3"/>
  <c r="S13" i="3"/>
  <c r="W13" i="3" s="1"/>
  <c r="T20" i="3"/>
  <c r="T24" i="3"/>
  <c r="T12" i="3"/>
  <c r="S6" i="3"/>
  <c r="W6" i="3" s="1"/>
  <c r="S20" i="3"/>
  <c r="W20" i="3" s="1"/>
  <c r="S24" i="3"/>
  <c r="W24" i="3" s="1"/>
  <c r="S18" i="3"/>
  <c r="W18" i="3" s="1"/>
  <c r="T19" i="3"/>
  <c r="T23" i="3"/>
  <c r="T22" i="3"/>
  <c r="S10" i="3"/>
  <c r="T15" i="3"/>
  <c r="T8" i="3"/>
  <c r="Y8" i="3" s="1"/>
  <c r="T9" i="3"/>
  <c r="T10" i="3"/>
  <c r="S22" i="3"/>
  <c r="W4" i="3" l="1"/>
  <c r="X4" i="3"/>
  <c r="AE35" i="3"/>
  <c r="AG35" i="3" s="1"/>
  <c r="AD35" i="3"/>
  <c r="AC34" i="3"/>
  <c r="AE34" i="3"/>
  <c r="AC33" i="3"/>
  <c r="AE33" i="3"/>
  <c r="W12" i="3"/>
  <c r="W22" i="3"/>
  <c r="W23" i="3"/>
  <c r="W21" i="3"/>
  <c r="W10" i="3"/>
  <c r="W7" i="3"/>
  <c r="J32" i="3"/>
  <c r="AD28" i="3"/>
  <c r="AB35" i="3"/>
  <c r="G25" i="3"/>
  <c r="G29" i="3" s="1"/>
  <c r="J13" i="3"/>
  <c r="J17" i="3"/>
  <c r="J9" i="3"/>
  <c r="U22" i="3"/>
  <c r="U21" i="3"/>
  <c r="U24" i="3"/>
  <c r="U20" i="3"/>
  <c r="U19" i="3"/>
  <c r="U15" i="3"/>
  <c r="U16" i="3"/>
  <c r="G7" i="3"/>
  <c r="J6" i="3"/>
  <c r="G10" i="3"/>
  <c r="S14" i="3"/>
  <c r="W14" i="3" s="1"/>
  <c r="S8" i="3"/>
  <c r="S9" i="3"/>
  <c r="W9" i="3" s="1"/>
  <c r="S15" i="3"/>
  <c r="W15" i="3" s="1"/>
  <c r="W8" i="3" l="1"/>
  <c r="AF34" i="3"/>
  <c r="AG34" i="3"/>
  <c r="AF33" i="3"/>
  <c r="AG33" i="3"/>
  <c r="AF35" i="3"/>
  <c r="AC35" i="3"/>
  <c r="AB4" i="3"/>
  <c r="AE32" i="3"/>
  <c r="AG32" i="3" s="1"/>
  <c r="AD32" i="3"/>
  <c r="AE27" i="3"/>
  <c r="AG27" i="3" s="1"/>
  <c r="AD27" i="3"/>
  <c r="AE30" i="3"/>
  <c r="AG30" i="3" s="1"/>
  <c r="AD30" i="3"/>
  <c r="AE26" i="3"/>
  <c r="AG26" i="3" s="1"/>
  <c r="AD26" i="3"/>
  <c r="AE31" i="3"/>
  <c r="AG31" i="3" s="1"/>
  <c r="AD31" i="3"/>
  <c r="AE29" i="3"/>
  <c r="AG29" i="3" s="1"/>
  <c r="AD29" i="3"/>
  <c r="AB28" i="3"/>
  <c r="J25" i="3"/>
  <c r="AD21" i="3"/>
  <c r="AB26" i="3"/>
  <c r="AB32" i="3"/>
  <c r="AB31" i="3"/>
  <c r="J29" i="3"/>
  <c r="G33" i="3"/>
  <c r="J33" i="3" s="1"/>
  <c r="G11" i="3"/>
  <c r="J7" i="3"/>
  <c r="AB29" i="3"/>
  <c r="AB27" i="3"/>
  <c r="G14" i="3"/>
  <c r="J10" i="3"/>
  <c r="AB30" i="3"/>
  <c r="AC30" i="3" l="1"/>
  <c r="AF27" i="3"/>
  <c r="AC32" i="3"/>
  <c r="AF32" i="3"/>
  <c r="AE4" i="3"/>
  <c r="AC27" i="3"/>
  <c r="AF31" i="3"/>
  <c r="AF26" i="3"/>
  <c r="AC29" i="3"/>
  <c r="AC31" i="3"/>
  <c r="AC26" i="3"/>
  <c r="AE19" i="3"/>
  <c r="AG19" i="3" s="1"/>
  <c r="AD19" i="3"/>
  <c r="AE20" i="3"/>
  <c r="AG20" i="3" s="1"/>
  <c r="AD20" i="3"/>
  <c r="AE11" i="3"/>
  <c r="AG11" i="3" s="1"/>
  <c r="AD11" i="3"/>
  <c r="AE10" i="3"/>
  <c r="AG10" i="3" s="1"/>
  <c r="AD10" i="3"/>
  <c r="AE12" i="3"/>
  <c r="AG12" i="3" s="1"/>
  <c r="AD12" i="3"/>
  <c r="AF30" i="3"/>
  <c r="AE23" i="3"/>
  <c r="AG23" i="3" s="1"/>
  <c r="AD23" i="3"/>
  <c r="AE7" i="3"/>
  <c r="AG7" i="3" s="1"/>
  <c r="AD7" i="3"/>
  <c r="AC28" i="3"/>
  <c r="AE28" i="3"/>
  <c r="AG28" i="3" s="1"/>
  <c r="AE18" i="3"/>
  <c r="AG18" i="3" s="1"/>
  <c r="AD18" i="3"/>
  <c r="AE13" i="3"/>
  <c r="AG13" i="3" s="1"/>
  <c r="AD13" i="3"/>
  <c r="AE16" i="3"/>
  <c r="AG16" i="3" s="1"/>
  <c r="AD16" i="3"/>
  <c r="AD25" i="3"/>
  <c r="AE17" i="3"/>
  <c r="AG17" i="3" s="1"/>
  <c r="AD17" i="3"/>
  <c r="AE22" i="3"/>
  <c r="AG22" i="3" s="1"/>
  <c r="AD22" i="3"/>
  <c r="AE24" i="3"/>
  <c r="AG24" i="3" s="1"/>
  <c r="AD24" i="3"/>
  <c r="AF29" i="3"/>
  <c r="AE6" i="3"/>
  <c r="AG6" i="3" s="1"/>
  <c r="AD6" i="3"/>
  <c r="AE5" i="3"/>
  <c r="AG5" i="3" s="1"/>
  <c r="AD5" i="3"/>
  <c r="AB25" i="3"/>
  <c r="AB21" i="3"/>
  <c r="AB7" i="3"/>
  <c r="AB12" i="3"/>
  <c r="AB19" i="3"/>
  <c r="AB16" i="3"/>
  <c r="AB22" i="3"/>
  <c r="AB13" i="3"/>
  <c r="G15" i="3"/>
  <c r="J11" i="3"/>
  <c r="AB10" i="3"/>
  <c r="AB23" i="3"/>
  <c r="AB17" i="3"/>
  <c r="AB6" i="3"/>
  <c r="AB18" i="3"/>
  <c r="AB24" i="3"/>
  <c r="AB11" i="3"/>
  <c r="AB5" i="3"/>
  <c r="G18" i="3"/>
  <c r="J14" i="3"/>
  <c r="AB20" i="3"/>
  <c r="AG4" i="3" l="1"/>
  <c r="AC4" i="3"/>
  <c r="AF6" i="3"/>
  <c r="AF22" i="3"/>
  <c r="AF28" i="3"/>
  <c r="AF12" i="3"/>
  <c r="AF18" i="3"/>
  <c r="AC22" i="3"/>
  <c r="AF24" i="3"/>
  <c r="AF17" i="3"/>
  <c r="AF7" i="3"/>
  <c r="AF5" i="3"/>
  <c r="AF19" i="3"/>
  <c r="AC19" i="3"/>
  <c r="AC12" i="3"/>
  <c r="AC7" i="3"/>
  <c r="AC5" i="3"/>
  <c r="AF4" i="3"/>
  <c r="AF20" i="3"/>
  <c r="AF10" i="3"/>
  <c r="AC11" i="3"/>
  <c r="AC17" i="3"/>
  <c r="AC10" i="3"/>
  <c r="AC13" i="3"/>
  <c r="AC20" i="3"/>
  <c r="AF13" i="3"/>
  <c r="AC6" i="3"/>
  <c r="AF16" i="3"/>
  <c r="AF11" i="3"/>
  <c r="AE14" i="3"/>
  <c r="AG14" i="3" s="1"/>
  <c r="AD14" i="3"/>
  <c r="AE9" i="3"/>
  <c r="AG9" i="3" s="1"/>
  <c r="AD9" i="3"/>
  <c r="AC16" i="3"/>
  <c r="AC23" i="3"/>
  <c r="AC24" i="3"/>
  <c r="AC25" i="3"/>
  <c r="AE25" i="3"/>
  <c r="AC21" i="3"/>
  <c r="AE21" i="3"/>
  <c r="AG21" i="3" s="1"/>
  <c r="AE15" i="3"/>
  <c r="AG15" i="3" s="1"/>
  <c r="AD15" i="3"/>
  <c r="AC18" i="3"/>
  <c r="AF23" i="3"/>
  <c r="AE8" i="3"/>
  <c r="AG8" i="3" s="1"/>
  <c r="AD8" i="3"/>
  <c r="G22" i="3"/>
  <c r="J18" i="3"/>
  <c r="AB9" i="3"/>
  <c r="AB8" i="3"/>
  <c r="AB15" i="3"/>
  <c r="AB14" i="3"/>
  <c r="G19" i="3"/>
  <c r="J15" i="3"/>
  <c r="AF25" i="3" l="1"/>
  <c r="AG25" i="3"/>
  <c r="AF9" i="3"/>
  <c r="AF21" i="3"/>
  <c r="AF15" i="3"/>
  <c r="AC14" i="3"/>
  <c r="AC15" i="3"/>
  <c r="AF8" i="3"/>
  <c r="AF14" i="3"/>
  <c r="AC8" i="3"/>
  <c r="AC9" i="3"/>
  <c r="G23" i="3"/>
  <c r="J19" i="3"/>
  <c r="J22" i="3"/>
  <c r="G26" i="3"/>
  <c r="G30" i="3" l="1"/>
  <c r="J26" i="3"/>
  <c r="G27" i="3"/>
  <c r="J23" i="3"/>
  <c r="G31" i="3" l="1"/>
  <c r="G35" i="3" s="1"/>
  <c r="J35" i="3" s="1"/>
  <c r="J27" i="3"/>
  <c r="J30" i="3"/>
  <c r="G34" i="3"/>
  <c r="J34" i="3" s="1"/>
  <c r="J31" i="3" l="1"/>
</calcChain>
</file>

<file path=xl/sharedStrings.xml><?xml version="1.0" encoding="utf-8"?>
<sst xmlns="http://schemas.openxmlformats.org/spreadsheetml/2006/main" count="194" uniqueCount="128">
  <si>
    <t>ProbWin</t>
  </si>
  <si>
    <t>Away</t>
  </si>
  <si>
    <t>Home</t>
  </si>
  <si>
    <t>Dec Odds</t>
  </si>
  <si>
    <t>ML</t>
  </si>
  <si>
    <t>Fractional</t>
  </si>
  <si>
    <t>All-In Odds</t>
  </si>
  <si>
    <t>NFL</t>
  </si>
  <si>
    <t>ARI</t>
  </si>
  <si>
    <t>LAC</t>
  </si>
  <si>
    <t>ATL</t>
  </si>
  <si>
    <t>LAR</t>
  </si>
  <si>
    <t>BAL</t>
  </si>
  <si>
    <t>MIA</t>
  </si>
  <si>
    <t>BUF</t>
  </si>
  <si>
    <t>MIN</t>
  </si>
  <si>
    <t>CAR</t>
  </si>
  <si>
    <t>NE</t>
  </si>
  <si>
    <t>CHI</t>
  </si>
  <si>
    <t>NO</t>
  </si>
  <si>
    <t>CIN</t>
  </si>
  <si>
    <t>NYG</t>
  </si>
  <si>
    <t>CLE</t>
  </si>
  <si>
    <t>NYJ</t>
  </si>
  <si>
    <t>DAL</t>
  </si>
  <si>
    <t>OAK</t>
  </si>
  <si>
    <t>DEN</t>
  </si>
  <si>
    <t>PHI</t>
  </si>
  <si>
    <t>DET</t>
  </si>
  <si>
    <t>PIT</t>
  </si>
  <si>
    <t>Holloway</t>
  </si>
  <si>
    <t>Kattar</t>
  </si>
  <si>
    <t>Ponzinibbio</t>
  </si>
  <si>
    <t>Li</t>
  </si>
  <si>
    <t>Akhemedov</t>
  </si>
  <si>
    <t>Breese</t>
  </si>
  <si>
    <t>CFB</t>
  </si>
  <si>
    <t>MMA</t>
  </si>
  <si>
    <t>OhioState</t>
  </si>
  <si>
    <t>Alabama</t>
  </si>
  <si>
    <t>Oregon</t>
  </si>
  <si>
    <t>USC</t>
  </si>
  <si>
    <t>UCLA</t>
  </si>
  <si>
    <t>Cincinnati</t>
  </si>
  <si>
    <t>Kentucky</t>
  </si>
  <si>
    <t>Texas</t>
  </si>
  <si>
    <t>LSU</t>
  </si>
  <si>
    <t>Auburn</t>
  </si>
  <si>
    <t>Sport</t>
  </si>
  <si>
    <t>Schedule</t>
  </si>
  <si>
    <t>StartTime</t>
  </si>
  <si>
    <t>Odds</t>
  </si>
  <si>
    <t>ET startTime</t>
  </si>
  <si>
    <t>Decimal</t>
  </si>
  <si>
    <t>MoneyLine</t>
  </si>
  <si>
    <t>vig</t>
  </si>
  <si>
    <t>initial</t>
  </si>
  <si>
    <t>faveUnderDog</t>
  </si>
  <si>
    <t>Aldrich</t>
  </si>
  <si>
    <t>Demopoulos</t>
  </si>
  <si>
    <t>Alhassan</t>
  </si>
  <si>
    <t>Di Chirico</t>
  </si>
  <si>
    <t>Barboza</t>
  </si>
  <si>
    <t>Chikadze</t>
  </si>
  <si>
    <t>Emmers</t>
  </si>
  <si>
    <t>Sabatini</t>
  </si>
  <si>
    <t>Jacoby</t>
  </si>
  <si>
    <t>Stewart</t>
  </si>
  <si>
    <t>Lee</t>
  </si>
  <si>
    <t>Rodriguez</t>
  </si>
  <si>
    <t>Martinez</t>
  </si>
  <si>
    <t>Cannetti</t>
  </si>
  <si>
    <t>Muradov</t>
  </si>
  <si>
    <t>Meerschaert</t>
  </si>
  <si>
    <t>Petroski</t>
  </si>
  <si>
    <t>Gillmore</t>
  </si>
  <si>
    <t>Turcios</t>
  </si>
  <si>
    <t>Hiestand</t>
  </si>
  <si>
    <t>Turman</t>
  </si>
  <si>
    <t>Alvey</t>
  </si>
  <si>
    <t>Urbina</t>
  </si>
  <si>
    <t>Battle</t>
  </si>
  <si>
    <t>Favorite</t>
  </si>
  <si>
    <t>Underdog</t>
  </si>
  <si>
    <t>InitFav</t>
  </si>
  <si>
    <t>InitUnder</t>
  </si>
  <si>
    <t>Dec</t>
  </si>
  <si>
    <t>Eric</t>
  </si>
  <si>
    <t>pick</t>
  </si>
  <si>
    <t>match</t>
  </si>
  <si>
    <t>epoch</t>
  </si>
  <si>
    <t>Team 1</t>
  </si>
  <si>
    <t>team0</t>
  </si>
  <si>
    <t>Input</t>
  </si>
  <si>
    <t>output</t>
  </si>
  <si>
    <t>Match</t>
  </si>
  <si>
    <t>Transform</t>
  </si>
  <si>
    <t>ProbDiff</t>
  </si>
  <si>
    <t>running sum</t>
  </si>
  <si>
    <t>total Oracle Tokens</t>
  </si>
  <si>
    <t>yes vote</t>
  </si>
  <si>
    <t>no vote</t>
  </si>
  <si>
    <t>post + cure_time</t>
  </si>
  <si>
    <t>process monitor</t>
  </si>
  <si>
    <t>epoch[1[</t>
  </si>
  <si>
    <t>initPost</t>
  </si>
  <si>
    <t>updatePost</t>
  </si>
  <si>
    <t>settlePost</t>
  </si>
  <si>
    <t>no post</t>
  </si>
  <si>
    <t>proposal counter</t>
  </si>
  <si>
    <t>params</t>
  </si>
  <si>
    <t>margin</t>
  </si>
  <si>
    <t>bookie</t>
  </si>
  <si>
    <t>bookieLocked</t>
  </si>
  <si>
    <t>bettorLocked</t>
  </si>
  <si>
    <t>LP shares</t>
  </si>
  <si>
    <t>concLimit</t>
  </si>
  <si>
    <t>nonce</t>
  </si>
  <si>
    <t>first start</t>
  </si>
  <si>
    <t>betData</t>
  </si>
  <si>
    <t>betLong0</t>
  </si>
  <si>
    <t>betLong1</t>
  </si>
  <si>
    <t>payoff0</t>
  </si>
  <si>
    <t>payoff1</t>
  </si>
  <si>
    <t>startTime</t>
  </si>
  <si>
    <t>odds0</t>
  </si>
  <si>
    <t>odds1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</si>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</sst>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E+00;"/>
    <numFmt numFmtId="173" formatCode="0.0000%;[Red]\-0.0000%"/>
    <numFmt numFmtId="174" formatCode="#,##0.0;[Red]#,##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Open Sans"/>
      <family val="2"/>
    </font>
    <font>
      <b/>
      <sz val="11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4" borderId="0" applyNumberFormat="0" applyBorder="0" applyAlignment="0" applyProtection="0"/>
  </cellStyleXfs>
  <cellXfs count="84">
    <xf numFmtId="0" fontId="0" fillId="0" borderId="0" xfId="0"/>
    <xf numFmtId="164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167" fontId="2" fillId="0" borderId="0" xfId="0" applyNumberFormat="1" applyFont="1"/>
    <xf numFmtId="164" fontId="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69" fontId="0" fillId="0" borderId="0" xfId="0" applyNumberFormat="1"/>
    <xf numFmtId="0" fontId="1" fillId="0" borderId="0" xfId="1" applyFill="1"/>
    <xf numFmtId="0" fontId="0" fillId="3" borderId="0" xfId="0" applyFill="1"/>
    <xf numFmtId="169" fontId="3" fillId="0" borderId="0" xfId="2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4" fillId="4" borderId="4" xfId="3" applyNumberFormat="1" applyBorder="1"/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72" fontId="2" fillId="0" borderId="0" xfId="0" applyNumberFormat="1" applyFont="1"/>
    <xf numFmtId="171" fontId="5" fillId="0" borderId="1" xfId="2" applyNumberFormat="1" applyFont="1" applyBorder="1"/>
    <xf numFmtId="171" fontId="2" fillId="0" borderId="2" xfId="0" applyNumberFormat="1" applyFont="1" applyBorder="1"/>
    <xf numFmtId="171" fontId="5" fillId="0" borderId="3" xfId="2" applyNumberFormat="1" applyFont="1" applyBorder="1"/>
    <xf numFmtId="171" fontId="2" fillId="0" borderId="4" xfId="0" applyNumberFormat="1" applyFont="1" applyBorder="1"/>
    <xf numFmtId="171" fontId="2" fillId="0" borderId="6" xfId="0" applyNumberFormat="1" applyFont="1" applyBorder="1"/>
    <xf numFmtId="171" fontId="2" fillId="0" borderId="7" xfId="0" applyNumberFormat="1" applyFont="1" applyBorder="1"/>
    <xf numFmtId="173" fontId="2" fillId="0" borderId="0" xfId="0" applyNumberFormat="1" applyFont="1"/>
    <xf numFmtId="0" fontId="4" fillId="4" borderId="1" xfId="3" applyBorder="1"/>
    <xf numFmtId="171" fontId="4" fillId="4" borderId="5" xfId="3" applyNumberFormat="1" applyBorder="1"/>
    <xf numFmtId="166" fontId="4" fillId="4" borderId="2" xfId="3" applyNumberFormat="1" applyBorder="1"/>
    <xf numFmtId="0" fontId="4" fillId="4" borderId="3" xfId="3" applyBorder="1"/>
    <xf numFmtId="171" fontId="4" fillId="4" borderId="0" xfId="3" applyNumberFormat="1" applyBorder="1"/>
    <xf numFmtId="0" fontId="4" fillId="4" borderId="6" xfId="3" applyBorder="1"/>
    <xf numFmtId="171" fontId="4" fillId="4" borderId="8" xfId="3" applyNumberFormat="1" applyBorder="1"/>
    <xf numFmtId="166" fontId="4" fillId="4" borderId="7" xfId="3" applyNumberFormat="1" applyBorder="1"/>
    <xf numFmtId="167" fontId="1" fillId="0" borderId="3" xfId="1" applyNumberFormat="1" applyFill="1" applyBorder="1"/>
    <xf numFmtId="167" fontId="1" fillId="0" borderId="4" xfId="1" applyNumberFormat="1" applyFill="1" applyBorder="1"/>
    <xf numFmtId="167" fontId="2" fillId="0" borderId="0" xfId="0" applyNumberFormat="1" applyFont="1" applyAlignment="1">
      <alignment horizontal="right"/>
    </xf>
    <xf numFmtId="171" fontId="2" fillId="0" borderId="0" xfId="0" applyNumberFormat="1" applyFont="1"/>
    <xf numFmtId="16" fontId="2" fillId="0" borderId="0" xfId="0" quotePrefix="1" applyNumberFormat="1" applyFont="1" applyAlignment="1">
      <alignment horizontal="left"/>
    </xf>
    <xf numFmtId="16" fontId="2" fillId="0" borderId="1" xfId="0" quotePrefix="1" applyNumberFormat="1" applyFont="1" applyBorder="1" applyAlignment="1">
      <alignment horizontal="left"/>
    </xf>
    <xf numFmtId="16" fontId="2" fillId="0" borderId="2" xfId="0" quotePrefix="1" applyNumberFormat="1" applyFont="1" applyBorder="1" applyAlignment="1">
      <alignment horizontal="left"/>
    </xf>
    <xf numFmtId="16" fontId="2" fillId="0" borderId="1" xfId="0" quotePrefix="1" applyNumberFormat="1" applyFont="1" applyBorder="1" applyAlignment="1">
      <alignment horizontal="right"/>
    </xf>
    <xf numFmtId="16" fontId="2" fillId="0" borderId="5" xfId="0" quotePrefix="1" applyNumberFormat="1" applyFont="1" applyBorder="1" applyAlignment="1">
      <alignment horizontal="right"/>
    </xf>
    <xf numFmtId="16" fontId="2" fillId="0" borderId="2" xfId="0" quotePrefix="1" applyNumberFormat="1" applyFont="1" applyBorder="1" applyAlignment="1">
      <alignment horizontal="right"/>
    </xf>
    <xf numFmtId="167" fontId="2" fillId="0" borderId="3" xfId="0" applyNumberFormat="1" applyFont="1" applyBorder="1"/>
    <xf numFmtId="167" fontId="2" fillId="0" borderId="4" xfId="0" applyNumberFormat="1" applyFont="1" applyBorder="1"/>
    <xf numFmtId="165" fontId="2" fillId="0" borderId="3" xfId="0" applyNumberFormat="1" applyFont="1" applyBorder="1"/>
    <xf numFmtId="174" fontId="2" fillId="0" borderId="5" xfId="0" applyNumberFormat="1" applyFont="1" applyBorder="1"/>
    <xf numFmtId="174" fontId="2" fillId="0" borderId="2" xfId="0" applyNumberFormat="1" applyFont="1" applyBorder="1"/>
    <xf numFmtId="166" fontId="4" fillId="0" borderId="4" xfId="3" applyNumberFormat="1" applyFill="1" applyBorder="1"/>
    <xf numFmtId="0" fontId="4" fillId="0" borderId="0" xfId="3" applyFill="1"/>
    <xf numFmtId="166" fontId="4" fillId="0" borderId="0" xfId="3" applyNumberFormat="1" applyFill="1"/>
    <xf numFmtId="164" fontId="4" fillId="0" borderId="0" xfId="3" applyNumberFormat="1" applyFill="1"/>
    <xf numFmtId="167" fontId="4" fillId="0" borderId="3" xfId="3" applyNumberFormat="1" applyFill="1" applyBorder="1"/>
    <xf numFmtId="167" fontId="4" fillId="0" borderId="4" xfId="3" applyNumberFormat="1" applyFill="1" applyBorder="1"/>
    <xf numFmtId="165" fontId="4" fillId="0" borderId="0" xfId="3" applyNumberFormat="1" applyFill="1"/>
    <xf numFmtId="166" fontId="4" fillId="0" borderId="0" xfId="3" applyNumberFormat="1" applyFill="1" applyBorder="1"/>
    <xf numFmtId="167" fontId="2" fillId="0" borderId="6" xfId="0" applyNumberFormat="1" applyFont="1" applyBorder="1"/>
    <xf numFmtId="167" fontId="2" fillId="0" borderId="7" xfId="0" applyNumberFormat="1" applyFont="1" applyBorder="1"/>
    <xf numFmtId="165" fontId="2" fillId="0" borderId="8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0" fontId="6" fillId="0" borderId="0" xfId="0" applyFont="1"/>
    <xf numFmtId="171" fontId="0" fillId="0" borderId="0" xfId="0" applyNumberFormat="1"/>
    <xf numFmtId="164" fontId="7" fillId="0" borderId="0" xfId="0" applyNumberFormat="1" applyFont="1"/>
    <xf numFmtId="0" fontId="1" fillId="2" borderId="1" xfId="1" applyBorder="1" applyAlignment="1">
      <alignment horizontal="left"/>
    </xf>
    <xf numFmtId="0" fontId="1" fillId="2" borderId="5" xfId="1" applyBorder="1" applyAlignment="1">
      <alignment horizontal="left"/>
    </xf>
    <xf numFmtId="166" fontId="1" fillId="2" borderId="5" xfId="1" applyNumberFormat="1" applyBorder="1" applyAlignment="1">
      <alignment horizontal="left"/>
    </xf>
    <xf numFmtId="170" fontId="1" fillId="2" borderId="2" xfId="1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0" xfId="1" applyBorder="1" applyAlignment="1">
      <alignment horizontal="left"/>
    </xf>
    <xf numFmtId="166" fontId="1" fillId="2" borderId="0" xfId="1" applyNumberFormat="1" applyBorder="1" applyAlignment="1">
      <alignment horizontal="left"/>
    </xf>
    <xf numFmtId="170" fontId="1" fillId="2" borderId="4" xfId="1" applyNumberFormat="1" applyBorder="1" applyAlignment="1">
      <alignment horizontal="left"/>
    </xf>
    <xf numFmtId="164" fontId="1" fillId="2" borderId="0" xfId="1" applyNumberFormat="1" applyBorder="1" applyAlignment="1">
      <alignment horizontal="left"/>
    </xf>
    <xf numFmtId="0" fontId="1" fillId="2" borderId="6" xfId="1" applyBorder="1" applyAlignment="1">
      <alignment horizontal="left"/>
    </xf>
    <xf numFmtId="0" fontId="1" fillId="2" borderId="8" xfId="1" applyBorder="1" applyAlignment="1">
      <alignment horizontal="left"/>
    </xf>
    <xf numFmtId="166" fontId="1" fillId="2" borderId="8" xfId="1" applyNumberFormat="1" applyBorder="1" applyAlignment="1">
      <alignment horizontal="left"/>
    </xf>
    <xf numFmtId="170" fontId="1" fillId="2" borderId="7" xfId="1" applyNumberFormat="1" applyBorder="1" applyAlignment="1">
      <alignment horizontal="left"/>
    </xf>
    <xf numFmtId="167" fontId="0" fillId="0" borderId="0" xfId="0" applyNumberFormat="1"/>
    <xf numFmtId="0" fontId="4" fillId="4" borderId="9" xfId="3" applyBorder="1"/>
  </cellXfs>
  <cellStyles count="4">
    <cellStyle name="Bad" xfId="1" builtinId="27"/>
    <cellStyle name="Excel Built-in Normal" xfId="2" xr:uid="{5CF1FBC3-5FF4-4C75-9E28-0C3DCCB9D487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542B-8AD5-492F-8D04-AD353CA34773}">
  <sheetPr codeName="Sheet2"/>
  <dimension ref="A1:AG41"/>
  <sheetViews>
    <sheetView tabSelected="1" topLeftCell="A6" zoomScale="75" zoomScaleNormal="75" workbookViewId="0">
      <selection activeCell="G39" sqref="G39"/>
    </sheetView>
  </sheetViews>
  <sheetFormatPr defaultRowHeight="15" x14ac:dyDescent="0.25"/>
  <cols>
    <col min="2" max="2" width="8.85546875" customWidth="1"/>
    <col min="3" max="3" width="11.7109375" bestFit="1" customWidth="1"/>
    <col min="4" max="4" width="15.140625" customWidth="1"/>
    <col min="5" max="5" width="8.7109375" customWidth="1"/>
    <col min="6" max="6" width="11.140625" bestFit="1" customWidth="1"/>
    <col min="7" max="7" width="19.85546875" customWidth="1"/>
    <col min="8" max="8" width="6.5703125" customWidth="1"/>
    <col min="9" max="9" width="17.42578125" customWidth="1"/>
    <col min="10" max="10" width="15" customWidth="1"/>
    <col min="11" max="11" width="13.42578125" customWidth="1"/>
    <col min="12" max="12" width="10.5703125" customWidth="1"/>
    <col min="13" max="13" width="15.85546875" customWidth="1"/>
    <col min="14" max="14" width="12.85546875" customWidth="1"/>
    <col min="15" max="17" width="11" customWidth="1"/>
    <col min="18" max="18" width="11.28515625" customWidth="1"/>
    <col min="19" max="19" width="11.140625" customWidth="1"/>
    <col min="20" max="20" width="10" bestFit="1" customWidth="1"/>
    <col min="21" max="21" width="9.28515625" bestFit="1" customWidth="1"/>
    <col min="22" max="22" width="9.28515625" customWidth="1"/>
    <col min="23" max="23" width="10.28515625" bestFit="1" customWidth="1"/>
    <col min="24" max="24" width="12.7109375" customWidth="1"/>
    <col min="25" max="25" width="10.42578125" customWidth="1"/>
    <col min="26" max="28" width="9.28515625" bestFit="1" customWidth="1"/>
    <col min="29" max="30" width="9.28515625" customWidth="1"/>
    <col min="31" max="31" width="29" customWidth="1"/>
    <col min="32" max="32" width="26" bestFit="1" customWidth="1"/>
    <col min="33" max="33" width="14.28515625" bestFit="1" customWidth="1"/>
  </cols>
  <sheetData>
    <row r="1" spans="1:33" x14ac:dyDescent="0.25">
      <c r="E1" t="s">
        <v>56</v>
      </c>
      <c r="G1">
        <f>2*8*2*3*3</f>
        <v>288</v>
      </c>
      <c r="I1" s="7"/>
      <c r="J1" s="68">
        <f>J2/86400</f>
        <v>0</v>
      </c>
      <c r="K1" s="41"/>
      <c r="M1" t="s">
        <v>57</v>
      </c>
      <c r="Q1" s="4"/>
      <c r="S1" s="2"/>
      <c r="T1" s="4"/>
      <c r="U1" s="2"/>
      <c r="V1" s="4"/>
      <c r="W1" s="2">
        <v>1.2999999999999999E-2</v>
      </c>
      <c r="X1" s="2"/>
      <c r="Y1" s="4">
        <v>45</v>
      </c>
      <c r="Z1">
        <v>0</v>
      </c>
      <c r="AA1" s="4">
        <v>-3</v>
      </c>
      <c r="AB1" s="3"/>
      <c r="AC1" s="4"/>
      <c r="AD1" s="4"/>
    </row>
    <row r="2" spans="1:33" ht="17.25" thickBot="1" x14ac:dyDescent="0.35">
      <c r="E2" s="8" t="s">
        <v>4</v>
      </c>
      <c r="F2" s="8" t="s">
        <v>4</v>
      </c>
      <c r="G2" s="66">
        <v>1681405200</v>
      </c>
      <c r="J2" s="67">
        <f>J4-G2</f>
        <v>0</v>
      </c>
      <c r="M2" s="18"/>
      <c r="N2" s="18"/>
      <c r="O2" s="18"/>
      <c r="P2" s="18"/>
      <c r="Q2" s="18" t="s">
        <v>3</v>
      </c>
      <c r="R2" s="18" t="s">
        <v>3</v>
      </c>
      <c r="S2" s="18" t="s">
        <v>0</v>
      </c>
      <c r="T2" s="18" t="s">
        <v>0</v>
      </c>
      <c r="U2" s="4"/>
      <c r="V2" s="4"/>
      <c r="W2" s="4"/>
      <c r="X2" s="4" t="s">
        <v>96</v>
      </c>
      <c r="Y2" s="4"/>
      <c r="Z2" s="4" t="s">
        <v>3</v>
      </c>
      <c r="AA2" s="4" t="s">
        <v>3</v>
      </c>
      <c r="AB2" s="4" t="s">
        <v>6</v>
      </c>
      <c r="AC2" s="4"/>
      <c r="AD2" s="4"/>
    </row>
    <row r="3" spans="1:33" ht="15.75" thickBot="1" x14ac:dyDescent="0.3">
      <c r="A3" t="s">
        <v>95</v>
      </c>
      <c r="B3" t="s">
        <v>48</v>
      </c>
      <c r="C3" t="s">
        <v>82</v>
      </c>
      <c r="D3" t="s">
        <v>83</v>
      </c>
      <c r="E3" s="10" t="s">
        <v>2</v>
      </c>
      <c r="F3" s="9" t="s">
        <v>1</v>
      </c>
      <c r="G3" s="8" t="s">
        <v>52</v>
      </c>
      <c r="I3" t="s">
        <v>49</v>
      </c>
      <c r="J3" t="s">
        <v>50</v>
      </c>
      <c r="K3" t="s">
        <v>51</v>
      </c>
      <c r="M3" s="42" t="s">
        <v>82</v>
      </c>
      <c r="N3" s="42" t="s">
        <v>83</v>
      </c>
      <c r="O3" s="42" t="s">
        <v>82</v>
      </c>
      <c r="P3" s="42" t="s">
        <v>83</v>
      </c>
      <c r="Q3" s="42" t="s">
        <v>82</v>
      </c>
      <c r="R3" s="42" t="s">
        <v>83</v>
      </c>
      <c r="S3" s="43" t="s">
        <v>82</v>
      </c>
      <c r="T3" s="44" t="s">
        <v>83</v>
      </c>
      <c r="U3" s="9" t="s">
        <v>55</v>
      </c>
      <c r="V3" s="9"/>
      <c r="W3" s="9" t="s">
        <v>97</v>
      </c>
      <c r="X3" s="45" t="s">
        <v>84</v>
      </c>
      <c r="Y3" s="46" t="s">
        <v>85</v>
      </c>
      <c r="Z3" s="45" t="s">
        <v>82</v>
      </c>
      <c r="AA3" s="47" t="s">
        <v>83</v>
      </c>
      <c r="AB3" s="9" t="s">
        <v>82</v>
      </c>
      <c r="AC3" s="9" t="s">
        <v>83</v>
      </c>
      <c r="AD3" s="9"/>
    </row>
    <row r="4" spans="1:33" x14ac:dyDescent="0.25">
      <c r="A4">
        <v>0</v>
      </c>
      <c r="B4" s="69" t="s">
        <v>7</v>
      </c>
      <c r="C4" s="70" t="s">
        <v>8</v>
      </c>
      <c r="D4" s="70" t="s">
        <v>9</v>
      </c>
      <c r="E4" s="71">
        <v>-1600</v>
      </c>
      <c r="F4" s="71">
        <v>750</v>
      </c>
      <c r="G4" s="72">
        <v>45029.5</v>
      </c>
      <c r="I4" s="30" t="str">
        <f t="shared" ref="I4:I35" si="0">""""&amp;B4&amp;":"&amp;M4&amp;":"&amp;N4&amp;""""</f>
        <v>"NFL:ARI:LAC"</v>
      </c>
      <c r="J4" s="31">
        <f>1627794000+(G4-44409)*86400</f>
        <v>1681405200</v>
      </c>
      <c r="K4" s="32">
        <f>INT(Z4)</f>
        <v>65</v>
      </c>
      <c r="M4" s="3" t="str">
        <f t="shared" ref="M4:M35" si="1">IF(E4&lt;=F4,C4,D4)</f>
        <v>ARI</v>
      </c>
      <c r="N4" s="3" t="str">
        <f t="shared" ref="N4:N35" si="2">IF(E4&gt;F4,C4,D4)</f>
        <v>LAC</v>
      </c>
      <c r="O4" s="3">
        <f t="shared" ref="O4:O35" si="3">IF(E4&lt;=F4,E4,F4)</f>
        <v>-1600</v>
      </c>
      <c r="P4" s="3">
        <f t="shared" ref="P4:P35" si="4">IF(E4&gt;F4,E4,F4)</f>
        <v>750</v>
      </c>
      <c r="Q4" s="6">
        <f>IF(O4&lt;0,-(100-O4)/O4,O4/100+1)</f>
        <v>1.0625</v>
      </c>
      <c r="R4" s="6">
        <f>IF(P4&lt;0,-(100-P4)/P4,P4/100+1)</f>
        <v>8.5</v>
      </c>
      <c r="S4" s="48">
        <f t="shared" ref="S4:S24" si="5">1/Q4</f>
        <v>0.94117647058823528</v>
      </c>
      <c r="T4" s="49">
        <f t="shared" ref="T4:T24" si="6">1/R4</f>
        <v>0.11764705882352941</v>
      </c>
      <c r="U4" s="2">
        <f>1-Q4*R4/(Q4+R4)</f>
        <v>5.555555555555558E-2</v>
      </c>
      <c r="V4" s="2"/>
      <c r="W4" s="2">
        <f>ABS(S4-T4)/2</f>
        <v>0.41176470588235292</v>
      </c>
      <c r="X4" s="50">
        <f>S4-W$1</f>
        <v>0.92817647058823527</v>
      </c>
      <c r="Y4" s="2">
        <f>T4-W$1</f>
        <v>0.10464705882352941</v>
      </c>
      <c r="Z4" s="15">
        <f>(Q4-1)*1000*100/95</f>
        <v>65.78947368421052</v>
      </c>
      <c r="AA4" s="16">
        <f>1000000/(Z4+Y$1+AA$1)-Y$1</f>
        <v>9232.34375</v>
      </c>
      <c r="AB4" s="51">
        <f>Z4*0.95</f>
        <v>62.499999999999993</v>
      </c>
      <c r="AC4" s="52">
        <f>AA4*0.95</f>
        <v>8770.7265625</v>
      </c>
      <c r="AD4" s="14">
        <f>Z4*0.95/1000+1</f>
        <v>1.0625</v>
      </c>
      <c r="AE4" s="14">
        <f>AA4*0.95/1000+1</f>
        <v>9.7707265625000002</v>
      </c>
      <c r="AF4" s="2">
        <f>1/AD4+1/AE4-1</f>
        <v>4.3523004758784678E-2</v>
      </c>
      <c r="AG4" s="7">
        <f>AE4-R4</f>
        <v>1.2707265625000002</v>
      </c>
    </row>
    <row r="5" spans="1:33" x14ac:dyDescent="0.25">
      <c r="A5">
        <v>1</v>
      </c>
      <c r="B5" s="73" t="s">
        <v>7</v>
      </c>
      <c r="C5" s="74" t="s">
        <v>10</v>
      </c>
      <c r="D5" s="74" t="s">
        <v>11</v>
      </c>
      <c r="E5" s="75">
        <v>-109</v>
      </c>
      <c r="F5" s="75">
        <v>-111</v>
      </c>
      <c r="G5" s="76">
        <f>G4+1/24</f>
        <v>45029.541666666664</v>
      </c>
      <c r="I5" s="33" t="str">
        <f t="shared" si="0"/>
        <v>"NFL:LAR:ATL"</v>
      </c>
      <c r="J5" s="34">
        <f t="shared" ref="J5:J35" si="7">1627794000+(G5-44409)*86400</f>
        <v>1681408799.9999998</v>
      </c>
      <c r="K5" s="17">
        <f t="shared" ref="K5:K35" si="8">INT(Z5)</f>
        <v>948</v>
      </c>
      <c r="M5" s="3" t="str">
        <f t="shared" si="1"/>
        <v>LAR</v>
      </c>
      <c r="N5" s="3" t="str">
        <f t="shared" si="2"/>
        <v>ATL</v>
      </c>
      <c r="O5" s="3">
        <f t="shared" si="3"/>
        <v>-111</v>
      </c>
      <c r="P5" s="3">
        <f t="shared" si="4"/>
        <v>-109</v>
      </c>
      <c r="Q5" s="6">
        <f>IF(O5&lt;0,-(100-O5)/O5,O5/100+1)</f>
        <v>1.9009009009009008</v>
      </c>
      <c r="R5" s="6">
        <f>IF(P5&lt;0,-(100-P5)/P5,P5/100+1)</f>
        <v>1.9174311926605505</v>
      </c>
      <c r="S5" s="48">
        <f t="shared" ref="S5" si="9">1/Q5</f>
        <v>0.52606635071090047</v>
      </c>
      <c r="T5" s="49">
        <f t="shared" ref="T5" si="10">1/R5</f>
        <v>0.52153110047846885</v>
      </c>
      <c r="U5" s="2">
        <f>1-Q5*R5/(Q5+R5)</f>
        <v>4.5434867310273241E-2</v>
      </c>
      <c r="V5" s="2"/>
      <c r="W5" s="2">
        <f t="shared" ref="W5:W35" si="11">ABS(S5-T5)/2</f>
        <v>2.2676251162158101E-3</v>
      </c>
      <c r="X5" s="50">
        <f t="shared" ref="X5:X35" si="12">S5-W$1</f>
        <v>0.51306635071090045</v>
      </c>
      <c r="Y5" s="2">
        <f t="shared" ref="Y5:Y35" si="13">T5-W$1</f>
        <v>0.50853110047846883</v>
      </c>
      <c r="Z5" s="15">
        <f t="shared" ref="Z5:Z35" si="14">(Q5-1)*1000*100/95</f>
        <v>948.31673779042183</v>
      </c>
      <c r="AA5" s="16">
        <f t="shared" ref="AA5:AA35" si="15">1000000/(Z5+Y$1+AA$1)-Y$1</f>
        <v>964.77794461111841</v>
      </c>
      <c r="AB5" s="3">
        <f t="shared" ref="AB5:AB32" si="16">Z5*0.95</f>
        <v>900.90090090090064</v>
      </c>
      <c r="AC5" s="16">
        <f t="shared" ref="AC5:AC32" si="17">AA5*0.95</f>
        <v>916.53904738056247</v>
      </c>
      <c r="AD5" s="14">
        <f t="shared" ref="AD5:AD35" si="18">Z5*0.95/1000+1</f>
        <v>1.9009009009009006</v>
      </c>
      <c r="AE5" s="14">
        <f t="shared" ref="AE5:AE35" si="19">AA5*0.95/1000+1</f>
        <v>1.9165390473805624</v>
      </c>
      <c r="AF5" s="2">
        <f t="shared" ref="AF5:AF35" si="20">1/AD5+1/AE5-1</f>
        <v>4.7840222924333542E-2</v>
      </c>
      <c r="AG5" s="7">
        <f t="shared" ref="AG5:AG35" si="21">AE5-R5</f>
        <v>-8.9214527998815463E-4</v>
      </c>
    </row>
    <row r="6" spans="1:33" x14ac:dyDescent="0.25">
      <c r="A6">
        <v>2</v>
      </c>
      <c r="B6" s="73" t="s">
        <v>7</v>
      </c>
      <c r="C6" s="74" t="s">
        <v>12</v>
      </c>
      <c r="D6" s="74" t="s">
        <v>13</v>
      </c>
      <c r="E6" s="75">
        <v>-166.66666666666666</v>
      </c>
      <c r="F6" s="75">
        <v>135.92753623188406</v>
      </c>
      <c r="G6" s="76">
        <f t="shared" ref="G6:G7" si="22">G5+1/24</f>
        <v>45029.583333333328</v>
      </c>
      <c r="I6" s="33" t="str">
        <f t="shared" si="0"/>
        <v>"NFL:BAL:MIA"</v>
      </c>
      <c r="J6" s="34">
        <f t="shared" si="7"/>
        <v>1681412399.9999995</v>
      </c>
      <c r="K6" s="17">
        <f t="shared" si="8"/>
        <v>631</v>
      </c>
      <c r="M6" s="3" t="str">
        <f t="shared" si="1"/>
        <v>BAL</v>
      </c>
      <c r="N6" s="3" t="str">
        <f t="shared" si="2"/>
        <v>MIA</v>
      </c>
      <c r="O6" s="3">
        <f t="shared" si="3"/>
        <v>-166.66666666666666</v>
      </c>
      <c r="P6" s="3">
        <f t="shared" si="4"/>
        <v>135.92753623188406</v>
      </c>
      <c r="Q6" s="6">
        <f t="shared" ref="Q6:Q35" si="23">IF(O6&lt;0,-(100-O6)/O6,O6/100+1)</f>
        <v>1.5999999999999999</v>
      </c>
      <c r="R6" s="6">
        <f t="shared" ref="R6:R35" si="24">IF(P6&lt;0,-(100-P6)/P6,P6/100+1)</f>
        <v>2.3592753623188409</v>
      </c>
      <c r="S6" s="48">
        <f t="shared" si="5"/>
        <v>0.625</v>
      </c>
      <c r="T6" s="49">
        <f t="shared" si="6"/>
        <v>0.42385895939554019</v>
      </c>
      <c r="U6" s="2">
        <f t="shared" ref="U6:U32" si="25">1-Q6*R6/(Q6+R6)</f>
        <v>4.6582964237343982E-2</v>
      </c>
      <c r="V6" s="2"/>
      <c r="W6" s="2">
        <f t="shared" si="11"/>
        <v>0.1005705203022299</v>
      </c>
      <c r="X6" s="50">
        <f t="shared" si="12"/>
        <v>0.61199999999999999</v>
      </c>
      <c r="Y6" s="2">
        <f t="shared" si="13"/>
        <v>0.41085895939554018</v>
      </c>
      <c r="Z6" s="15">
        <f t="shared" si="14"/>
        <v>631.57894736842093</v>
      </c>
      <c r="AA6" s="16">
        <f t="shared" si="15"/>
        <v>1439.6069698390377</v>
      </c>
      <c r="AB6" s="3">
        <f t="shared" si="16"/>
        <v>599.99999999999989</v>
      </c>
      <c r="AC6" s="16">
        <f t="shared" si="17"/>
        <v>1367.6266213470858</v>
      </c>
      <c r="AD6" s="14">
        <f t="shared" si="18"/>
        <v>1.5999999999999999</v>
      </c>
      <c r="AE6" s="14">
        <f t="shared" si="19"/>
        <v>2.3676266213470858</v>
      </c>
      <c r="AF6" s="2">
        <f t="shared" si="20"/>
        <v>4.7363894282891561E-2</v>
      </c>
      <c r="AG6" s="7">
        <f t="shared" si="21"/>
        <v>8.3512590282448507E-3</v>
      </c>
    </row>
    <row r="7" spans="1:33" x14ac:dyDescent="0.25">
      <c r="A7">
        <v>3</v>
      </c>
      <c r="B7" s="73" t="s">
        <v>7</v>
      </c>
      <c r="C7" s="74" t="s">
        <v>14</v>
      </c>
      <c r="D7" s="74" t="s">
        <v>15</v>
      </c>
      <c r="E7" s="75">
        <v>-125</v>
      </c>
      <c r="F7" s="75">
        <v>103.35955056179776</v>
      </c>
      <c r="G7" s="76">
        <f t="shared" si="22"/>
        <v>45029.624999999993</v>
      </c>
      <c r="I7" s="33" t="str">
        <f t="shared" si="0"/>
        <v>"NFL:BUF:MIN"</v>
      </c>
      <c r="J7" s="34">
        <f t="shared" si="7"/>
        <v>1681415999.9999993</v>
      </c>
      <c r="K7" s="17">
        <f t="shared" si="8"/>
        <v>842</v>
      </c>
      <c r="M7" s="3" t="str">
        <f t="shared" si="1"/>
        <v>BUF</v>
      </c>
      <c r="N7" s="3" t="str">
        <f t="shared" si="2"/>
        <v>MIN</v>
      </c>
      <c r="O7" s="3">
        <f t="shared" si="3"/>
        <v>-125</v>
      </c>
      <c r="P7" s="3">
        <f t="shared" si="4"/>
        <v>103.35955056179776</v>
      </c>
      <c r="Q7" s="6">
        <f t="shared" si="23"/>
        <v>1.8</v>
      </c>
      <c r="R7" s="6">
        <f t="shared" si="24"/>
        <v>2.0335955056179778</v>
      </c>
      <c r="S7" s="48">
        <f t="shared" si="5"/>
        <v>0.55555555555555558</v>
      </c>
      <c r="T7" s="49">
        <f t="shared" si="6"/>
        <v>0.49173987513122269</v>
      </c>
      <c r="U7" s="2">
        <f t="shared" si="25"/>
        <v>4.5159588499076642E-2</v>
      </c>
      <c r="V7" s="2"/>
      <c r="W7" s="2">
        <f t="shared" si="11"/>
        <v>3.1907840212166444E-2</v>
      </c>
      <c r="X7" s="50">
        <f t="shared" si="12"/>
        <v>0.54255555555555557</v>
      </c>
      <c r="Y7" s="2">
        <f t="shared" si="13"/>
        <v>0.47873987513122268</v>
      </c>
      <c r="Z7" s="15">
        <f t="shared" si="14"/>
        <v>842.10526315789468</v>
      </c>
      <c r="AA7" s="16">
        <f t="shared" si="15"/>
        <v>1086.0870341707346</v>
      </c>
      <c r="AB7" s="3">
        <f t="shared" si="16"/>
        <v>799.99999999999989</v>
      </c>
      <c r="AC7" s="16">
        <f t="shared" si="17"/>
        <v>1031.7826824621977</v>
      </c>
      <c r="AD7" s="14">
        <f t="shared" si="18"/>
        <v>1.7999999999999998</v>
      </c>
      <c r="AE7" s="14">
        <f t="shared" si="19"/>
        <v>2.0317826824621976</v>
      </c>
      <c r="AF7" s="2">
        <f t="shared" si="20"/>
        <v>4.7734177133410105E-2</v>
      </c>
      <c r="AG7" s="7">
        <f t="shared" si="21"/>
        <v>-1.81282315578013E-3</v>
      </c>
    </row>
    <row r="8" spans="1:33" x14ac:dyDescent="0.25">
      <c r="A8">
        <v>4</v>
      </c>
      <c r="B8" s="73" t="s">
        <v>7</v>
      </c>
      <c r="C8" s="74" t="s">
        <v>16</v>
      </c>
      <c r="D8" s="74" t="s">
        <v>17</v>
      </c>
      <c r="E8" s="77">
        <v>-110</v>
      </c>
      <c r="F8" s="75">
        <v>-109.76936346954697</v>
      </c>
      <c r="G8" s="76">
        <f>G4+1</f>
        <v>45030.5</v>
      </c>
      <c r="I8" s="33" t="str">
        <f t="shared" si="0"/>
        <v>"NFL:CAR:NE"</v>
      </c>
      <c r="J8" s="34">
        <f t="shared" si="7"/>
        <v>1681491600</v>
      </c>
      <c r="K8" s="17">
        <f t="shared" si="8"/>
        <v>956</v>
      </c>
      <c r="M8" s="3" t="str">
        <f t="shared" si="1"/>
        <v>CAR</v>
      </c>
      <c r="N8" s="3" t="str">
        <f t="shared" si="2"/>
        <v>NE</v>
      </c>
      <c r="O8" s="3">
        <f t="shared" si="3"/>
        <v>-110</v>
      </c>
      <c r="P8" s="3">
        <f>IF(E8&gt;F8,E8,F8)</f>
        <v>-109.76936346954697</v>
      </c>
      <c r="Q8" s="6">
        <f t="shared" si="23"/>
        <v>1.9090909090909092</v>
      </c>
      <c r="R8" s="6">
        <f t="shared" si="24"/>
        <v>1.911001001001001</v>
      </c>
      <c r="S8" s="48">
        <f t="shared" si="5"/>
        <v>0.52380952380952384</v>
      </c>
      <c r="T8" s="49">
        <f t="shared" si="6"/>
        <v>0.5232859634695064</v>
      </c>
      <c r="U8" s="2">
        <f t="shared" si="25"/>
        <v>4.4977261244255717E-2</v>
      </c>
      <c r="V8" s="2"/>
      <c r="W8" s="2">
        <f t="shared" si="11"/>
        <v>2.6178017000871856E-4</v>
      </c>
      <c r="X8" s="50">
        <f t="shared" si="12"/>
        <v>0.51080952380952382</v>
      </c>
      <c r="Y8" s="2">
        <f t="shared" si="13"/>
        <v>0.51028596346950639</v>
      </c>
      <c r="Z8" s="15">
        <f t="shared" si="14"/>
        <v>956.93779904306223</v>
      </c>
      <c r="AA8" s="16">
        <f t="shared" si="15"/>
        <v>956.06333042753545</v>
      </c>
      <c r="AB8" s="3">
        <f t="shared" si="16"/>
        <v>909.09090909090912</v>
      </c>
      <c r="AC8" s="16">
        <f t="shared" si="17"/>
        <v>908.2601639061586</v>
      </c>
      <c r="AD8" s="14">
        <f t="shared" si="18"/>
        <v>1.9090909090909092</v>
      </c>
      <c r="AE8" s="14">
        <f t="shared" si="19"/>
        <v>1.9082601639061587</v>
      </c>
      <c r="AF8" s="2">
        <f t="shared" si="20"/>
        <v>4.7847083736900942E-2</v>
      </c>
      <c r="AG8" s="7">
        <f t="shared" si="21"/>
        <v>-2.7408370948422967E-3</v>
      </c>
    </row>
    <row r="9" spans="1:33" x14ac:dyDescent="0.25">
      <c r="A9">
        <v>5</v>
      </c>
      <c r="B9" s="73" t="s">
        <v>7</v>
      </c>
      <c r="C9" s="74" t="s">
        <v>18</v>
      </c>
      <c r="D9" s="74" t="s">
        <v>19</v>
      </c>
      <c r="E9" s="75">
        <v>110</v>
      </c>
      <c r="F9" s="75">
        <v>-101</v>
      </c>
      <c r="G9" s="76">
        <f t="shared" ref="G9:G34" si="26">G5+1</f>
        <v>45030.541666666664</v>
      </c>
      <c r="I9" s="33" t="str">
        <f t="shared" si="0"/>
        <v>"NFL:NO:CHI"</v>
      </c>
      <c r="J9" s="34">
        <f t="shared" si="7"/>
        <v>1681495199.9999998</v>
      </c>
      <c r="K9" s="17">
        <f t="shared" si="8"/>
        <v>1042</v>
      </c>
      <c r="M9" s="3" t="str">
        <f t="shared" si="1"/>
        <v>NO</v>
      </c>
      <c r="N9" s="3" t="str">
        <f t="shared" si="2"/>
        <v>CHI</v>
      </c>
      <c r="O9" s="3">
        <f t="shared" si="3"/>
        <v>-101</v>
      </c>
      <c r="P9" s="3">
        <f t="shared" si="4"/>
        <v>110</v>
      </c>
      <c r="Q9" s="6">
        <f t="shared" si="23"/>
        <v>1.9900990099009901</v>
      </c>
      <c r="R9" s="6">
        <f t="shared" si="24"/>
        <v>2.1</v>
      </c>
      <c r="S9" s="48">
        <f t="shared" si="5"/>
        <v>0.50248756218905477</v>
      </c>
      <c r="T9" s="49">
        <f t="shared" si="6"/>
        <v>0.47619047619047616</v>
      </c>
      <c r="U9" s="2">
        <f>1-Q9*R9/(Q9+R9)</f>
        <v>-2.1786492374727517E-2</v>
      </c>
      <c r="V9" s="2"/>
      <c r="W9" s="2">
        <f t="shared" si="11"/>
        <v>1.3148542999289303E-2</v>
      </c>
      <c r="X9" s="50">
        <f t="shared" si="12"/>
        <v>0.48948756218905476</v>
      </c>
      <c r="Y9" s="2">
        <f t="shared" si="13"/>
        <v>0.46319047619047615</v>
      </c>
      <c r="Z9" s="15">
        <f t="shared" si="14"/>
        <v>1042.2094841063054</v>
      </c>
      <c r="AA9" s="16">
        <f t="shared" si="15"/>
        <v>877.33098368834351</v>
      </c>
      <c r="AB9" s="3">
        <f t="shared" si="16"/>
        <v>990.09900990099004</v>
      </c>
      <c r="AC9" s="16">
        <f t="shared" si="17"/>
        <v>833.46443450392633</v>
      </c>
      <c r="AD9" s="14">
        <f t="shared" si="18"/>
        <v>1.9900990099009901</v>
      </c>
      <c r="AE9" s="14">
        <f t="shared" si="19"/>
        <v>1.8334644345039264</v>
      </c>
      <c r="AF9" s="2">
        <f t="shared" si="20"/>
        <v>4.7903105125706391E-2</v>
      </c>
      <c r="AG9" s="7">
        <f t="shared" si="21"/>
        <v>-0.26653556549607371</v>
      </c>
    </row>
    <row r="10" spans="1:33" x14ac:dyDescent="0.25">
      <c r="A10">
        <v>6</v>
      </c>
      <c r="B10" s="73" t="s">
        <v>7</v>
      </c>
      <c r="C10" s="74" t="s">
        <v>20</v>
      </c>
      <c r="D10" s="74" t="s">
        <v>21</v>
      </c>
      <c r="E10" s="75">
        <v>125</v>
      </c>
      <c r="F10" s="75">
        <v>-152.37662042301568</v>
      </c>
      <c r="G10" s="76">
        <f t="shared" si="26"/>
        <v>45030.583333333328</v>
      </c>
      <c r="I10" s="33" t="str">
        <f t="shared" si="0"/>
        <v>"NFL:NYG:CIN"</v>
      </c>
      <c r="J10" s="34">
        <f t="shared" si="7"/>
        <v>1681498799.9999995</v>
      </c>
      <c r="K10" s="17">
        <f t="shared" si="8"/>
        <v>690</v>
      </c>
      <c r="M10" s="3" t="str">
        <f t="shared" si="1"/>
        <v>NYG</v>
      </c>
      <c r="N10" s="3" t="str">
        <f t="shared" si="2"/>
        <v>CIN</v>
      </c>
      <c r="O10" s="3">
        <f t="shared" si="3"/>
        <v>-152.37662042301568</v>
      </c>
      <c r="P10" s="3">
        <f t="shared" si="4"/>
        <v>125</v>
      </c>
      <c r="Q10" s="6">
        <f t="shared" si="23"/>
        <v>1.656268656716418</v>
      </c>
      <c r="R10" s="6">
        <f t="shared" si="24"/>
        <v>2.25</v>
      </c>
      <c r="S10" s="48">
        <f t="shared" si="5"/>
        <v>0.60376678381544557</v>
      </c>
      <c r="T10" s="49">
        <f t="shared" si="6"/>
        <v>0.44444444444444442</v>
      </c>
      <c r="U10" s="2">
        <f t="shared" si="25"/>
        <v>4.5993810178817096E-2</v>
      </c>
      <c r="V10" s="2"/>
      <c r="W10" s="2">
        <f t="shared" si="11"/>
        <v>7.9661169685500577E-2</v>
      </c>
      <c r="X10" s="50">
        <f t="shared" si="12"/>
        <v>0.59076678381544556</v>
      </c>
      <c r="Y10" s="2">
        <f t="shared" si="13"/>
        <v>0.43144444444444441</v>
      </c>
      <c r="Z10" s="15">
        <f t="shared" si="14"/>
        <v>690.80911233307165</v>
      </c>
      <c r="AA10" s="16">
        <f t="shared" si="15"/>
        <v>1319.6118520773614</v>
      </c>
      <c r="AB10" s="3">
        <f t="shared" si="16"/>
        <v>656.26865671641804</v>
      </c>
      <c r="AC10" s="16">
        <f t="shared" si="17"/>
        <v>1253.6312594734932</v>
      </c>
      <c r="AD10" s="14">
        <f t="shared" si="18"/>
        <v>1.656268656716418</v>
      </c>
      <c r="AE10" s="14">
        <f t="shared" si="19"/>
        <v>2.2536312594734929</v>
      </c>
      <c r="AF10" s="2">
        <f t="shared" si="20"/>
        <v>4.7495098195335039E-2</v>
      </c>
      <c r="AG10" s="7">
        <f t="shared" si="21"/>
        <v>3.6312594734928538E-3</v>
      </c>
    </row>
    <row r="11" spans="1:33" s="12" customFormat="1" x14ac:dyDescent="0.25">
      <c r="A11">
        <v>7</v>
      </c>
      <c r="B11" s="73" t="s">
        <v>7</v>
      </c>
      <c r="C11" s="74" t="s">
        <v>22</v>
      </c>
      <c r="D11" s="74" t="s">
        <v>23</v>
      </c>
      <c r="E11" s="75">
        <v>150</v>
      </c>
      <c r="F11" s="75">
        <v>-185.55257322908156</v>
      </c>
      <c r="G11" s="76">
        <f t="shared" si="26"/>
        <v>45030.624999999993</v>
      </c>
      <c r="H11"/>
      <c r="I11" s="33" t="str">
        <f t="shared" si="0"/>
        <v>"NFL:NYJ:CLE"</v>
      </c>
      <c r="J11" s="34">
        <f t="shared" si="7"/>
        <v>1681502399.9999993</v>
      </c>
      <c r="K11" s="17">
        <f t="shared" si="8"/>
        <v>567</v>
      </c>
      <c r="L11"/>
      <c r="M11" s="3" t="str">
        <f t="shared" si="1"/>
        <v>NYJ</v>
      </c>
      <c r="N11" s="3" t="str">
        <f t="shared" si="2"/>
        <v>CLE</v>
      </c>
      <c r="O11" s="3">
        <f t="shared" si="3"/>
        <v>-185.55257322908156</v>
      </c>
      <c r="P11" s="3">
        <f t="shared" si="4"/>
        <v>150</v>
      </c>
      <c r="Q11" s="6">
        <f t="shared" si="23"/>
        <v>1.5389308176100627</v>
      </c>
      <c r="R11" s="6">
        <f t="shared" si="24"/>
        <v>2.5</v>
      </c>
      <c r="S11" s="38">
        <f t="shared" si="5"/>
        <v>0.64980179002002547</v>
      </c>
      <c r="T11" s="39">
        <f t="shared" si="6"/>
        <v>0.4</v>
      </c>
      <c r="U11" s="2">
        <f t="shared" si="25"/>
        <v>4.7439231380121294E-2</v>
      </c>
      <c r="V11" s="2"/>
      <c r="W11" s="2">
        <f t="shared" si="11"/>
        <v>0.12490089501001272</v>
      </c>
      <c r="X11" s="50">
        <f t="shared" si="12"/>
        <v>0.63680179002002546</v>
      </c>
      <c r="Y11" s="2">
        <f t="shared" si="13"/>
        <v>0.38700000000000001</v>
      </c>
      <c r="Z11" s="15">
        <f t="shared" si="14"/>
        <v>567.29559748427653</v>
      </c>
      <c r="AA11" s="16">
        <f t="shared" si="15"/>
        <v>1596.2394970994453</v>
      </c>
      <c r="AB11" s="3">
        <f t="shared" si="16"/>
        <v>538.93081761006272</v>
      </c>
      <c r="AC11" s="16">
        <f t="shared" si="17"/>
        <v>1516.427522244473</v>
      </c>
      <c r="AD11" s="14">
        <f t="shared" si="18"/>
        <v>1.5389308176100627</v>
      </c>
      <c r="AE11" s="14">
        <f t="shared" si="19"/>
        <v>2.5164275222444727</v>
      </c>
      <c r="AF11" s="2">
        <f t="shared" si="20"/>
        <v>4.7190544975332926E-2</v>
      </c>
      <c r="AG11" s="7">
        <f t="shared" si="21"/>
        <v>1.6427522244472748E-2</v>
      </c>
    </row>
    <row r="12" spans="1:33" x14ac:dyDescent="0.25">
      <c r="A12">
        <v>8</v>
      </c>
      <c r="B12" s="73" t="s">
        <v>7</v>
      </c>
      <c r="C12" s="74" t="s">
        <v>24</v>
      </c>
      <c r="D12" s="74" t="s">
        <v>25</v>
      </c>
      <c r="E12" s="75">
        <v>175</v>
      </c>
      <c r="F12" s="75">
        <v>-220.51773729626078</v>
      </c>
      <c r="G12" s="76">
        <f t="shared" si="26"/>
        <v>45031.5</v>
      </c>
      <c r="I12" s="33" t="str">
        <f t="shared" si="0"/>
        <v>"NFL:OAK:DAL"</v>
      </c>
      <c r="J12" s="34">
        <f t="shared" si="7"/>
        <v>1681578000</v>
      </c>
      <c r="K12" s="17">
        <f t="shared" si="8"/>
        <v>477</v>
      </c>
      <c r="M12" s="3" t="str">
        <f t="shared" si="1"/>
        <v>OAK</v>
      </c>
      <c r="N12" s="3" t="str">
        <f t="shared" si="2"/>
        <v>DAL</v>
      </c>
      <c r="O12" s="3">
        <f t="shared" si="3"/>
        <v>-220.51773729626078</v>
      </c>
      <c r="P12" s="3">
        <f t="shared" si="4"/>
        <v>175</v>
      </c>
      <c r="Q12" s="6">
        <f t="shared" si="23"/>
        <v>1.4534782608695651</v>
      </c>
      <c r="R12" s="6">
        <f t="shared" si="24"/>
        <v>2.75</v>
      </c>
      <c r="S12" s="48">
        <f t="shared" si="5"/>
        <v>0.68800478612025129</v>
      </c>
      <c r="T12" s="49">
        <f t="shared" si="6"/>
        <v>0.36363636363636365</v>
      </c>
      <c r="U12" s="2">
        <f t="shared" si="25"/>
        <v>4.9105295821265993E-2</v>
      </c>
      <c r="V12" s="2"/>
      <c r="W12" s="2">
        <f t="shared" si="11"/>
        <v>0.16218421124194382</v>
      </c>
      <c r="X12" s="50">
        <f t="shared" si="12"/>
        <v>0.67500478612025128</v>
      </c>
      <c r="Y12" s="2">
        <f t="shared" si="13"/>
        <v>0.35063636363636363</v>
      </c>
      <c r="Z12" s="15">
        <f t="shared" si="14"/>
        <v>477.345537757437</v>
      </c>
      <c r="AA12" s="16">
        <f t="shared" si="15"/>
        <v>1880.5003216510838</v>
      </c>
      <c r="AB12" s="3">
        <f t="shared" si="16"/>
        <v>453.47826086956513</v>
      </c>
      <c r="AC12" s="16">
        <f t="shared" si="17"/>
        <v>1786.4753055685296</v>
      </c>
      <c r="AD12" s="14">
        <f t="shared" si="18"/>
        <v>1.4534782608695651</v>
      </c>
      <c r="AE12" s="14">
        <f t="shared" si="19"/>
        <v>2.7864753055685298</v>
      </c>
      <c r="AF12" s="2">
        <f t="shared" si="20"/>
        <v>4.6881104888117697E-2</v>
      </c>
      <c r="AG12" s="7">
        <f t="shared" si="21"/>
        <v>3.6475305568529848E-2</v>
      </c>
    </row>
    <row r="13" spans="1:33" x14ac:dyDescent="0.25">
      <c r="A13">
        <v>9</v>
      </c>
      <c r="B13" s="73" t="s">
        <v>7</v>
      </c>
      <c r="C13" s="74" t="s">
        <v>26</v>
      </c>
      <c r="D13" s="74" t="s">
        <v>27</v>
      </c>
      <c r="E13" s="75">
        <v>200</v>
      </c>
      <c r="F13" s="75">
        <v>-257.42086463850228</v>
      </c>
      <c r="G13" s="76">
        <f t="shared" si="26"/>
        <v>45031.541666666664</v>
      </c>
      <c r="I13" s="33" t="str">
        <f t="shared" si="0"/>
        <v>"NFL:PHI:DEN"</v>
      </c>
      <c r="J13" s="34">
        <f t="shared" si="7"/>
        <v>1681581599.9999998</v>
      </c>
      <c r="K13" s="17">
        <f t="shared" si="8"/>
        <v>408</v>
      </c>
      <c r="M13" s="3" t="str">
        <f t="shared" si="1"/>
        <v>PHI</v>
      </c>
      <c r="N13" s="3" t="str">
        <f t="shared" si="2"/>
        <v>DEN</v>
      </c>
      <c r="O13" s="3">
        <f t="shared" si="3"/>
        <v>-257.42086463850228</v>
      </c>
      <c r="P13" s="3">
        <f t="shared" si="4"/>
        <v>200</v>
      </c>
      <c r="Q13" s="6">
        <f t="shared" si="23"/>
        <v>1.3884688995215311</v>
      </c>
      <c r="R13" s="6">
        <f t="shared" si="24"/>
        <v>3</v>
      </c>
      <c r="S13" s="48">
        <f t="shared" si="5"/>
        <v>0.72021778834556671</v>
      </c>
      <c r="T13" s="49">
        <f t="shared" si="6"/>
        <v>0.33333333333333331</v>
      </c>
      <c r="U13" s="2">
        <f t="shared" si="25"/>
        <v>5.0829162986949061E-2</v>
      </c>
      <c r="V13" s="2"/>
      <c r="W13" s="2">
        <f t="shared" si="11"/>
        <v>0.1934422275061167</v>
      </c>
      <c r="X13" s="50">
        <f t="shared" si="12"/>
        <v>0.7072177883455667</v>
      </c>
      <c r="Y13" s="2">
        <f t="shared" si="13"/>
        <v>0.3203333333333333</v>
      </c>
      <c r="Z13" s="15">
        <f t="shared" si="14"/>
        <v>408.91463107529586</v>
      </c>
      <c r="AA13" s="16">
        <f t="shared" si="15"/>
        <v>2172.7146871799227</v>
      </c>
      <c r="AB13" s="3">
        <f t="shared" si="16"/>
        <v>388.46889952153106</v>
      </c>
      <c r="AC13" s="16">
        <f t="shared" si="17"/>
        <v>2064.0789528209266</v>
      </c>
      <c r="AD13" s="14">
        <f t="shared" si="18"/>
        <v>1.3884688995215311</v>
      </c>
      <c r="AE13" s="14">
        <f t="shared" si="19"/>
        <v>3.0640789528209265</v>
      </c>
      <c r="AF13" s="2">
        <f t="shared" si="20"/>
        <v>4.6580135856017169E-2</v>
      </c>
      <c r="AG13" s="7">
        <f t="shared" si="21"/>
        <v>6.407895282092646E-2</v>
      </c>
    </row>
    <row r="14" spans="1:33" x14ac:dyDescent="0.25">
      <c r="A14">
        <v>10</v>
      </c>
      <c r="B14" s="73" t="s">
        <v>7</v>
      </c>
      <c r="C14" s="74" t="s">
        <v>28</v>
      </c>
      <c r="D14" s="74" t="s">
        <v>29</v>
      </c>
      <c r="E14" s="75">
        <v>225</v>
      </c>
      <c r="F14" s="75">
        <v>-296.42766658221433</v>
      </c>
      <c r="G14" s="76">
        <f t="shared" si="26"/>
        <v>45031.583333333328</v>
      </c>
      <c r="I14" s="33" t="str">
        <f t="shared" si="0"/>
        <v>"NFL:PIT:DET"</v>
      </c>
      <c r="J14" s="34">
        <f t="shared" si="7"/>
        <v>1681585199.9999995</v>
      </c>
      <c r="K14" s="17">
        <f t="shared" si="8"/>
        <v>355</v>
      </c>
      <c r="M14" s="3" t="str">
        <f t="shared" si="1"/>
        <v>PIT</v>
      </c>
      <c r="N14" s="3" t="str">
        <f t="shared" si="2"/>
        <v>DET</v>
      </c>
      <c r="O14" s="3">
        <f t="shared" si="3"/>
        <v>-296.42766658221433</v>
      </c>
      <c r="P14" s="3">
        <f t="shared" si="4"/>
        <v>225</v>
      </c>
      <c r="Q14" s="6">
        <f t="shared" si="23"/>
        <v>1.3373504273504273</v>
      </c>
      <c r="R14" s="6">
        <f t="shared" si="24"/>
        <v>3.25</v>
      </c>
      <c r="S14" s="48">
        <f t="shared" si="5"/>
        <v>0.74774717198184959</v>
      </c>
      <c r="T14" s="49">
        <f t="shared" si="6"/>
        <v>0.30769230769230771</v>
      </c>
      <c r="U14" s="2">
        <f t="shared" si="25"/>
        <v>5.2527388582501167E-2</v>
      </c>
      <c r="V14" s="2"/>
      <c r="W14" s="2">
        <f t="shared" si="11"/>
        <v>0.22002743214477094</v>
      </c>
      <c r="X14" s="50">
        <f t="shared" si="12"/>
        <v>0.73474717198184958</v>
      </c>
      <c r="Y14" s="2">
        <f t="shared" si="13"/>
        <v>0.2946923076923077</v>
      </c>
      <c r="Z14" s="15">
        <f t="shared" si="14"/>
        <v>355.10571300044984</v>
      </c>
      <c r="AA14" s="16">
        <f t="shared" si="15"/>
        <v>2473.221136745185</v>
      </c>
      <c r="AB14" s="3">
        <f t="shared" si="16"/>
        <v>337.35042735042731</v>
      </c>
      <c r="AC14" s="16">
        <f t="shared" si="17"/>
        <v>2349.5600799079257</v>
      </c>
      <c r="AD14" s="14">
        <f t="shared" si="18"/>
        <v>1.3373504273504273</v>
      </c>
      <c r="AE14" s="14">
        <f t="shared" si="19"/>
        <v>3.3495600799079255</v>
      </c>
      <c r="AF14" s="2">
        <f t="shared" si="20"/>
        <v>4.629383964678313E-2</v>
      </c>
      <c r="AG14" s="7">
        <f t="shared" si="21"/>
        <v>9.9560079907925481E-2</v>
      </c>
    </row>
    <row r="15" spans="1:33" x14ac:dyDescent="0.25">
      <c r="A15">
        <v>11</v>
      </c>
      <c r="B15" s="73" t="s">
        <v>36</v>
      </c>
      <c r="C15" s="74" t="s">
        <v>38</v>
      </c>
      <c r="D15" s="74" t="s">
        <v>43</v>
      </c>
      <c r="E15" s="75">
        <v>250</v>
      </c>
      <c r="F15" s="75">
        <v>-337.72330160385968</v>
      </c>
      <c r="G15" s="76">
        <f t="shared" si="26"/>
        <v>45031.624999999993</v>
      </c>
      <c r="I15" s="33" t="str">
        <f t="shared" si="0"/>
        <v>"CFB:Cincinnati:OhioState"</v>
      </c>
      <c r="J15" s="34">
        <f t="shared" si="7"/>
        <v>1681588799.9999993</v>
      </c>
      <c r="K15" s="17">
        <f t="shared" si="8"/>
        <v>311</v>
      </c>
      <c r="M15" s="3" t="str">
        <f t="shared" si="1"/>
        <v>Cincinnati</v>
      </c>
      <c r="N15" s="3" t="str">
        <f t="shared" si="2"/>
        <v>OhioState</v>
      </c>
      <c r="O15" s="3">
        <f t="shared" si="3"/>
        <v>-337.72330160385968</v>
      </c>
      <c r="P15" s="3">
        <f t="shared" si="4"/>
        <v>250</v>
      </c>
      <c r="Q15" s="6">
        <f t="shared" si="23"/>
        <v>1.2961003861003861</v>
      </c>
      <c r="R15" s="6">
        <f t="shared" si="24"/>
        <v>3.5</v>
      </c>
      <c r="S15" s="48">
        <f t="shared" si="5"/>
        <v>0.77154517560844826</v>
      </c>
      <c r="T15" s="49">
        <f t="shared" si="6"/>
        <v>0.2857142857142857</v>
      </c>
      <c r="U15" s="2">
        <f t="shared" si="25"/>
        <v>5.4158381568037095E-2</v>
      </c>
      <c r="V15" s="2"/>
      <c r="W15" s="2">
        <f t="shared" si="11"/>
        <v>0.24291544494708128</v>
      </c>
      <c r="X15" s="50">
        <f t="shared" si="12"/>
        <v>0.75854517560844825</v>
      </c>
      <c r="Y15" s="2">
        <f t="shared" si="13"/>
        <v>0.27271428571428569</v>
      </c>
      <c r="Z15" s="15">
        <f t="shared" si="14"/>
        <v>311.68461694777488</v>
      </c>
      <c r="AA15" s="16">
        <f t="shared" si="15"/>
        <v>2782.3777034177883</v>
      </c>
      <c r="AB15" s="3">
        <f t="shared" si="16"/>
        <v>296.10038610038612</v>
      </c>
      <c r="AC15" s="16">
        <f t="shared" si="17"/>
        <v>2643.258818246899</v>
      </c>
      <c r="AD15" s="14">
        <f t="shared" si="18"/>
        <v>1.2961003861003861</v>
      </c>
      <c r="AE15" s="14">
        <f t="shared" si="19"/>
        <v>3.643258818246899</v>
      </c>
      <c r="AF15" s="2">
        <f t="shared" si="20"/>
        <v>4.602471436413591E-2</v>
      </c>
      <c r="AG15" s="7">
        <f t="shared" si="21"/>
        <v>0.14325881824689901</v>
      </c>
    </row>
    <row r="16" spans="1:33" x14ac:dyDescent="0.25">
      <c r="A16">
        <v>12</v>
      </c>
      <c r="B16" s="73" t="s">
        <v>36</v>
      </c>
      <c r="C16" s="74" t="s">
        <v>39</v>
      </c>
      <c r="D16" s="74" t="s">
        <v>44</v>
      </c>
      <c r="E16" s="75">
        <v>275</v>
      </c>
      <c r="F16" s="75">
        <v>-381.51531434712518</v>
      </c>
      <c r="G16" s="76">
        <f t="shared" si="26"/>
        <v>45032.5</v>
      </c>
      <c r="I16" s="33" t="str">
        <f t="shared" si="0"/>
        <v>"CFB:Kentucky:Alabama"</v>
      </c>
      <c r="J16" s="34">
        <f t="shared" si="7"/>
        <v>1681664400</v>
      </c>
      <c r="K16" s="17">
        <f t="shared" si="8"/>
        <v>275</v>
      </c>
      <c r="M16" s="3" t="str">
        <f t="shared" si="1"/>
        <v>Kentucky</v>
      </c>
      <c r="N16" s="3" t="str">
        <f t="shared" si="2"/>
        <v>Alabama</v>
      </c>
      <c r="O16" s="3">
        <f t="shared" si="3"/>
        <v>-381.51531434712518</v>
      </c>
      <c r="P16" s="3">
        <f t="shared" si="4"/>
        <v>275</v>
      </c>
      <c r="Q16" s="6">
        <f t="shared" si="23"/>
        <v>1.2621126760563381</v>
      </c>
      <c r="R16" s="6">
        <f t="shared" si="24"/>
        <v>3.75</v>
      </c>
      <c r="S16" s="48">
        <f t="shared" si="5"/>
        <v>0.79232228545921202</v>
      </c>
      <c r="T16" s="49">
        <f t="shared" si="6"/>
        <v>0.26666666666666666</v>
      </c>
      <c r="U16" s="2">
        <f t="shared" si="25"/>
        <v>5.5703085483055137E-2</v>
      </c>
      <c r="V16" s="2"/>
      <c r="W16" s="2">
        <f t="shared" si="11"/>
        <v>0.2628278093962727</v>
      </c>
      <c r="X16" s="50">
        <f t="shared" si="12"/>
        <v>0.77932228545921201</v>
      </c>
      <c r="Y16" s="2">
        <f t="shared" si="13"/>
        <v>0.25366666666666665</v>
      </c>
      <c r="Z16" s="15">
        <f t="shared" si="14"/>
        <v>275.90808005930336</v>
      </c>
      <c r="AA16" s="16">
        <f t="shared" si="15"/>
        <v>3100.5633333177866</v>
      </c>
      <c r="AB16" s="3">
        <f t="shared" si="16"/>
        <v>262.11267605633816</v>
      </c>
      <c r="AC16" s="16">
        <f t="shared" si="17"/>
        <v>2945.5351666518973</v>
      </c>
      <c r="AD16" s="14">
        <f t="shared" si="18"/>
        <v>1.2621126760563381</v>
      </c>
      <c r="AE16" s="14">
        <f t="shared" si="19"/>
        <v>3.9455351666518972</v>
      </c>
      <c r="AF16" s="2">
        <f t="shared" si="20"/>
        <v>4.5773327652958384E-2</v>
      </c>
      <c r="AG16" s="7">
        <f t="shared" si="21"/>
        <v>0.19553516665189719</v>
      </c>
    </row>
    <row r="17" spans="1:33" x14ac:dyDescent="0.25">
      <c r="A17">
        <v>13</v>
      </c>
      <c r="B17" s="73" t="s">
        <v>36</v>
      </c>
      <c r="C17" s="74" t="s">
        <v>40</v>
      </c>
      <c r="D17" s="74" t="s">
        <v>45</v>
      </c>
      <c r="E17" s="75">
        <v>300</v>
      </c>
      <c r="F17" s="75">
        <v>-428.03712425543705</v>
      </c>
      <c r="G17" s="76">
        <f t="shared" si="26"/>
        <v>45032.541666666664</v>
      </c>
      <c r="I17" s="33" t="str">
        <f t="shared" si="0"/>
        <v>"CFB:Texas:Oregon"</v>
      </c>
      <c r="J17" s="34">
        <f t="shared" si="7"/>
        <v>1681667999.9999998</v>
      </c>
      <c r="K17" s="17">
        <f t="shared" si="8"/>
        <v>245</v>
      </c>
      <c r="M17" s="3" t="str">
        <f t="shared" si="1"/>
        <v>Texas</v>
      </c>
      <c r="N17" s="3" t="str">
        <f t="shared" si="2"/>
        <v>Oregon</v>
      </c>
      <c r="O17" s="3">
        <f t="shared" si="3"/>
        <v>-428.03712425543705</v>
      </c>
      <c r="P17" s="3">
        <f t="shared" si="4"/>
        <v>300</v>
      </c>
      <c r="Q17" s="6">
        <f t="shared" si="23"/>
        <v>1.2336245954692555</v>
      </c>
      <c r="R17" s="6">
        <f t="shared" si="24"/>
        <v>4</v>
      </c>
      <c r="S17" s="48">
        <f t="shared" si="5"/>
        <v>0.81061937616411772</v>
      </c>
      <c r="T17" s="49">
        <f t="shared" si="6"/>
        <v>0.25</v>
      </c>
      <c r="U17" s="2">
        <f t="shared" si="25"/>
        <v>5.7154694253612748E-2</v>
      </c>
      <c r="V17" s="2"/>
      <c r="W17" s="2">
        <f t="shared" si="11"/>
        <v>0.28030968808205886</v>
      </c>
      <c r="X17" s="50">
        <f t="shared" si="12"/>
        <v>0.79761937616411771</v>
      </c>
      <c r="Y17" s="2">
        <f t="shared" si="13"/>
        <v>0.23699999999999999</v>
      </c>
      <c r="Z17" s="15">
        <f t="shared" si="14"/>
        <v>245.92062680974263</v>
      </c>
      <c r="AA17" s="16">
        <f t="shared" si="15"/>
        <v>3428.1794351809253</v>
      </c>
      <c r="AB17" s="3">
        <f t="shared" si="16"/>
        <v>233.6245954692555</v>
      </c>
      <c r="AC17" s="16">
        <f t="shared" si="17"/>
        <v>3256.770463421879</v>
      </c>
      <c r="AD17" s="14">
        <f t="shared" si="18"/>
        <v>1.2336245954692555</v>
      </c>
      <c r="AE17" s="14">
        <f t="shared" si="19"/>
        <v>4.256770463421879</v>
      </c>
      <c r="AF17" s="2">
        <f t="shared" si="20"/>
        <v>4.5539254647801064E-2</v>
      </c>
      <c r="AG17" s="7">
        <f t="shared" si="21"/>
        <v>0.25677046342187904</v>
      </c>
    </row>
    <row r="18" spans="1:33" x14ac:dyDescent="0.25">
      <c r="A18">
        <v>14</v>
      </c>
      <c r="B18" s="73" t="s">
        <v>36</v>
      </c>
      <c r="C18" s="74" t="s">
        <v>41</v>
      </c>
      <c r="D18" s="74" t="s">
        <v>46</v>
      </c>
      <c r="E18" s="75">
        <v>325</v>
      </c>
      <c r="F18" s="75">
        <v>-477.55218758936235</v>
      </c>
      <c r="G18" s="76">
        <f t="shared" si="26"/>
        <v>45032.583333333328</v>
      </c>
      <c r="I18" s="33" t="str">
        <f t="shared" si="0"/>
        <v>"CFB:LSU:USC"</v>
      </c>
      <c r="J18" s="34">
        <f t="shared" si="7"/>
        <v>1681671599.9999995</v>
      </c>
      <c r="K18" s="17">
        <f t="shared" si="8"/>
        <v>220</v>
      </c>
      <c r="M18" s="3" t="str">
        <f t="shared" si="1"/>
        <v>LSU</v>
      </c>
      <c r="N18" s="3" t="str">
        <f t="shared" si="2"/>
        <v>USC</v>
      </c>
      <c r="O18" s="3">
        <f t="shared" si="3"/>
        <v>-477.55218758936235</v>
      </c>
      <c r="P18" s="3">
        <f t="shared" si="4"/>
        <v>325</v>
      </c>
      <c r="Q18" s="6">
        <f t="shared" si="23"/>
        <v>1.2094011976047905</v>
      </c>
      <c r="R18" s="6">
        <f t="shared" si="24"/>
        <v>4.25</v>
      </c>
      <c r="S18" s="48">
        <f t="shared" si="5"/>
        <v>0.82685547358518585</v>
      </c>
      <c r="T18" s="49">
        <f t="shared" si="6"/>
        <v>0.23529411764705882</v>
      </c>
      <c r="U18" s="2">
        <f t="shared" si="25"/>
        <v>5.8513030316325154E-2</v>
      </c>
      <c r="V18" s="2"/>
      <c r="W18" s="2">
        <f t="shared" si="11"/>
        <v>0.29578067796906349</v>
      </c>
      <c r="X18" s="50">
        <f t="shared" si="12"/>
        <v>0.81385547358518584</v>
      </c>
      <c r="Y18" s="2">
        <f t="shared" si="13"/>
        <v>0.22229411764705881</v>
      </c>
      <c r="Z18" s="15">
        <f t="shared" si="14"/>
        <v>220.4223132682005</v>
      </c>
      <c r="AA18" s="16">
        <f t="shared" si="15"/>
        <v>3765.6515697770769</v>
      </c>
      <c r="AB18" s="3">
        <f t="shared" si="16"/>
        <v>209.40119760479047</v>
      </c>
      <c r="AC18" s="16">
        <f t="shared" si="17"/>
        <v>3577.3689912882228</v>
      </c>
      <c r="AD18" s="14">
        <f t="shared" si="18"/>
        <v>1.2094011976047905</v>
      </c>
      <c r="AE18" s="14">
        <f t="shared" si="19"/>
        <v>4.5773689912882229</v>
      </c>
      <c r="AF18" s="2">
        <f t="shared" si="20"/>
        <v>4.5321584117945513E-2</v>
      </c>
      <c r="AG18" s="7">
        <f t="shared" si="21"/>
        <v>0.32736899128822294</v>
      </c>
    </row>
    <row r="19" spans="1:33" x14ac:dyDescent="0.25">
      <c r="A19">
        <v>15</v>
      </c>
      <c r="B19" s="73" t="s">
        <v>36</v>
      </c>
      <c r="C19" s="74" t="s">
        <v>42</v>
      </c>
      <c r="D19" s="74" t="s">
        <v>47</v>
      </c>
      <c r="E19" s="75">
        <v>350</v>
      </c>
      <c r="F19" s="75">
        <v>-530.35898951100614</v>
      </c>
      <c r="G19" s="76">
        <f t="shared" si="26"/>
        <v>45032.624999999993</v>
      </c>
      <c r="I19" s="33" t="str">
        <f t="shared" si="0"/>
        <v>"CFB:Auburn:UCLA"</v>
      </c>
      <c r="J19" s="34">
        <f t="shared" si="7"/>
        <v>1681675199.9999993</v>
      </c>
      <c r="K19" s="17">
        <f t="shared" si="8"/>
        <v>198</v>
      </c>
      <c r="M19" s="3" t="str">
        <f t="shared" si="1"/>
        <v>Auburn</v>
      </c>
      <c r="N19" s="3" t="str">
        <f t="shared" si="2"/>
        <v>UCLA</v>
      </c>
      <c r="O19" s="3">
        <f t="shared" si="3"/>
        <v>-530.35898951100614</v>
      </c>
      <c r="P19" s="3">
        <f t="shared" si="4"/>
        <v>350</v>
      </c>
      <c r="Q19" s="6">
        <f t="shared" si="23"/>
        <v>1.1885515320334261</v>
      </c>
      <c r="R19" s="6">
        <f t="shared" si="24"/>
        <v>4.5</v>
      </c>
      <c r="S19" s="48">
        <f t="shared" si="5"/>
        <v>0.84136023811197835</v>
      </c>
      <c r="T19" s="49">
        <f t="shared" si="6"/>
        <v>0.22222222222222221</v>
      </c>
      <c r="U19" s="2">
        <f t="shared" si="25"/>
        <v>5.9781411132166951E-2</v>
      </c>
      <c r="V19" s="2"/>
      <c r="W19" s="2">
        <f t="shared" si="11"/>
        <v>0.30956900794487807</v>
      </c>
      <c r="X19" s="50">
        <f t="shared" si="12"/>
        <v>0.82836023811197834</v>
      </c>
      <c r="Y19" s="2">
        <f t="shared" si="13"/>
        <v>0.2092222222222222</v>
      </c>
      <c r="Z19" s="15">
        <f t="shared" si="14"/>
        <v>198.47529687729065</v>
      </c>
      <c r="AA19" s="16">
        <f t="shared" si="15"/>
        <v>4113.4312941311327</v>
      </c>
      <c r="AB19" s="3">
        <f t="shared" si="16"/>
        <v>188.5515320334261</v>
      </c>
      <c r="AC19" s="16">
        <f t="shared" si="17"/>
        <v>3907.7597294245761</v>
      </c>
      <c r="AD19" s="14">
        <f t="shared" si="18"/>
        <v>1.1885515320334261</v>
      </c>
      <c r="AE19" s="14">
        <f t="shared" si="19"/>
        <v>4.9077597294245763</v>
      </c>
      <c r="AF19" s="2">
        <f t="shared" si="20"/>
        <v>4.5119194363336668E-2</v>
      </c>
      <c r="AG19" s="7">
        <f t="shared" si="21"/>
        <v>0.40775972942457628</v>
      </c>
    </row>
    <row r="20" spans="1:33" x14ac:dyDescent="0.25">
      <c r="A20">
        <v>16</v>
      </c>
      <c r="B20" s="73" t="s">
        <v>37</v>
      </c>
      <c r="C20" s="74" t="s">
        <v>30</v>
      </c>
      <c r="D20" s="74" t="s">
        <v>31</v>
      </c>
      <c r="E20" s="75">
        <v>375</v>
      </c>
      <c r="F20" s="75">
        <v>-586.79706601466989</v>
      </c>
      <c r="G20" s="76">
        <f t="shared" si="26"/>
        <v>45033.5</v>
      </c>
      <c r="I20" s="33" t="str">
        <f t="shared" si="0"/>
        <v>"MMA:Kattar:Holloway"</v>
      </c>
      <c r="J20" s="34">
        <f t="shared" si="7"/>
        <v>1681750800</v>
      </c>
      <c r="K20" s="17">
        <f t="shared" si="8"/>
        <v>179</v>
      </c>
      <c r="M20" s="3" t="str">
        <f t="shared" si="1"/>
        <v>Kattar</v>
      </c>
      <c r="N20" s="3" t="str">
        <f t="shared" si="2"/>
        <v>Holloway</v>
      </c>
      <c r="O20" s="3">
        <f t="shared" si="3"/>
        <v>-586.79706601466989</v>
      </c>
      <c r="P20" s="3">
        <f t="shared" si="4"/>
        <v>375</v>
      </c>
      <c r="Q20" s="6">
        <f t="shared" si="23"/>
        <v>1.1704166666666667</v>
      </c>
      <c r="R20" s="6">
        <f t="shared" si="24"/>
        <v>4.75</v>
      </c>
      <c r="S20" s="48">
        <f t="shared" si="5"/>
        <v>0.85439658241367034</v>
      </c>
      <c r="T20" s="49">
        <f t="shared" si="6"/>
        <v>0.21052631578947367</v>
      </c>
      <c r="U20" s="2">
        <f t="shared" si="25"/>
        <v>6.0964881413188787E-2</v>
      </c>
      <c r="V20" s="2"/>
      <c r="W20" s="2">
        <f t="shared" si="11"/>
        <v>0.32193513331209833</v>
      </c>
      <c r="X20" s="50">
        <f t="shared" si="12"/>
        <v>0.84139658241367032</v>
      </c>
      <c r="Y20" s="2">
        <f t="shared" si="13"/>
        <v>0.19752631578947366</v>
      </c>
      <c r="Z20" s="15">
        <f t="shared" si="14"/>
        <v>179.38596491228068</v>
      </c>
      <c r="AA20" s="16">
        <f t="shared" si="15"/>
        <v>4471.9981773516129</v>
      </c>
      <c r="AB20" s="3">
        <f t="shared" si="16"/>
        <v>170.41666666666663</v>
      </c>
      <c r="AC20" s="16">
        <f t="shared" si="17"/>
        <v>4248.3982684840321</v>
      </c>
      <c r="AD20" s="14">
        <f t="shared" si="18"/>
        <v>1.1704166666666667</v>
      </c>
      <c r="AE20" s="14">
        <f t="shared" si="19"/>
        <v>5.2483982684840322</v>
      </c>
      <c r="AF20" s="2">
        <f t="shared" si="20"/>
        <v>4.493090333303984E-2</v>
      </c>
      <c r="AG20" s="7">
        <f t="shared" si="21"/>
        <v>0.49839826848403224</v>
      </c>
    </row>
    <row r="21" spans="1:33" x14ac:dyDescent="0.25">
      <c r="A21">
        <v>17</v>
      </c>
      <c r="B21" s="73" t="s">
        <v>37</v>
      </c>
      <c r="C21" s="74" t="s">
        <v>32</v>
      </c>
      <c r="D21" s="74" t="s">
        <v>33</v>
      </c>
      <c r="E21" s="75">
        <v>400</v>
      </c>
      <c r="F21" s="75">
        <v>-647.2543123912011</v>
      </c>
      <c r="G21" s="76">
        <f t="shared" si="26"/>
        <v>45033.541666666664</v>
      </c>
      <c r="I21" s="33" t="str">
        <f t="shared" si="0"/>
        <v>"MMA:Li:Ponzinibbio"</v>
      </c>
      <c r="J21" s="34">
        <f t="shared" si="7"/>
        <v>1681754399.9999998</v>
      </c>
      <c r="K21" s="17">
        <f t="shared" si="8"/>
        <v>162</v>
      </c>
      <c r="M21" s="3" t="str">
        <f t="shared" si="1"/>
        <v>Li</v>
      </c>
      <c r="N21" s="3" t="str">
        <f t="shared" si="2"/>
        <v>Ponzinibbio</v>
      </c>
      <c r="O21" s="3">
        <f t="shared" si="3"/>
        <v>-647.2543123912011</v>
      </c>
      <c r="P21" s="3">
        <f t="shared" si="4"/>
        <v>400</v>
      </c>
      <c r="Q21" s="6">
        <f t="shared" si="23"/>
        <v>1.1544987775061124</v>
      </c>
      <c r="R21" s="6">
        <f t="shared" si="24"/>
        <v>5</v>
      </c>
      <c r="S21" s="48">
        <f t="shared" si="5"/>
        <v>0.866176750884178</v>
      </c>
      <c r="T21" s="49">
        <f t="shared" si="6"/>
        <v>0.2</v>
      </c>
      <c r="U21" s="2">
        <f t="shared" si="25"/>
        <v>6.2069212097616844E-2</v>
      </c>
      <c r="V21" s="2"/>
      <c r="W21" s="2">
        <f t="shared" si="11"/>
        <v>0.33308837544208902</v>
      </c>
      <c r="X21" s="50">
        <f t="shared" si="12"/>
        <v>0.85317675088417799</v>
      </c>
      <c r="Y21" s="2">
        <f t="shared" si="13"/>
        <v>0.187</v>
      </c>
      <c r="Z21" s="15">
        <f t="shared" si="14"/>
        <v>162.63029211169729</v>
      </c>
      <c r="AA21" s="16">
        <f t="shared" si="15"/>
        <v>4841.8620069903964</v>
      </c>
      <c r="AB21" s="3">
        <f t="shared" si="16"/>
        <v>154.49877750611242</v>
      </c>
      <c r="AC21" s="16">
        <f t="shared" si="17"/>
        <v>4599.7689066408766</v>
      </c>
      <c r="AD21" s="14">
        <f t="shared" si="18"/>
        <v>1.1544987775061124</v>
      </c>
      <c r="AE21" s="14">
        <f t="shared" si="19"/>
        <v>5.5997689066408762</v>
      </c>
      <c r="AF21" s="2">
        <f t="shared" si="20"/>
        <v>4.4755548808156576E-2</v>
      </c>
      <c r="AG21" s="7">
        <f t="shared" si="21"/>
        <v>0.59976890664087623</v>
      </c>
    </row>
    <row r="22" spans="1:33" x14ac:dyDescent="0.25">
      <c r="A22">
        <v>18</v>
      </c>
      <c r="B22" s="73" t="s">
        <v>37</v>
      </c>
      <c r="C22" s="74" t="s">
        <v>58</v>
      </c>
      <c r="D22" s="74" t="s">
        <v>59</v>
      </c>
      <c r="E22" s="75">
        <v>-476</v>
      </c>
      <c r="F22" s="75">
        <v>352</v>
      </c>
      <c r="G22" s="76">
        <f t="shared" si="26"/>
        <v>45033.583333333328</v>
      </c>
      <c r="I22" s="33" t="str">
        <f t="shared" si="0"/>
        <v>"MMA:Aldrich:Demopoulos"</v>
      </c>
      <c r="J22" s="34">
        <f t="shared" si="7"/>
        <v>1681757999.9999995</v>
      </c>
      <c r="K22" s="17">
        <f t="shared" si="8"/>
        <v>221</v>
      </c>
      <c r="M22" s="3" t="str">
        <f t="shared" si="1"/>
        <v>Aldrich</v>
      </c>
      <c r="N22" s="3" t="str">
        <f t="shared" si="2"/>
        <v>Demopoulos</v>
      </c>
      <c r="O22" s="3">
        <f t="shared" si="3"/>
        <v>-476</v>
      </c>
      <c r="P22" s="3">
        <f t="shared" si="4"/>
        <v>352</v>
      </c>
      <c r="Q22" s="6">
        <f t="shared" si="23"/>
        <v>1.2100840336134453</v>
      </c>
      <c r="R22" s="6">
        <f t="shared" si="24"/>
        <v>4.5199999999999996</v>
      </c>
      <c r="S22" s="48">
        <f t="shared" si="5"/>
        <v>0.82638888888888895</v>
      </c>
      <c r="T22" s="49">
        <f t="shared" si="6"/>
        <v>0.22123893805309736</v>
      </c>
      <c r="U22" s="2">
        <f t="shared" si="25"/>
        <v>4.546254472927802E-2</v>
      </c>
      <c r="V22" s="2"/>
      <c r="W22" s="2">
        <f t="shared" si="11"/>
        <v>0.3025749754178958</v>
      </c>
      <c r="X22" s="50">
        <f t="shared" si="12"/>
        <v>0.81338888888888894</v>
      </c>
      <c r="Y22" s="2">
        <f t="shared" si="13"/>
        <v>0.20823893805309734</v>
      </c>
      <c r="Z22" s="15">
        <f t="shared" si="14"/>
        <v>221.14108801415293</v>
      </c>
      <c r="AA22" s="16">
        <f t="shared" si="15"/>
        <v>3755.2427045760915</v>
      </c>
      <c r="AB22" s="3">
        <f t="shared" si="16"/>
        <v>210.08403361344529</v>
      </c>
      <c r="AC22" s="16">
        <f t="shared" si="17"/>
        <v>3567.4805693472867</v>
      </c>
      <c r="AD22" s="14">
        <f t="shared" si="18"/>
        <v>1.2100840336134453</v>
      </c>
      <c r="AE22" s="14">
        <f t="shared" si="19"/>
        <v>4.5674805693472873</v>
      </c>
      <c r="AF22" s="2">
        <f t="shared" si="20"/>
        <v>4.5327970252710514E-2</v>
      </c>
      <c r="AG22" s="7">
        <f t="shared" si="21"/>
        <v>4.7480569347287727E-2</v>
      </c>
    </row>
    <row r="23" spans="1:33" x14ac:dyDescent="0.25">
      <c r="A23">
        <v>19</v>
      </c>
      <c r="B23" s="73" t="s">
        <v>37</v>
      </c>
      <c r="C23" s="74" t="s">
        <v>60</v>
      </c>
      <c r="D23" s="74" t="s">
        <v>61</v>
      </c>
      <c r="E23" s="75">
        <v>225</v>
      </c>
      <c r="F23" s="75">
        <v>-286</v>
      </c>
      <c r="G23" s="76">
        <f t="shared" si="26"/>
        <v>45033.624999999993</v>
      </c>
      <c r="I23" s="33" t="str">
        <f t="shared" si="0"/>
        <v>"MMA:Di Chirico:Alhassan"</v>
      </c>
      <c r="J23" s="34">
        <f t="shared" si="7"/>
        <v>1681761599.9999993</v>
      </c>
      <c r="K23" s="17">
        <f t="shared" si="8"/>
        <v>368</v>
      </c>
      <c r="M23" s="3" t="str">
        <f t="shared" si="1"/>
        <v>Di Chirico</v>
      </c>
      <c r="N23" s="3" t="str">
        <f t="shared" si="2"/>
        <v>Alhassan</v>
      </c>
      <c r="O23" s="3">
        <f t="shared" si="3"/>
        <v>-286</v>
      </c>
      <c r="P23" s="3">
        <f t="shared" si="4"/>
        <v>225</v>
      </c>
      <c r="Q23" s="6">
        <f t="shared" si="23"/>
        <v>1.3496503496503496</v>
      </c>
      <c r="R23" s="6">
        <f t="shared" si="24"/>
        <v>3.25</v>
      </c>
      <c r="S23" s="48">
        <f t="shared" si="5"/>
        <v>0.74093264248704671</v>
      </c>
      <c r="T23" s="49">
        <f t="shared" si="6"/>
        <v>0.30769230769230771</v>
      </c>
      <c r="U23" s="2">
        <f t="shared" si="25"/>
        <v>4.6370201444317916E-2</v>
      </c>
      <c r="V23" s="2"/>
      <c r="W23" s="2">
        <f t="shared" si="11"/>
        <v>0.2166201673973695</v>
      </c>
      <c r="X23" s="50">
        <f t="shared" si="12"/>
        <v>0.7279326424870467</v>
      </c>
      <c r="Y23" s="2">
        <f t="shared" si="13"/>
        <v>0.2946923076923077</v>
      </c>
      <c r="Z23" s="15">
        <f t="shared" si="14"/>
        <v>368.05299963194693</v>
      </c>
      <c r="AA23" s="16">
        <f t="shared" si="15"/>
        <v>2393.7091446656273</v>
      </c>
      <c r="AB23" s="3">
        <f t="shared" si="16"/>
        <v>349.6503496503496</v>
      </c>
      <c r="AC23" s="16">
        <f t="shared" si="17"/>
        <v>2274.0236874323459</v>
      </c>
      <c r="AD23" s="14">
        <f t="shared" si="18"/>
        <v>1.3496503496503496</v>
      </c>
      <c r="AE23" s="14">
        <f t="shared" si="19"/>
        <v>3.2740236874323458</v>
      </c>
      <c r="AF23" s="2">
        <f t="shared" si="20"/>
        <v>4.6367207251680531E-2</v>
      </c>
      <c r="AG23" s="7">
        <f t="shared" si="21"/>
        <v>2.4023687432345842E-2</v>
      </c>
    </row>
    <row r="24" spans="1:33" x14ac:dyDescent="0.25">
      <c r="A24">
        <v>20</v>
      </c>
      <c r="B24" s="73" t="s">
        <v>37</v>
      </c>
      <c r="C24" s="74" t="s">
        <v>62</v>
      </c>
      <c r="D24" s="74" t="s">
        <v>63</v>
      </c>
      <c r="E24" s="75">
        <v>-115</v>
      </c>
      <c r="F24" s="75">
        <v>-106</v>
      </c>
      <c r="G24" s="76">
        <f t="shared" si="26"/>
        <v>45034.5</v>
      </c>
      <c r="I24" s="33" t="str">
        <f t="shared" si="0"/>
        <v>"MMA:Barboza:Chikadze"</v>
      </c>
      <c r="J24" s="34">
        <f t="shared" si="7"/>
        <v>1681837200</v>
      </c>
      <c r="K24" s="17">
        <f t="shared" si="8"/>
        <v>915</v>
      </c>
      <c r="M24" s="3" t="str">
        <f t="shared" si="1"/>
        <v>Barboza</v>
      </c>
      <c r="N24" s="3" t="str">
        <f t="shared" si="2"/>
        <v>Chikadze</v>
      </c>
      <c r="O24" s="3">
        <f t="shared" si="3"/>
        <v>-115</v>
      </c>
      <c r="P24" s="3">
        <f t="shared" si="4"/>
        <v>-106</v>
      </c>
      <c r="Q24" s="6">
        <f t="shared" si="23"/>
        <v>1.8695652173913044</v>
      </c>
      <c r="R24" s="6">
        <f t="shared" si="24"/>
        <v>1.9433962264150944</v>
      </c>
      <c r="S24" s="48">
        <f t="shared" si="5"/>
        <v>0.53488372093023251</v>
      </c>
      <c r="T24" s="49">
        <f t="shared" si="6"/>
        <v>0.5145631067961165</v>
      </c>
      <c r="U24" s="2">
        <f t="shared" si="25"/>
        <v>4.7117039586919152E-2</v>
      </c>
      <c r="V24" s="2"/>
      <c r="W24" s="2">
        <f t="shared" si="11"/>
        <v>1.0160307067058005E-2</v>
      </c>
      <c r="X24" s="50">
        <f t="shared" si="12"/>
        <v>0.5218837209302325</v>
      </c>
      <c r="Y24" s="2">
        <f t="shared" si="13"/>
        <v>0.50156310679611649</v>
      </c>
      <c r="Z24" s="15">
        <f t="shared" si="14"/>
        <v>915.33180778032045</v>
      </c>
      <c r="AA24" s="16">
        <f t="shared" si="15"/>
        <v>999.56990969370418</v>
      </c>
      <c r="AB24" s="3">
        <f t="shared" si="16"/>
        <v>869.56521739130437</v>
      </c>
      <c r="AC24" s="16">
        <f t="shared" si="17"/>
        <v>949.59141420901892</v>
      </c>
      <c r="AD24" s="14">
        <f t="shared" si="18"/>
        <v>1.8695652173913042</v>
      </c>
      <c r="AE24" s="14">
        <f t="shared" si="19"/>
        <v>1.9495914142090189</v>
      </c>
      <c r="AF24" s="2">
        <f t="shared" si="20"/>
        <v>4.7811708154528176E-2</v>
      </c>
      <c r="AG24" s="7">
        <f t="shared" si="21"/>
        <v>6.1951877939245836E-3</v>
      </c>
    </row>
    <row r="25" spans="1:33" x14ac:dyDescent="0.25">
      <c r="A25">
        <v>21</v>
      </c>
      <c r="B25" s="73" t="s">
        <v>37</v>
      </c>
      <c r="C25" s="74" t="s">
        <v>64</v>
      </c>
      <c r="D25" s="74" t="s">
        <v>65</v>
      </c>
      <c r="E25" s="75">
        <v>-156</v>
      </c>
      <c r="F25" s="75">
        <v>128</v>
      </c>
      <c r="G25" s="76">
        <f t="shared" si="26"/>
        <v>45034.541666666664</v>
      </c>
      <c r="I25" s="33" t="str">
        <f t="shared" si="0"/>
        <v>"MMA:Emmers:Sabatini"</v>
      </c>
      <c r="J25" s="34">
        <f t="shared" si="7"/>
        <v>1681840799.9999998</v>
      </c>
      <c r="K25" s="17">
        <f t="shared" si="8"/>
        <v>674</v>
      </c>
      <c r="M25" s="3" t="str">
        <f t="shared" si="1"/>
        <v>Emmers</v>
      </c>
      <c r="N25" s="3" t="str">
        <f t="shared" si="2"/>
        <v>Sabatini</v>
      </c>
      <c r="O25" s="3">
        <f t="shared" si="3"/>
        <v>-156</v>
      </c>
      <c r="P25" s="3">
        <f t="shared" si="4"/>
        <v>128</v>
      </c>
      <c r="Q25" s="6">
        <f t="shared" si="23"/>
        <v>1.641025641025641</v>
      </c>
      <c r="R25" s="6">
        <f t="shared" si="24"/>
        <v>2.2800000000000002</v>
      </c>
      <c r="S25" s="48">
        <f t="shared" ref="S25:S32" si="27">1/Q25</f>
        <v>0.609375</v>
      </c>
      <c r="T25" s="49">
        <f t="shared" ref="T25:T32" si="28">1/R25</f>
        <v>0.43859649122807015</v>
      </c>
      <c r="U25" s="2">
        <f t="shared" si="25"/>
        <v>4.5775568924928067E-2</v>
      </c>
      <c r="V25" s="2"/>
      <c r="W25" s="2">
        <f t="shared" si="11"/>
        <v>8.5389254385964924E-2</v>
      </c>
      <c r="X25" s="50">
        <f t="shared" si="12"/>
        <v>0.59637499999999999</v>
      </c>
      <c r="Y25" s="2">
        <f t="shared" si="13"/>
        <v>0.42559649122807014</v>
      </c>
      <c r="Z25" s="15">
        <f t="shared" si="14"/>
        <v>674.76383265856953</v>
      </c>
      <c r="AA25" s="16">
        <f t="shared" si="15"/>
        <v>1350.1596808266274</v>
      </c>
      <c r="AB25" s="3">
        <f t="shared" si="16"/>
        <v>641.02564102564099</v>
      </c>
      <c r="AC25" s="16">
        <f t="shared" si="17"/>
        <v>1282.6516967852961</v>
      </c>
      <c r="AD25" s="14">
        <f t="shared" si="18"/>
        <v>1.641025641025641</v>
      </c>
      <c r="AE25" s="14">
        <f t="shared" si="19"/>
        <v>2.2826516967852961</v>
      </c>
      <c r="AF25" s="2">
        <f t="shared" si="20"/>
        <v>4.7461985153415931E-2</v>
      </c>
      <c r="AG25" s="7">
        <f t="shared" si="21"/>
        <v>2.6516967852958651E-3</v>
      </c>
    </row>
    <row r="26" spans="1:33" x14ac:dyDescent="0.25">
      <c r="A26">
        <v>22</v>
      </c>
      <c r="B26" s="73" t="s">
        <v>37</v>
      </c>
      <c r="C26" s="74" t="s">
        <v>66</v>
      </c>
      <c r="D26" s="74" t="s">
        <v>67</v>
      </c>
      <c r="E26" s="75">
        <v>-196</v>
      </c>
      <c r="F26" s="75">
        <v>161</v>
      </c>
      <c r="G26" s="76">
        <f t="shared" si="26"/>
        <v>45034.583333333328</v>
      </c>
      <c r="I26" s="33" t="str">
        <f t="shared" si="0"/>
        <v>"MMA:Jacoby:Stewart"</v>
      </c>
      <c r="J26" s="34">
        <f t="shared" si="7"/>
        <v>1681844399.9999995</v>
      </c>
      <c r="K26" s="17">
        <f t="shared" si="8"/>
        <v>537</v>
      </c>
      <c r="M26" s="3" t="str">
        <f t="shared" si="1"/>
        <v>Jacoby</v>
      </c>
      <c r="N26" s="3" t="str">
        <f t="shared" si="2"/>
        <v>Stewart</v>
      </c>
      <c r="O26" s="3">
        <f t="shared" si="3"/>
        <v>-196</v>
      </c>
      <c r="P26" s="3">
        <f t="shared" si="4"/>
        <v>161</v>
      </c>
      <c r="Q26" s="6">
        <f t="shared" si="23"/>
        <v>1.510204081632653</v>
      </c>
      <c r="R26" s="6">
        <f t="shared" si="24"/>
        <v>2.6100000000000003</v>
      </c>
      <c r="S26" s="48">
        <f t="shared" si="27"/>
        <v>0.66216216216216217</v>
      </c>
      <c r="T26" s="49">
        <f t="shared" si="28"/>
        <v>0.38314176245210724</v>
      </c>
      <c r="U26" s="2">
        <f t="shared" si="25"/>
        <v>4.3340432909009907E-2</v>
      </c>
      <c r="V26" s="2"/>
      <c r="W26" s="2">
        <f t="shared" si="11"/>
        <v>0.13951019985502747</v>
      </c>
      <c r="X26" s="50">
        <f t="shared" si="12"/>
        <v>0.64916216216216216</v>
      </c>
      <c r="Y26" s="2">
        <f t="shared" si="13"/>
        <v>0.37014176245210723</v>
      </c>
      <c r="Z26" s="15">
        <f t="shared" si="14"/>
        <v>537.05692803437148</v>
      </c>
      <c r="AA26" s="16">
        <f t="shared" si="15"/>
        <v>1681.945921180037</v>
      </c>
      <c r="AB26" s="3">
        <f t="shared" si="16"/>
        <v>510.2040816326529</v>
      </c>
      <c r="AC26" s="16">
        <f t="shared" si="17"/>
        <v>1597.848625121035</v>
      </c>
      <c r="AD26" s="14">
        <f t="shared" si="18"/>
        <v>1.510204081632653</v>
      </c>
      <c r="AE26" s="14">
        <f t="shared" si="19"/>
        <v>2.5978486251210349</v>
      </c>
      <c r="AF26" s="2">
        <f t="shared" si="20"/>
        <v>4.7096061054523464E-2</v>
      </c>
      <c r="AG26" s="7">
        <f t="shared" si="21"/>
        <v>-1.2151374878965449E-2</v>
      </c>
    </row>
    <row r="27" spans="1:33" x14ac:dyDescent="0.25">
      <c r="A27">
        <v>23</v>
      </c>
      <c r="B27" s="73" t="s">
        <v>37</v>
      </c>
      <c r="C27" s="74" t="s">
        <v>68</v>
      </c>
      <c r="D27" s="74" t="s">
        <v>69</v>
      </c>
      <c r="E27" s="75">
        <v>-147</v>
      </c>
      <c r="F27" s="75">
        <v>119</v>
      </c>
      <c r="G27" s="76">
        <f t="shared" si="26"/>
        <v>45034.624999999993</v>
      </c>
      <c r="I27" s="33" t="str">
        <f t="shared" si="0"/>
        <v>"MMA:Lee:Rodriguez"</v>
      </c>
      <c r="J27" s="34">
        <f t="shared" si="7"/>
        <v>1681847999.9999993</v>
      </c>
      <c r="K27" s="17">
        <f t="shared" si="8"/>
        <v>716</v>
      </c>
      <c r="M27" s="3" t="str">
        <f t="shared" si="1"/>
        <v>Lee</v>
      </c>
      <c r="N27" s="3" t="str">
        <f t="shared" si="2"/>
        <v>Rodriguez</v>
      </c>
      <c r="O27" s="3">
        <f t="shared" si="3"/>
        <v>-147</v>
      </c>
      <c r="P27" s="3">
        <f t="shared" si="4"/>
        <v>119</v>
      </c>
      <c r="Q27" s="6">
        <f t="shared" si="23"/>
        <v>1.6802721088435375</v>
      </c>
      <c r="R27" s="6">
        <f t="shared" si="24"/>
        <v>2.19</v>
      </c>
      <c r="S27" s="48">
        <f t="shared" si="27"/>
        <v>0.59514170040485825</v>
      </c>
      <c r="T27" s="49">
        <f t="shared" si="28"/>
        <v>0.45662100456621008</v>
      </c>
      <c r="U27" s="2">
        <f t="shared" si="25"/>
        <v>4.9215193433287063E-2</v>
      </c>
      <c r="V27" s="2"/>
      <c r="W27" s="2">
        <f t="shared" si="11"/>
        <v>6.9260347919324089E-2</v>
      </c>
      <c r="X27" s="50">
        <f t="shared" si="12"/>
        <v>0.58214170040485824</v>
      </c>
      <c r="Y27" s="2">
        <f t="shared" si="13"/>
        <v>0.44362100456621006</v>
      </c>
      <c r="Z27" s="15">
        <f t="shared" si="14"/>
        <v>716.07590404582891</v>
      </c>
      <c r="AA27" s="16">
        <f t="shared" si="15"/>
        <v>1274.1291197398957</v>
      </c>
      <c r="AB27" s="3">
        <f t="shared" si="16"/>
        <v>680.27210884353747</v>
      </c>
      <c r="AC27" s="16">
        <f t="shared" si="17"/>
        <v>1210.4226637529009</v>
      </c>
      <c r="AD27" s="14">
        <f t="shared" si="18"/>
        <v>1.6802721088435375</v>
      </c>
      <c r="AE27" s="14">
        <f t="shared" si="19"/>
        <v>2.210422663752901</v>
      </c>
      <c r="AF27" s="2">
        <f t="shared" si="20"/>
        <v>4.7543866017012881E-2</v>
      </c>
      <c r="AG27" s="7">
        <f t="shared" si="21"/>
        <v>2.0422663752901027E-2</v>
      </c>
    </row>
    <row r="28" spans="1:33" x14ac:dyDescent="0.25">
      <c r="A28">
        <v>24</v>
      </c>
      <c r="B28" s="73" t="s">
        <v>37</v>
      </c>
      <c r="C28" s="74" t="s">
        <v>70</v>
      </c>
      <c r="D28" s="74" t="s">
        <v>71</v>
      </c>
      <c r="E28" s="75">
        <v>-286</v>
      </c>
      <c r="F28" s="75">
        <v>228</v>
      </c>
      <c r="G28" s="76">
        <f t="shared" si="26"/>
        <v>45035.5</v>
      </c>
      <c r="I28" s="33" t="str">
        <f t="shared" si="0"/>
        <v>"MMA:Martinez:Cannetti"</v>
      </c>
      <c r="J28" s="34">
        <f t="shared" si="7"/>
        <v>1681923600</v>
      </c>
      <c r="K28" s="17">
        <f t="shared" si="8"/>
        <v>368</v>
      </c>
      <c r="M28" s="3" t="str">
        <f t="shared" si="1"/>
        <v>Martinez</v>
      </c>
      <c r="N28" s="3" t="str">
        <f t="shared" si="2"/>
        <v>Cannetti</v>
      </c>
      <c r="O28" s="3">
        <f t="shared" si="3"/>
        <v>-286</v>
      </c>
      <c r="P28" s="3">
        <f t="shared" si="4"/>
        <v>228</v>
      </c>
      <c r="Q28" s="6">
        <f t="shared" si="23"/>
        <v>1.3496503496503496</v>
      </c>
      <c r="R28" s="6">
        <f t="shared" si="24"/>
        <v>3.28</v>
      </c>
      <c r="S28" s="48">
        <f t="shared" si="27"/>
        <v>0.74093264248704671</v>
      </c>
      <c r="T28" s="49">
        <f t="shared" si="28"/>
        <v>0.3048780487804878</v>
      </c>
      <c r="U28" s="2">
        <f t="shared" si="25"/>
        <v>4.3803999758322831E-2</v>
      </c>
      <c r="V28" s="2"/>
      <c r="W28" s="2">
        <f t="shared" si="11"/>
        <v>0.21802729685327946</v>
      </c>
      <c r="X28" s="50">
        <f t="shared" si="12"/>
        <v>0.7279326424870467</v>
      </c>
      <c r="Y28" s="2">
        <f t="shared" si="13"/>
        <v>0.29187804878048779</v>
      </c>
      <c r="Z28" s="15">
        <f t="shared" si="14"/>
        <v>368.05299963194693</v>
      </c>
      <c r="AA28" s="16">
        <f t="shared" si="15"/>
        <v>2393.7091446656273</v>
      </c>
      <c r="AB28" s="3">
        <f t="shared" si="16"/>
        <v>349.6503496503496</v>
      </c>
      <c r="AC28" s="16">
        <f t="shared" si="17"/>
        <v>2274.0236874323459</v>
      </c>
      <c r="AD28" s="14">
        <f t="shared" si="18"/>
        <v>1.3496503496503496</v>
      </c>
      <c r="AE28" s="14">
        <f t="shared" si="19"/>
        <v>3.2740236874323458</v>
      </c>
      <c r="AF28" s="2">
        <f t="shared" si="20"/>
        <v>4.6367207251680531E-2</v>
      </c>
      <c r="AG28" s="7">
        <f t="shared" si="21"/>
        <v>-5.976312567653963E-3</v>
      </c>
    </row>
    <row r="29" spans="1:33" s="54" customFormat="1" x14ac:dyDescent="0.25">
      <c r="A29" s="54">
        <v>25</v>
      </c>
      <c r="B29" s="73" t="s">
        <v>37</v>
      </c>
      <c r="C29" s="74" t="s">
        <v>72</v>
      </c>
      <c r="D29" s="74" t="s">
        <v>73</v>
      </c>
      <c r="E29" s="75">
        <v>-625</v>
      </c>
      <c r="F29" s="75">
        <v>441</v>
      </c>
      <c r="G29" s="76">
        <f t="shared" si="26"/>
        <v>45035.541666666664</v>
      </c>
      <c r="H29"/>
      <c r="I29" s="33" t="str">
        <f t="shared" si="0"/>
        <v>"MMA:Muradov:Meerschaert"</v>
      </c>
      <c r="J29" s="34">
        <f t="shared" si="7"/>
        <v>1681927199.9999998</v>
      </c>
      <c r="K29" s="17">
        <f t="shared" si="8"/>
        <v>168</v>
      </c>
      <c r="L29"/>
      <c r="M29" s="55" t="str">
        <f t="shared" si="1"/>
        <v>Muradov</v>
      </c>
      <c r="N29" s="55" t="str">
        <f t="shared" si="2"/>
        <v>Meerschaert</v>
      </c>
      <c r="O29" s="3">
        <f t="shared" si="3"/>
        <v>-625</v>
      </c>
      <c r="P29" s="3">
        <f t="shared" si="4"/>
        <v>441</v>
      </c>
      <c r="Q29" s="56">
        <f t="shared" si="23"/>
        <v>1.1599999999999999</v>
      </c>
      <c r="R29" s="56">
        <f t="shared" si="24"/>
        <v>5.41</v>
      </c>
      <c r="S29" s="57">
        <f t="shared" si="27"/>
        <v>0.86206896551724144</v>
      </c>
      <c r="T29" s="58">
        <f t="shared" si="28"/>
        <v>0.18484288354898337</v>
      </c>
      <c r="U29" s="59">
        <f t="shared" si="25"/>
        <v>4.4809741248097446E-2</v>
      </c>
      <c r="V29" s="2"/>
      <c r="W29" s="2">
        <f t="shared" si="11"/>
        <v>0.33861304098412903</v>
      </c>
      <c r="X29" s="50">
        <f t="shared" si="12"/>
        <v>0.84906896551724143</v>
      </c>
      <c r="Y29" s="2">
        <f t="shared" si="13"/>
        <v>0.17184288354898336</v>
      </c>
      <c r="Z29" s="15">
        <f t="shared" si="14"/>
        <v>168.42105263157885</v>
      </c>
      <c r="AA29" s="16">
        <f t="shared" si="15"/>
        <v>4707.3761880940492</v>
      </c>
      <c r="AB29" s="60">
        <f t="shared" si="16"/>
        <v>159.99999999999989</v>
      </c>
      <c r="AC29" s="53">
        <f t="shared" si="17"/>
        <v>4472.0073786893463</v>
      </c>
      <c r="AD29" s="14">
        <f t="shared" si="18"/>
        <v>1.1599999999999999</v>
      </c>
      <c r="AE29" s="14">
        <f t="shared" si="19"/>
        <v>5.4720073786893462</v>
      </c>
      <c r="AF29" s="2">
        <f t="shared" si="20"/>
        <v>4.4817257102973906E-2</v>
      </c>
      <c r="AG29" s="7">
        <f t="shared" si="21"/>
        <v>6.2007378689346027E-2</v>
      </c>
    </row>
    <row r="30" spans="1:33" x14ac:dyDescent="0.25">
      <c r="A30">
        <v>26</v>
      </c>
      <c r="B30" s="73" t="s">
        <v>37</v>
      </c>
      <c r="C30" s="74" t="s">
        <v>74</v>
      </c>
      <c r="D30" s="74" t="s">
        <v>75</v>
      </c>
      <c r="E30" s="75">
        <v>-556</v>
      </c>
      <c r="F30" s="75">
        <v>401</v>
      </c>
      <c r="G30" s="76">
        <f t="shared" si="26"/>
        <v>45035.583333333328</v>
      </c>
      <c r="I30" s="33" t="str">
        <f t="shared" si="0"/>
        <v>"MMA:Petroski:Gillmore"</v>
      </c>
      <c r="J30" s="34">
        <f t="shared" si="7"/>
        <v>1681930799.9999995</v>
      </c>
      <c r="K30" s="17">
        <f t="shared" si="8"/>
        <v>189</v>
      </c>
      <c r="M30" s="3" t="str">
        <f t="shared" si="1"/>
        <v>Petroski</v>
      </c>
      <c r="N30" s="3" t="str">
        <f t="shared" si="2"/>
        <v>Gillmore</v>
      </c>
      <c r="O30" s="3">
        <f t="shared" si="3"/>
        <v>-556</v>
      </c>
      <c r="P30" s="3">
        <f t="shared" si="4"/>
        <v>401</v>
      </c>
      <c r="Q30" s="6">
        <f t="shared" si="23"/>
        <v>1.1798561151079137</v>
      </c>
      <c r="R30" s="6">
        <f t="shared" si="24"/>
        <v>5.01</v>
      </c>
      <c r="S30" s="48">
        <f t="shared" si="27"/>
        <v>0.84756097560975607</v>
      </c>
      <c r="T30" s="49">
        <f t="shared" si="28"/>
        <v>0.19960079840319361</v>
      </c>
      <c r="U30" s="2">
        <f t="shared" si="25"/>
        <v>4.5037715454619431E-2</v>
      </c>
      <c r="V30" s="2"/>
      <c r="W30" s="2">
        <f t="shared" si="11"/>
        <v>0.3239800886032812</v>
      </c>
      <c r="X30" s="50">
        <f t="shared" si="12"/>
        <v>0.83456097560975606</v>
      </c>
      <c r="Y30" s="2">
        <f t="shared" si="13"/>
        <v>0.1866007984031936</v>
      </c>
      <c r="Z30" s="15">
        <f t="shared" si="14"/>
        <v>189.32222642938282</v>
      </c>
      <c r="AA30" s="16">
        <f t="shared" si="15"/>
        <v>4277.974127630041</v>
      </c>
      <c r="AB30" s="3">
        <f t="shared" si="16"/>
        <v>179.85611510791367</v>
      </c>
      <c r="AC30" s="16">
        <f t="shared" si="17"/>
        <v>4064.075421248539</v>
      </c>
      <c r="AD30" s="14">
        <f t="shared" si="18"/>
        <v>1.1798561151079137</v>
      </c>
      <c r="AE30" s="14">
        <f t="shared" si="19"/>
        <v>5.064075421248539</v>
      </c>
      <c r="AF30" s="2">
        <f t="shared" si="20"/>
        <v>4.5030388447500069E-2</v>
      </c>
      <c r="AG30" s="7">
        <f t="shared" si="21"/>
        <v>5.4075421248539257E-2</v>
      </c>
    </row>
    <row r="31" spans="1:33" x14ac:dyDescent="0.25">
      <c r="A31">
        <v>27</v>
      </c>
      <c r="B31" s="73" t="s">
        <v>37</v>
      </c>
      <c r="C31" s="74" t="s">
        <v>76</v>
      </c>
      <c r="D31" s="74" t="s">
        <v>77</v>
      </c>
      <c r="E31" s="75">
        <v>-156</v>
      </c>
      <c r="F31" s="75">
        <v>128</v>
      </c>
      <c r="G31" s="76">
        <f t="shared" si="26"/>
        <v>45035.624999999993</v>
      </c>
      <c r="I31" s="33" t="str">
        <f t="shared" si="0"/>
        <v>"MMA:Turcios:Hiestand"</v>
      </c>
      <c r="J31" s="34">
        <f t="shared" si="7"/>
        <v>1681934399.9999993</v>
      </c>
      <c r="K31" s="17">
        <f t="shared" si="8"/>
        <v>674</v>
      </c>
      <c r="M31" s="3" t="str">
        <f t="shared" si="1"/>
        <v>Turcios</v>
      </c>
      <c r="N31" s="3" t="str">
        <f t="shared" si="2"/>
        <v>Hiestand</v>
      </c>
      <c r="O31" s="3">
        <f t="shared" si="3"/>
        <v>-156</v>
      </c>
      <c r="P31" s="3">
        <f t="shared" si="4"/>
        <v>128</v>
      </c>
      <c r="Q31" s="6">
        <f t="shared" si="23"/>
        <v>1.641025641025641</v>
      </c>
      <c r="R31" s="6">
        <f t="shared" si="24"/>
        <v>2.2800000000000002</v>
      </c>
      <c r="S31" s="48">
        <f t="shared" si="27"/>
        <v>0.609375</v>
      </c>
      <c r="T31" s="49">
        <f t="shared" si="28"/>
        <v>0.43859649122807015</v>
      </c>
      <c r="U31" s="2">
        <f t="shared" si="25"/>
        <v>4.5775568924928067E-2</v>
      </c>
      <c r="V31" s="2"/>
      <c r="W31" s="2">
        <f t="shared" si="11"/>
        <v>8.5389254385964924E-2</v>
      </c>
      <c r="X31" s="50">
        <f t="shared" si="12"/>
        <v>0.59637499999999999</v>
      </c>
      <c r="Y31" s="2">
        <f t="shared" si="13"/>
        <v>0.42559649122807014</v>
      </c>
      <c r="Z31" s="15">
        <f t="shared" si="14"/>
        <v>674.76383265856953</v>
      </c>
      <c r="AA31" s="16">
        <f t="shared" si="15"/>
        <v>1350.1596808266274</v>
      </c>
      <c r="AB31" s="3">
        <f t="shared" si="16"/>
        <v>641.02564102564099</v>
      </c>
      <c r="AC31" s="16">
        <f t="shared" si="17"/>
        <v>1282.6516967852961</v>
      </c>
      <c r="AD31" s="14">
        <f t="shared" si="18"/>
        <v>1.641025641025641</v>
      </c>
      <c r="AE31" s="14">
        <f t="shared" si="19"/>
        <v>2.2826516967852961</v>
      </c>
      <c r="AF31" s="2">
        <f t="shared" si="20"/>
        <v>4.7461985153415931E-2</v>
      </c>
      <c r="AG31" s="7">
        <f t="shared" si="21"/>
        <v>2.6516967852958651E-3</v>
      </c>
    </row>
    <row r="32" spans="1:33" x14ac:dyDescent="0.25">
      <c r="A32">
        <v>28</v>
      </c>
      <c r="B32" s="73" t="s">
        <v>37</v>
      </c>
      <c r="C32" s="74" t="s">
        <v>78</v>
      </c>
      <c r="D32" s="74" t="s">
        <v>79</v>
      </c>
      <c r="E32" s="75">
        <v>-133</v>
      </c>
      <c r="F32" s="75">
        <v>110</v>
      </c>
      <c r="G32" s="76">
        <f t="shared" si="26"/>
        <v>45036.5</v>
      </c>
      <c r="I32" s="33" t="str">
        <f t="shared" si="0"/>
        <v>"MMA:Turman:Alvey"</v>
      </c>
      <c r="J32" s="34">
        <f t="shared" si="7"/>
        <v>1682010000</v>
      </c>
      <c r="K32" s="17">
        <f t="shared" si="8"/>
        <v>791</v>
      </c>
      <c r="M32" s="3" t="str">
        <f t="shared" si="1"/>
        <v>Turman</v>
      </c>
      <c r="N32" s="3" t="str">
        <f t="shared" si="2"/>
        <v>Alvey</v>
      </c>
      <c r="O32" s="3">
        <f t="shared" si="3"/>
        <v>-133</v>
      </c>
      <c r="P32" s="3">
        <f t="shared" si="4"/>
        <v>110</v>
      </c>
      <c r="Q32" s="6">
        <f t="shared" si="23"/>
        <v>1.7518796992481203</v>
      </c>
      <c r="R32" s="6">
        <f t="shared" si="24"/>
        <v>2.1</v>
      </c>
      <c r="S32" s="48">
        <f t="shared" si="27"/>
        <v>0.57081545064377681</v>
      </c>
      <c r="T32" s="49">
        <f t="shared" si="28"/>
        <v>0.47619047619047616</v>
      </c>
      <c r="U32" s="2">
        <f t="shared" si="25"/>
        <v>4.489556900253755E-2</v>
      </c>
      <c r="V32" s="2"/>
      <c r="W32" s="2">
        <f t="shared" si="11"/>
        <v>4.7312487226650324E-2</v>
      </c>
      <c r="X32" s="50">
        <f t="shared" si="12"/>
        <v>0.5578154506437768</v>
      </c>
      <c r="Y32" s="2">
        <f t="shared" si="13"/>
        <v>0.46319047619047615</v>
      </c>
      <c r="Z32" s="15">
        <f t="shared" si="14"/>
        <v>791.45231499802139</v>
      </c>
      <c r="AA32" s="16">
        <f t="shared" si="15"/>
        <v>1154.8286908620248</v>
      </c>
      <c r="AB32" s="3">
        <f t="shared" si="16"/>
        <v>751.87969924812023</v>
      </c>
      <c r="AC32" s="16">
        <f t="shared" si="17"/>
        <v>1097.0872563189234</v>
      </c>
      <c r="AD32" s="14">
        <f t="shared" si="18"/>
        <v>1.7518796992481203</v>
      </c>
      <c r="AE32" s="14">
        <f t="shared" si="19"/>
        <v>2.0970872563189236</v>
      </c>
      <c r="AF32" s="2">
        <f t="shared" si="20"/>
        <v>4.7667330310113609E-2</v>
      </c>
      <c r="AG32" s="7">
        <f t="shared" si="21"/>
        <v>-2.9127436810765239E-3</v>
      </c>
    </row>
    <row r="33" spans="1:33" x14ac:dyDescent="0.25">
      <c r="A33">
        <v>29</v>
      </c>
      <c r="B33" s="73" t="s">
        <v>37</v>
      </c>
      <c r="C33" s="74" t="s">
        <v>80</v>
      </c>
      <c r="D33" s="74" t="s">
        <v>81</v>
      </c>
      <c r="E33" s="75">
        <v>158</v>
      </c>
      <c r="F33" s="75">
        <v>-192</v>
      </c>
      <c r="G33" s="76">
        <f t="shared" si="26"/>
        <v>45036.541666666664</v>
      </c>
      <c r="I33" s="33" t="str">
        <f t="shared" si="0"/>
        <v>"MMA:Battle:Urbina"</v>
      </c>
      <c r="J33" s="34">
        <f t="shared" si="7"/>
        <v>1682013599.9999998</v>
      </c>
      <c r="K33" s="17">
        <f t="shared" si="8"/>
        <v>548</v>
      </c>
      <c r="M33" s="3" t="str">
        <f t="shared" si="1"/>
        <v>Battle</v>
      </c>
      <c r="N33" s="3" t="str">
        <f t="shared" si="2"/>
        <v>Urbina</v>
      </c>
      <c r="O33" s="3">
        <f t="shared" si="3"/>
        <v>-192</v>
      </c>
      <c r="P33" s="3">
        <f t="shared" si="4"/>
        <v>158</v>
      </c>
      <c r="Q33" s="6">
        <f t="shared" si="23"/>
        <v>1.5208333333333333</v>
      </c>
      <c r="R33" s="6">
        <f t="shared" si="24"/>
        <v>2.58</v>
      </c>
      <c r="S33" s="48">
        <f t="shared" ref="S33:S35" si="29">1/Q33</f>
        <v>0.65753424657534254</v>
      </c>
      <c r="T33" s="49">
        <f t="shared" ref="T33:T35" si="30">1/R33</f>
        <v>0.38759689922480617</v>
      </c>
      <c r="U33" s="2">
        <f t="shared" ref="U33:U35" si="31">1-Q33*R33/(Q33+R33)</f>
        <v>4.3182280024385178E-2</v>
      </c>
      <c r="V33" s="2"/>
      <c r="W33" s="2">
        <f t="shared" si="11"/>
        <v>0.13496867367526819</v>
      </c>
      <c r="X33" s="50">
        <f t="shared" si="12"/>
        <v>0.64453424657534253</v>
      </c>
      <c r="Y33" s="2">
        <f t="shared" si="13"/>
        <v>0.37459689922480616</v>
      </c>
      <c r="Z33" s="15">
        <f t="shared" si="14"/>
        <v>548.24561403508767</v>
      </c>
      <c r="AA33" s="16">
        <f t="shared" si="15"/>
        <v>1649.2099631435026</v>
      </c>
      <c r="AB33" s="3">
        <f t="shared" ref="AB33:AB35" si="32">Z33*0.95</f>
        <v>520.83333333333326</v>
      </c>
      <c r="AC33" s="16">
        <f t="shared" ref="AC33:AC35" si="33">AA33*0.95</f>
        <v>1566.7494649863274</v>
      </c>
      <c r="AD33" s="14">
        <f t="shared" si="18"/>
        <v>1.5208333333333333</v>
      </c>
      <c r="AE33" s="14">
        <f t="shared" si="19"/>
        <v>2.5667494649863274</v>
      </c>
      <c r="AF33" s="2">
        <f t="shared" si="20"/>
        <v>4.713206811626458E-2</v>
      </c>
      <c r="AG33" s="7">
        <f t="shared" si="21"/>
        <v>-1.3250535013672682E-2</v>
      </c>
    </row>
    <row r="34" spans="1:33" x14ac:dyDescent="0.25">
      <c r="A34">
        <v>30</v>
      </c>
      <c r="B34" s="73" t="s">
        <v>37</v>
      </c>
      <c r="C34" s="74" t="s">
        <v>34</v>
      </c>
      <c r="D34" s="74" t="s">
        <v>35</v>
      </c>
      <c r="E34" s="75">
        <v>290</v>
      </c>
      <c r="F34" s="75">
        <v>-370.37037037037032</v>
      </c>
      <c r="G34" s="76">
        <f t="shared" si="26"/>
        <v>45036.583333333328</v>
      </c>
      <c r="I34" s="33" t="str">
        <f t="shared" si="0"/>
        <v>"MMA:Breese:Akhemedov"</v>
      </c>
      <c r="J34" s="34">
        <f t="shared" si="7"/>
        <v>1682017199.9999995</v>
      </c>
      <c r="K34" s="17">
        <f t="shared" si="8"/>
        <v>284</v>
      </c>
      <c r="M34" s="3" t="str">
        <f t="shared" si="1"/>
        <v>Breese</v>
      </c>
      <c r="N34" s="3" t="str">
        <f t="shared" si="2"/>
        <v>Akhemedov</v>
      </c>
      <c r="O34" s="3">
        <f t="shared" si="3"/>
        <v>-370.37037037037032</v>
      </c>
      <c r="P34" s="3">
        <f t="shared" si="4"/>
        <v>290</v>
      </c>
      <c r="Q34" s="6">
        <f t="shared" si="23"/>
        <v>1.27</v>
      </c>
      <c r="R34" s="6">
        <f t="shared" si="24"/>
        <v>3.9</v>
      </c>
      <c r="S34" s="48">
        <f t="shared" si="29"/>
        <v>0.78740157480314954</v>
      </c>
      <c r="T34" s="49">
        <f t="shared" si="30"/>
        <v>0.25641025641025644</v>
      </c>
      <c r="U34" s="2">
        <f t="shared" si="31"/>
        <v>4.1972920696324856E-2</v>
      </c>
      <c r="V34" s="2"/>
      <c r="W34" s="2">
        <f t="shared" si="11"/>
        <v>0.26549565919644658</v>
      </c>
      <c r="X34" s="50">
        <f t="shared" si="12"/>
        <v>0.77440157480314953</v>
      </c>
      <c r="Y34" s="2">
        <f t="shared" si="13"/>
        <v>0.24341025641025643</v>
      </c>
      <c r="Z34" s="15">
        <f t="shared" si="14"/>
        <v>284.21052631578948</v>
      </c>
      <c r="AA34" s="16">
        <f t="shared" si="15"/>
        <v>3020.5050016134237</v>
      </c>
      <c r="AB34" s="3">
        <f t="shared" si="32"/>
        <v>270</v>
      </c>
      <c r="AC34" s="16">
        <f t="shared" si="33"/>
        <v>2869.4797515327523</v>
      </c>
      <c r="AD34" s="14">
        <f t="shared" si="18"/>
        <v>1.27</v>
      </c>
      <c r="AE34" s="14">
        <f t="shared" si="19"/>
        <v>3.8694797515327521</v>
      </c>
      <c r="AF34" s="2">
        <f t="shared" si="20"/>
        <v>4.583424901571953E-2</v>
      </c>
      <c r="AG34" s="7">
        <f t="shared" si="21"/>
        <v>-3.0520248467247768E-2</v>
      </c>
    </row>
    <row r="35" spans="1:33" ht="15.75" thickBot="1" x14ac:dyDescent="0.3">
      <c r="A35">
        <v>31</v>
      </c>
      <c r="B35" s="78" t="s">
        <v>37</v>
      </c>
      <c r="C35" s="79" t="s">
        <v>34</v>
      </c>
      <c r="D35" s="79" t="s">
        <v>35</v>
      </c>
      <c r="E35" s="80">
        <v>-212.76595744680853</v>
      </c>
      <c r="F35" s="80">
        <v>175</v>
      </c>
      <c r="G35" s="81">
        <f>G31+1</f>
        <v>45036.624999999993</v>
      </c>
      <c r="I35" s="35" t="str">
        <f t="shared" si="0"/>
        <v>"MMA:Akhemedov:Breese"</v>
      </c>
      <c r="J35" s="36">
        <f t="shared" si="7"/>
        <v>1682020799.9999993</v>
      </c>
      <c r="K35" s="37">
        <f t="shared" si="8"/>
        <v>494</v>
      </c>
      <c r="M35" s="3" t="str">
        <f t="shared" si="1"/>
        <v>Akhemedov</v>
      </c>
      <c r="N35" s="3" t="str">
        <f t="shared" si="2"/>
        <v>Breese</v>
      </c>
      <c r="O35" s="3">
        <f t="shared" si="3"/>
        <v>-212.76595744680853</v>
      </c>
      <c r="P35" s="3">
        <f t="shared" si="4"/>
        <v>175</v>
      </c>
      <c r="Q35" s="6">
        <f t="shared" si="23"/>
        <v>1.4700000000000002</v>
      </c>
      <c r="R35" s="6">
        <f t="shared" si="24"/>
        <v>2.75</v>
      </c>
      <c r="S35" s="61">
        <f t="shared" si="29"/>
        <v>0.68027210884353728</v>
      </c>
      <c r="T35" s="62">
        <f t="shared" si="30"/>
        <v>0.36363636363636365</v>
      </c>
      <c r="U35" s="2">
        <f t="shared" si="31"/>
        <v>4.206161137440767E-2</v>
      </c>
      <c r="V35" s="2"/>
      <c r="W35" s="2">
        <f t="shared" si="11"/>
        <v>0.15831787260358682</v>
      </c>
      <c r="X35" s="50">
        <f t="shared" si="12"/>
        <v>0.66727210884353727</v>
      </c>
      <c r="Y35" s="63">
        <f t="shared" si="13"/>
        <v>0.35063636363636363</v>
      </c>
      <c r="Z35" s="64">
        <f t="shared" si="14"/>
        <v>494.73684210526329</v>
      </c>
      <c r="AA35" s="65">
        <f t="shared" si="15"/>
        <v>1818.110413806628</v>
      </c>
      <c r="AB35" s="3">
        <f t="shared" si="32"/>
        <v>470.00000000000011</v>
      </c>
      <c r="AC35" s="16">
        <f t="shared" si="33"/>
        <v>1727.2048931162965</v>
      </c>
      <c r="AD35" s="14">
        <f t="shared" si="18"/>
        <v>1.4700000000000002</v>
      </c>
      <c r="AE35" s="14">
        <f t="shared" si="19"/>
        <v>2.7272048931162964</v>
      </c>
      <c r="AF35" s="2">
        <f t="shared" si="20"/>
        <v>4.6947895662520889E-2</v>
      </c>
      <c r="AG35" s="7">
        <f t="shared" si="21"/>
        <v>-2.2795106883703564E-2</v>
      </c>
    </row>
    <row r="36" spans="1:33" ht="15.75" thickBot="1" x14ac:dyDescent="0.3"/>
    <row r="37" spans="1:33" ht="15.75" thickBot="1" x14ac:dyDescent="0.3">
      <c r="G37" s="4" t="s">
        <v>127</v>
      </c>
      <c r="I37" s="83" t="str">
        <f>"["&amp;I4&amp;","&amp;I5&amp;","&amp;I6&amp;","&amp;I7&amp;","&amp;I8&amp;","&amp;I9&amp;","&amp;I10&amp;","&amp;I11&amp;","&amp;I12&amp;","&amp;I13&amp;","&amp;I14&amp;","&amp;I15&amp;","&amp;I16&amp;","&amp;I17&amp;","&amp;I18&amp;","&amp;I19&amp;","&amp;I20&amp;","&amp;I21&amp;","&amp;I22&amp;","&amp;I23&amp;","&amp;I24&amp;","&amp;I25&amp;","&amp;I26&amp;","&amp;I27&amp;","&amp;I28&amp;","&amp;I29&amp;","&amp;I30&amp;","&amp;I31&amp;","&amp;I32&amp;","&amp;I33&amp;","&amp;I34&amp;","&amp;I35&amp;"]"</f>
        <v>["NFL:ARI:LAC","NFL:LAR:ATL","NFL:BAL:MIA","NFL:BUF:MIN","NFL:CAR:NE","NFL:NO:CHI","NFL:NYG:CIN","NFL:NYJ:CLE","NFL:OAK:DAL","NFL:PHI:DEN","NFL:PIT:DET","CFB:Cincinnati:OhioState","CFB:Kentucky:Alabama","CFB:Texas:Oregon","CFB:LSU:USC","CFB:Auburn:UCLA","MMA:Kattar:Holloway","MMA:Li:Ponzinibbio","MMA:Aldrich:Demopoulos","MMA:Di Chirico:Alhassan","MMA:Barboza:Chikadze","MMA:Emmers:Sabatini","MMA:Jacoby:Stewart","MMA:Lee:Rodriguez","MMA:Martinez:Cannetti","MMA:Muradov:Meerschaert","MMA:Petroski:Gillmore","MMA:Turcios:Hiestand","MMA:Turman:Alvey","MMA:Battle:Urbina","MMA:Breese:Akhemedov","MMA:Akhemedov:Breese"]</v>
      </c>
    </row>
    <row r="38" spans="1:33" ht="15.75" thickBot="1" x14ac:dyDescent="0.3"/>
    <row r="39" spans="1:33" ht="15.75" thickBot="1" x14ac:dyDescent="0.3">
      <c r="I39" s="83" t="str">
        <f>"["&amp;J4&amp;","&amp;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&amp;J35&amp;"]"</f>
        <v>[1681405200,1681408800,1681412400,1681416000,1681491600,1681495200,1681498800,1681502400,1681578000,1681581600,1681585200,1681588800,1681664400,1681668000,1681671600,1681675200,1681750800,1681754400,1681758000,1681761600,1681837200,1681840800,1681844400,1681848000,1681923600,1681927200,1681930800,1681934400,1682010000,1682013600,1682017200,1682020800]</v>
      </c>
    </row>
    <row r="40" spans="1:33" ht="15.75" thickBot="1" x14ac:dyDescent="0.3"/>
    <row r="41" spans="1:33" ht="15.75" thickBot="1" x14ac:dyDescent="0.3">
      <c r="I41" s="83" t="str">
        <f>"["&amp;K4&amp;","&amp;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&amp;K35&amp;"]"</f>
        <v>[65,948,631,842,956,1042,690,567,477,408,355,311,275,245,220,198,179,162,221,368,915,674,537,716,368,168,189,674,791,548,284,494]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47"/>
  <sheetViews>
    <sheetView zoomScale="75" zoomScaleNormal="75" workbookViewId="0">
      <selection activeCell="D3" sqref="D3"/>
    </sheetView>
  </sheetViews>
  <sheetFormatPr defaultRowHeight="15" x14ac:dyDescent="0.25"/>
  <cols>
    <col min="3" max="3" width="11" bestFit="1" customWidth="1"/>
    <col min="4" max="4" width="13.28515625" customWidth="1"/>
    <col min="5" max="5" width="23.140625" bestFit="1" customWidth="1"/>
    <col min="6" max="6" width="11" customWidth="1"/>
    <col min="7" max="7" width="11" bestFit="1" customWidth="1"/>
    <col min="8" max="8" width="14.42578125" bestFit="1" customWidth="1"/>
    <col min="9" max="9" width="23.140625" bestFit="1" customWidth="1"/>
    <col min="10" max="10" width="11.85546875" bestFit="1" customWidth="1"/>
    <col min="11" max="11" width="21.5703125" style="3" bestFit="1" customWidth="1"/>
    <col min="12" max="12" width="20.42578125" style="6" bestFit="1" customWidth="1"/>
    <col min="14" max="14" width="9.140625" style="3"/>
    <col min="15" max="15" width="9.140625" style="6"/>
    <col min="16" max="16" width="12" customWidth="1"/>
    <col min="20" max="20" width="23.140625" bestFit="1" customWidth="1"/>
    <col min="26" max="26" width="12.7109375" bestFit="1" customWidth="1"/>
  </cols>
  <sheetData>
    <row r="1" spans="1:26" x14ac:dyDescent="0.25">
      <c r="E1" s="11">
        <f>E3+E4</f>
        <v>1.074074074074074</v>
      </c>
      <c r="F1" s="11"/>
      <c r="I1" s="11"/>
      <c r="P1">
        <v>0</v>
      </c>
    </row>
    <row r="2" spans="1:26" x14ac:dyDescent="0.25">
      <c r="C2" s="8" t="s">
        <v>54</v>
      </c>
      <c r="D2" s="8" t="s">
        <v>53</v>
      </c>
      <c r="E2" s="8" t="s">
        <v>0</v>
      </c>
      <c r="F2" s="8" t="s">
        <v>5</v>
      </c>
      <c r="G2" s="9"/>
      <c r="K2" s="20" t="s">
        <v>4</v>
      </c>
      <c r="L2" s="21" t="s">
        <v>86</v>
      </c>
      <c r="M2" s="8" t="s">
        <v>87</v>
      </c>
      <c r="N2" s="20" t="s">
        <v>4</v>
      </c>
      <c r="O2" s="21" t="s">
        <v>86</v>
      </c>
      <c r="P2" s="8" t="s">
        <v>87</v>
      </c>
    </row>
    <row r="3" spans="1:26" x14ac:dyDescent="0.25">
      <c r="C3" s="13">
        <v>-170</v>
      </c>
      <c r="D3" s="6">
        <f t="shared" ref="D3:D12" si="0">IF(C3&lt;0,-(100-C3)/C3,C3/100+1)</f>
        <v>1.588235294117647</v>
      </c>
      <c r="E3" s="2">
        <f t="shared" ref="E3:E12" si="1">1/D3</f>
        <v>0.62962962962962965</v>
      </c>
      <c r="F3" s="6">
        <f t="shared" ref="F3:F12" si="2">IF(C3&lt;0,-100/C3,C3/100)</f>
        <v>0.58823529411764708</v>
      </c>
      <c r="G3">
        <v>957</v>
      </c>
      <c r="H3" s="7">
        <f>1/D3</f>
        <v>0.62962962962962965</v>
      </c>
      <c r="I3">
        <f>1000000/G3</f>
        <v>1044.932079414838</v>
      </c>
      <c r="K3" s="3">
        <v>-1700</v>
      </c>
      <c r="L3" s="6">
        <f t="shared" ref="L3" si="3">IF(K3&lt;0,-(100-K3)/K3,K3/100+1)</f>
        <v>1.0588235294117647</v>
      </c>
      <c r="M3" s="3">
        <f>(L3-1)*1000</f>
        <v>58.823529411764717</v>
      </c>
      <c r="N3" s="3">
        <f t="shared" ref="N3:N19" si="4">IF(O3&lt;2,-100/(O3-1),(O3-1)*100)</f>
        <v>1699.9999999999995</v>
      </c>
      <c r="O3" s="6">
        <f t="shared" ref="O3:O19" si="5">P3/1000+1</f>
        <v>17.999999999999996</v>
      </c>
      <c r="P3" s="3">
        <f>1000000/(M3+P$1)-P$1</f>
        <v>16999.999999999996</v>
      </c>
      <c r="R3" s="5">
        <f>1/L3</f>
        <v>0.94444444444444442</v>
      </c>
      <c r="S3" s="5">
        <f t="shared" ref="S3:S19" si="6">1/O3</f>
        <v>5.5555555555555566E-2</v>
      </c>
      <c r="T3" s="2">
        <f>R3+S3-1</f>
        <v>0</v>
      </c>
      <c r="U3" s="2">
        <f>1-L3*O3/(O3+L3)</f>
        <v>0</v>
      </c>
      <c r="X3" s="3">
        <v>58.823529411764717</v>
      </c>
    </row>
    <row r="4" spans="1:26" x14ac:dyDescent="0.25">
      <c r="C4" s="13">
        <v>125</v>
      </c>
      <c r="D4" s="6">
        <f t="shared" si="0"/>
        <v>2.25</v>
      </c>
      <c r="E4" s="2">
        <f t="shared" si="1"/>
        <v>0.44444444444444442</v>
      </c>
      <c r="F4" s="6">
        <f t="shared" si="2"/>
        <v>1.25</v>
      </c>
      <c r="H4" s="7">
        <f t="shared" ref="H4:H11" si="7">1/D4</f>
        <v>0.44444444444444442</v>
      </c>
      <c r="I4" t="e">
        <f t="shared" ref="I4:I11" si="8">1000000/G4</f>
        <v>#DIV/0!</v>
      </c>
      <c r="K4" s="3">
        <f>K3+100</f>
        <v>-1600</v>
      </c>
      <c r="L4" s="6">
        <f t="shared" ref="L4:L20" si="9">IF(K4&lt;0,-(100-K4)/K4,K4/100+1)</f>
        <v>1.0625</v>
      </c>
      <c r="M4" s="3">
        <f t="shared" ref="M4:M20" si="10">(L4-1)*1000</f>
        <v>62.5</v>
      </c>
      <c r="N4" s="3">
        <f t="shared" si="4"/>
        <v>1600</v>
      </c>
      <c r="O4" s="6">
        <f t="shared" si="5"/>
        <v>17</v>
      </c>
      <c r="P4" s="3">
        <f t="shared" ref="P4:P19" si="11">1000000/(M4+P$1)-P$1</f>
        <v>16000</v>
      </c>
      <c r="R4" s="5">
        <f t="shared" ref="R4:R19" si="12">1/L4</f>
        <v>0.94117647058823528</v>
      </c>
      <c r="S4" s="5">
        <f t="shared" si="6"/>
        <v>5.8823529411764705E-2</v>
      </c>
      <c r="T4" s="2">
        <f t="shared" ref="T4:T19" si="13">R4+S4-1</f>
        <v>0</v>
      </c>
      <c r="U4" s="2">
        <f t="shared" ref="U4:U19" si="14">1-L4*O4/(O4+L4)</f>
        <v>0</v>
      </c>
      <c r="X4" s="3">
        <v>62.5</v>
      </c>
    </row>
    <row r="5" spans="1:26" x14ac:dyDescent="0.25">
      <c r="A5">
        <f>100</f>
        <v>100</v>
      </c>
      <c r="C5">
        <v>300</v>
      </c>
      <c r="D5" s="6">
        <f t="shared" si="0"/>
        <v>4</v>
      </c>
      <c r="E5" s="2">
        <f t="shared" si="1"/>
        <v>0.25</v>
      </c>
      <c r="F5" s="6">
        <f t="shared" si="2"/>
        <v>3</v>
      </c>
      <c r="G5">
        <f>A5*D5</f>
        <v>400</v>
      </c>
      <c r="H5" s="7">
        <f t="shared" si="7"/>
        <v>0.25</v>
      </c>
      <c r="I5">
        <f t="shared" si="8"/>
        <v>2500</v>
      </c>
      <c r="K5" s="3">
        <f t="shared" ref="K5:K20" si="15">K4+100</f>
        <v>-1500</v>
      </c>
      <c r="L5" s="6">
        <f t="shared" si="9"/>
        <v>1.0666666666666667</v>
      </c>
      <c r="M5" s="3">
        <f t="shared" si="10"/>
        <v>66.666666666666657</v>
      </c>
      <c r="N5" s="3">
        <f t="shared" si="4"/>
        <v>1500</v>
      </c>
      <c r="O5" s="6">
        <f t="shared" si="5"/>
        <v>16</v>
      </c>
      <c r="P5" s="3">
        <f t="shared" si="11"/>
        <v>15000.000000000002</v>
      </c>
      <c r="R5" s="5">
        <f t="shared" si="12"/>
        <v>0.9375</v>
      </c>
      <c r="S5" s="5">
        <f t="shared" si="6"/>
        <v>6.25E-2</v>
      </c>
      <c r="T5" s="2">
        <f t="shared" si="13"/>
        <v>0</v>
      </c>
      <c r="U5" s="2">
        <f t="shared" si="14"/>
        <v>0</v>
      </c>
      <c r="X5" s="3">
        <v>66.666666666666657</v>
      </c>
      <c r="Z5">
        <f>2000000000</f>
        <v>2000000000</v>
      </c>
    </row>
    <row r="6" spans="1:26" x14ac:dyDescent="0.25">
      <c r="A6">
        <f>300</f>
        <v>300</v>
      </c>
      <c r="C6">
        <v>-300</v>
      </c>
      <c r="D6" s="6">
        <f t="shared" si="0"/>
        <v>1.3333333333333333</v>
      </c>
      <c r="E6" s="2">
        <f t="shared" si="1"/>
        <v>0.75</v>
      </c>
      <c r="F6" s="6">
        <f t="shared" si="2"/>
        <v>0.33333333333333331</v>
      </c>
      <c r="G6">
        <f>A6*D6</f>
        <v>400</v>
      </c>
      <c r="H6" s="7">
        <f t="shared" si="7"/>
        <v>0.75</v>
      </c>
      <c r="I6">
        <f t="shared" si="8"/>
        <v>2500</v>
      </c>
      <c r="K6" s="3">
        <f t="shared" si="15"/>
        <v>-1400</v>
      </c>
      <c r="L6" s="6">
        <f t="shared" si="9"/>
        <v>1.0714285714285714</v>
      </c>
      <c r="M6" s="3">
        <f t="shared" si="10"/>
        <v>71.428571428571402</v>
      </c>
      <c r="N6" s="3">
        <f t="shared" si="4"/>
        <v>1400.0000000000005</v>
      </c>
      <c r="O6" s="6">
        <f t="shared" si="5"/>
        <v>15.000000000000005</v>
      </c>
      <c r="P6" s="3">
        <f t="shared" si="11"/>
        <v>14000.000000000005</v>
      </c>
      <c r="R6" s="5">
        <f t="shared" si="12"/>
        <v>0.93333333333333335</v>
      </c>
      <c r="S6" s="5">
        <f t="shared" si="6"/>
        <v>6.6666666666666638E-2</v>
      </c>
      <c r="T6" s="2">
        <f t="shared" si="13"/>
        <v>0</v>
      </c>
      <c r="U6" s="2">
        <f t="shared" si="14"/>
        <v>0</v>
      </c>
      <c r="X6" s="3">
        <v>71.428571428571402</v>
      </c>
    </row>
    <row r="7" spans="1:26" x14ac:dyDescent="0.25">
      <c r="A7">
        <f>SUM(A5:A6)</f>
        <v>400</v>
      </c>
      <c r="C7">
        <v>159</v>
      </c>
      <c r="D7" s="6">
        <f t="shared" si="0"/>
        <v>2.59</v>
      </c>
      <c r="E7" s="2">
        <f t="shared" si="1"/>
        <v>0.38610038610038611</v>
      </c>
      <c r="F7" s="6">
        <f t="shared" si="2"/>
        <v>1.59</v>
      </c>
      <c r="H7" s="7">
        <f t="shared" si="7"/>
        <v>0.38610038610038611</v>
      </c>
      <c r="I7" t="e">
        <f t="shared" si="8"/>
        <v>#DIV/0!</v>
      </c>
      <c r="K7" s="3">
        <f t="shared" si="15"/>
        <v>-1300</v>
      </c>
      <c r="L7" s="6">
        <f t="shared" si="9"/>
        <v>1.0769230769230769</v>
      </c>
      <c r="M7" s="3">
        <f t="shared" si="10"/>
        <v>76.923076923076877</v>
      </c>
      <c r="N7" s="3">
        <f t="shared" si="4"/>
        <v>1300.0000000000007</v>
      </c>
      <c r="O7" s="6">
        <f t="shared" si="5"/>
        <v>14.000000000000007</v>
      </c>
      <c r="P7" s="3">
        <f t="shared" si="11"/>
        <v>13000.000000000007</v>
      </c>
      <c r="R7" s="5">
        <f t="shared" si="12"/>
        <v>0.9285714285714286</v>
      </c>
      <c r="S7" s="5">
        <f t="shared" si="6"/>
        <v>7.1428571428571397E-2</v>
      </c>
      <c r="T7" s="2">
        <f t="shared" si="13"/>
        <v>0</v>
      </c>
      <c r="U7" s="2">
        <f t="shared" si="14"/>
        <v>0</v>
      </c>
      <c r="X7" s="3">
        <v>76.923076923076877</v>
      </c>
    </row>
    <row r="8" spans="1:26" x14ac:dyDescent="0.25">
      <c r="A8">
        <f>A7-G6</f>
        <v>0</v>
      </c>
      <c r="C8">
        <v>120</v>
      </c>
      <c r="D8" s="6">
        <f t="shared" si="0"/>
        <v>2.2000000000000002</v>
      </c>
      <c r="E8" s="2">
        <f t="shared" si="1"/>
        <v>0.45454545454545453</v>
      </c>
      <c r="F8" s="6">
        <f t="shared" si="2"/>
        <v>1.2</v>
      </c>
      <c r="H8" s="7">
        <f t="shared" si="7"/>
        <v>0.45454545454545453</v>
      </c>
      <c r="I8" t="e">
        <f t="shared" si="8"/>
        <v>#DIV/0!</v>
      </c>
      <c r="K8" s="3">
        <f t="shared" si="15"/>
        <v>-1200</v>
      </c>
      <c r="L8" s="6">
        <f t="shared" si="9"/>
        <v>1.0833333333333333</v>
      </c>
      <c r="M8" s="3">
        <f t="shared" si="10"/>
        <v>83.333333333333258</v>
      </c>
      <c r="N8" s="3">
        <f t="shared" si="4"/>
        <v>1200.0000000000011</v>
      </c>
      <c r="O8" s="6">
        <f t="shared" si="5"/>
        <v>13.000000000000011</v>
      </c>
      <c r="P8" s="3">
        <f t="shared" si="11"/>
        <v>12000.000000000011</v>
      </c>
      <c r="R8" s="5">
        <f t="shared" si="12"/>
        <v>0.92307692307692313</v>
      </c>
      <c r="S8" s="5">
        <f t="shared" si="6"/>
        <v>7.6923076923076858E-2</v>
      </c>
      <c r="T8" s="2">
        <f t="shared" si="13"/>
        <v>0</v>
      </c>
      <c r="U8" s="2">
        <f t="shared" si="14"/>
        <v>0</v>
      </c>
      <c r="X8" s="3">
        <v>83.333333333333258</v>
      </c>
    </row>
    <row r="9" spans="1:26" x14ac:dyDescent="0.25">
      <c r="C9" s="13">
        <v>800</v>
      </c>
      <c r="D9" s="6">
        <f t="shared" si="0"/>
        <v>9</v>
      </c>
      <c r="E9" s="2">
        <f t="shared" si="1"/>
        <v>0.1111111111111111</v>
      </c>
      <c r="F9" s="6">
        <f t="shared" si="2"/>
        <v>8</v>
      </c>
      <c r="H9" s="7">
        <f t="shared" si="7"/>
        <v>0.1111111111111111</v>
      </c>
      <c r="I9" t="e">
        <f t="shared" si="8"/>
        <v>#DIV/0!</v>
      </c>
      <c r="K9" s="3">
        <f t="shared" si="15"/>
        <v>-1100</v>
      </c>
      <c r="L9" s="6">
        <f t="shared" si="9"/>
        <v>1.0909090909090908</v>
      </c>
      <c r="M9" s="3">
        <f t="shared" si="10"/>
        <v>90.909090909090821</v>
      </c>
      <c r="N9" s="3">
        <f t="shared" si="4"/>
        <v>1100.0000000000011</v>
      </c>
      <c r="O9" s="6">
        <f t="shared" si="5"/>
        <v>12.000000000000011</v>
      </c>
      <c r="P9" s="3">
        <f t="shared" si="11"/>
        <v>11000.000000000011</v>
      </c>
      <c r="R9" s="5">
        <f t="shared" si="12"/>
        <v>0.91666666666666674</v>
      </c>
      <c r="S9" s="5">
        <f t="shared" si="6"/>
        <v>8.3333333333333259E-2</v>
      </c>
      <c r="T9" s="2">
        <f t="shared" si="13"/>
        <v>0</v>
      </c>
      <c r="U9" s="2">
        <f t="shared" si="14"/>
        <v>0</v>
      </c>
      <c r="X9" s="3">
        <v>90.909090909090821</v>
      </c>
    </row>
    <row r="10" spans="1:26" x14ac:dyDescent="0.25">
      <c r="C10" s="13">
        <v>150</v>
      </c>
      <c r="D10" s="6">
        <f t="shared" si="0"/>
        <v>2.5</v>
      </c>
      <c r="E10" s="2">
        <f t="shared" si="1"/>
        <v>0.4</v>
      </c>
      <c r="F10" s="6">
        <f t="shared" si="2"/>
        <v>1.5</v>
      </c>
      <c r="H10" s="7">
        <f t="shared" si="7"/>
        <v>0.4</v>
      </c>
      <c r="I10" t="e">
        <f t="shared" si="8"/>
        <v>#DIV/0!</v>
      </c>
      <c r="K10" s="3">
        <f t="shared" si="15"/>
        <v>-1000</v>
      </c>
      <c r="L10" s="6">
        <f t="shared" si="9"/>
        <v>1.1000000000000001</v>
      </c>
      <c r="M10" s="3">
        <f t="shared" si="10"/>
        <v>100.00000000000009</v>
      </c>
      <c r="N10" s="3">
        <f t="shared" si="4"/>
        <v>999.99999999999909</v>
      </c>
      <c r="O10" s="6">
        <f t="shared" si="5"/>
        <v>10.999999999999991</v>
      </c>
      <c r="P10" s="3">
        <f t="shared" si="11"/>
        <v>9999.9999999999909</v>
      </c>
      <c r="R10" s="5">
        <f t="shared" si="12"/>
        <v>0.90909090909090906</v>
      </c>
      <c r="S10" s="5">
        <f t="shared" si="6"/>
        <v>9.0909090909090981E-2</v>
      </c>
      <c r="T10" s="2">
        <f t="shared" si="13"/>
        <v>0</v>
      </c>
      <c r="U10" s="2">
        <f t="shared" si="14"/>
        <v>0</v>
      </c>
      <c r="X10" s="3">
        <v>100.00000000000009</v>
      </c>
    </row>
    <row r="11" spans="1:26" x14ac:dyDescent="0.25">
      <c r="C11" s="13">
        <v>110</v>
      </c>
      <c r="D11" s="6">
        <f t="shared" si="0"/>
        <v>2.1</v>
      </c>
      <c r="E11" s="2">
        <f t="shared" si="1"/>
        <v>0.47619047619047616</v>
      </c>
      <c r="F11" s="6">
        <f t="shared" si="2"/>
        <v>1.1000000000000001</v>
      </c>
      <c r="H11" s="7">
        <f t="shared" si="7"/>
        <v>0.47619047619047616</v>
      </c>
      <c r="I11" t="e">
        <f t="shared" si="8"/>
        <v>#DIV/0!</v>
      </c>
      <c r="K11" s="3">
        <f t="shared" si="15"/>
        <v>-900</v>
      </c>
      <c r="L11" s="6">
        <f t="shared" si="9"/>
        <v>1.1111111111111112</v>
      </c>
      <c r="M11" s="3">
        <f t="shared" si="10"/>
        <v>111.11111111111116</v>
      </c>
      <c r="N11" s="3">
        <f t="shared" si="4"/>
        <v>899.99999999999966</v>
      </c>
      <c r="O11" s="6">
        <f t="shared" si="5"/>
        <v>9.9999999999999964</v>
      </c>
      <c r="P11" s="3">
        <f t="shared" si="11"/>
        <v>8999.9999999999964</v>
      </c>
      <c r="R11" s="5">
        <f t="shared" si="12"/>
        <v>0.89999999999999991</v>
      </c>
      <c r="S11" s="5">
        <f t="shared" si="6"/>
        <v>0.10000000000000003</v>
      </c>
      <c r="T11" s="2">
        <f t="shared" si="13"/>
        <v>0</v>
      </c>
      <c r="U11" s="2">
        <f t="shared" si="14"/>
        <v>0</v>
      </c>
      <c r="X11" s="3">
        <v>111.11111111111116</v>
      </c>
    </row>
    <row r="12" spans="1:26" x14ac:dyDescent="0.25">
      <c r="C12" s="13">
        <v>102</v>
      </c>
      <c r="D12" s="6">
        <f t="shared" si="0"/>
        <v>2.02</v>
      </c>
      <c r="E12" s="2">
        <f t="shared" si="1"/>
        <v>0.49504950495049505</v>
      </c>
      <c r="F12" s="6">
        <f t="shared" si="2"/>
        <v>1.02</v>
      </c>
      <c r="G12">
        <f>1-1/D12+G13</f>
        <v>1.0504050405040504</v>
      </c>
      <c r="H12" s="7">
        <f>1/G12</f>
        <v>0.95201371036846616</v>
      </c>
      <c r="I12" s="3">
        <f t="shared" ref="I12" si="16">IF(H12&lt;2,-100/(H12-1),(H12-1)*100)</f>
        <v>2083.9285714285716</v>
      </c>
      <c r="J12" s="1">
        <f>D12-2</f>
        <v>2.0000000000000018E-2</v>
      </c>
      <c r="K12" s="3">
        <f t="shared" si="15"/>
        <v>-800</v>
      </c>
      <c r="L12" s="6">
        <f t="shared" si="9"/>
        <v>1.125</v>
      </c>
      <c r="M12" s="3">
        <f t="shared" si="10"/>
        <v>125</v>
      </c>
      <c r="N12" s="3">
        <f t="shared" si="4"/>
        <v>800</v>
      </c>
      <c r="O12" s="6">
        <f t="shared" si="5"/>
        <v>9</v>
      </c>
      <c r="P12" s="3">
        <f t="shared" si="11"/>
        <v>8000</v>
      </c>
      <c r="R12" s="5">
        <f t="shared" si="12"/>
        <v>0.88888888888888884</v>
      </c>
      <c r="S12" s="5">
        <f t="shared" si="6"/>
        <v>0.1111111111111111</v>
      </c>
      <c r="T12" s="2">
        <f t="shared" si="13"/>
        <v>0</v>
      </c>
      <c r="U12" s="2">
        <f t="shared" si="14"/>
        <v>0</v>
      </c>
      <c r="X12" s="3">
        <v>125</v>
      </c>
    </row>
    <row r="13" spans="1:26" x14ac:dyDescent="0.25">
      <c r="C13" s="13">
        <v>120</v>
      </c>
      <c r="D13" s="6">
        <f t="shared" ref="D13" si="17">IF(C13&lt;0,-(100-C13)/C13,C13/100+1)</f>
        <v>2.2000000000000002</v>
      </c>
      <c r="E13" s="2">
        <f t="shared" ref="E13" si="18">1/D13</f>
        <v>0.45454545454545453</v>
      </c>
      <c r="F13" s="6">
        <f t="shared" ref="F13" si="19">IF(C13&lt;0,-100/C13,C13/100)</f>
        <v>1.2</v>
      </c>
      <c r="G13">
        <f>1-1/D13+G14</f>
        <v>0.54545454545454541</v>
      </c>
      <c r="H13" s="7">
        <f>1/G13</f>
        <v>1.8333333333333335</v>
      </c>
      <c r="I13" s="3">
        <f t="shared" ref="I13" si="20">IF(H13&lt;2,-100/(H13-1),(H13-1)*100)</f>
        <v>-119.99999999999997</v>
      </c>
      <c r="J13" s="1">
        <f>D13-2</f>
        <v>0.20000000000000018</v>
      </c>
      <c r="K13" s="3">
        <f t="shared" si="15"/>
        <v>-700</v>
      </c>
      <c r="L13" s="6">
        <f t="shared" si="9"/>
        <v>1.1428571428571428</v>
      </c>
      <c r="M13" s="3">
        <f t="shared" si="10"/>
        <v>142.8571428571428</v>
      </c>
      <c r="N13" s="3">
        <f t="shared" si="4"/>
        <v>700.00000000000034</v>
      </c>
      <c r="O13" s="6">
        <f t="shared" si="5"/>
        <v>8.0000000000000036</v>
      </c>
      <c r="P13" s="3">
        <f t="shared" si="11"/>
        <v>7000.0000000000027</v>
      </c>
      <c r="R13" s="5">
        <f t="shared" si="12"/>
        <v>0.875</v>
      </c>
      <c r="S13" s="5">
        <f t="shared" si="6"/>
        <v>0.12499999999999994</v>
      </c>
      <c r="T13" s="2">
        <f t="shared" si="13"/>
        <v>0</v>
      </c>
      <c r="U13" s="2">
        <f t="shared" si="14"/>
        <v>0</v>
      </c>
      <c r="X13" s="3">
        <v>142.8571428571428</v>
      </c>
    </row>
    <row r="14" spans="1:26" x14ac:dyDescent="0.25">
      <c r="C14" s="8"/>
      <c r="D14" s="19"/>
      <c r="E14" s="40">
        <f>E13+E3</f>
        <v>1.0841750841750841</v>
      </c>
      <c r="J14" s="1"/>
      <c r="K14" s="3">
        <f t="shared" si="15"/>
        <v>-600</v>
      </c>
      <c r="L14" s="6">
        <f t="shared" si="9"/>
        <v>1.1666666666666667</v>
      </c>
      <c r="M14" s="3">
        <f t="shared" si="10"/>
        <v>166.66666666666674</v>
      </c>
      <c r="N14" s="3">
        <f t="shared" si="4"/>
        <v>599.99999999999977</v>
      </c>
      <c r="O14" s="6">
        <f t="shared" si="5"/>
        <v>6.9999999999999973</v>
      </c>
      <c r="P14" s="3">
        <f t="shared" si="11"/>
        <v>5999.9999999999973</v>
      </c>
      <c r="R14" s="5">
        <f t="shared" si="12"/>
        <v>0.8571428571428571</v>
      </c>
      <c r="S14" s="5">
        <f t="shared" si="6"/>
        <v>0.1428571428571429</v>
      </c>
      <c r="T14" s="2">
        <f t="shared" si="13"/>
        <v>0</v>
      </c>
      <c r="U14" s="2">
        <f t="shared" si="14"/>
        <v>0</v>
      </c>
      <c r="X14" s="3">
        <v>166.66666666666674</v>
      </c>
    </row>
    <row r="15" spans="1:26" x14ac:dyDescent="0.25">
      <c r="C15" s="8" t="s">
        <v>53</v>
      </c>
      <c r="D15" t="s">
        <v>54</v>
      </c>
      <c r="E15" t="s">
        <v>0</v>
      </c>
      <c r="F15" s="8" t="s">
        <v>5</v>
      </c>
      <c r="K15" s="3">
        <f t="shared" si="15"/>
        <v>-500</v>
      </c>
      <c r="L15" s="6">
        <f t="shared" si="9"/>
        <v>1.2</v>
      </c>
      <c r="M15" s="3">
        <f t="shared" si="10"/>
        <v>199.99999999999994</v>
      </c>
      <c r="N15" s="3">
        <f t="shared" si="4"/>
        <v>500.00000000000017</v>
      </c>
      <c r="O15" s="6">
        <f t="shared" si="5"/>
        <v>6.0000000000000018</v>
      </c>
      <c r="P15" s="3">
        <f t="shared" si="11"/>
        <v>5000.0000000000018</v>
      </c>
      <c r="R15" s="5">
        <f t="shared" si="12"/>
        <v>0.83333333333333337</v>
      </c>
      <c r="S15" s="5">
        <f t="shared" si="6"/>
        <v>0.16666666666666663</v>
      </c>
      <c r="T15" s="2">
        <f t="shared" si="13"/>
        <v>0</v>
      </c>
      <c r="U15" s="2">
        <f t="shared" si="14"/>
        <v>0</v>
      </c>
      <c r="X15" s="3">
        <v>199.99999999999994</v>
      </c>
    </row>
    <row r="16" spans="1:26" x14ac:dyDescent="0.25">
      <c r="C16" s="14">
        <v>4</v>
      </c>
      <c r="D16" s="3">
        <f t="shared" ref="D16:D37" si="21">IF(C16&lt;2,-100/(C16-1),(C16-1)*100)</f>
        <v>300</v>
      </c>
      <c r="E16" s="5">
        <f>1/C16</f>
        <v>0.25</v>
      </c>
      <c r="F16" s="6">
        <f>IF(C16&lt;0,-100/C16,C16/100)</f>
        <v>0.04</v>
      </c>
      <c r="G16">
        <f>(C16-1)*1000</f>
        <v>3000</v>
      </c>
      <c r="H16" s="3">
        <f>IF(G16&lt;1000,-100000/G16,G16/10)</f>
        <v>300</v>
      </c>
      <c r="I16" s="5">
        <f>1-E16</f>
        <v>0.75</v>
      </c>
      <c r="J16">
        <f>1/I16</f>
        <v>1.3333333333333333</v>
      </c>
      <c r="K16" s="3">
        <f t="shared" si="15"/>
        <v>-400</v>
      </c>
      <c r="L16" s="6">
        <f t="shared" si="9"/>
        <v>1.25</v>
      </c>
      <c r="M16" s="3">
        <f t="shared" si="10"/>
        <v>250</v>
      </c>
      <c r="N16" s="3">
        <f t="shared" si="4"/>
        <v>400</v>
      </c>
      <c r="O16" s="6">
        <f t="shared" si="5"/>
        <v>5</v>
      </c>
      <c r="P16" s="3">
        <f t="shared" si="11"/>
        <v>4000</v>
      </c>
      <c r="R16" s="5">
        <f t="shared" si="12"/>
        <v>0.8</v>
      </c>
      <c r="S16" s="5">
        <f t="shared" si="6"/>
        <v>0.2</v>
      </c>
      <c r="T16" s="2">
        <f t="shared" si="13"/>
        <v>0</v>
      </c>
      <c r="U16" s="2">
        <f t="shared" si="14"/>
        <v>0</v>
      </c>
      <c r="X16" s="3">
        <v>250</v>
      </c>
    </row>
    <row r="17" spans="1:24" x14ac:dyDescent="0.25">
      <c r="A17" s="82">
        <f>SUM(E16:E17)</f>
        <v>1.0001875468867216</v>
      </c>
      <c r="C17" s="14">
        <v>1.333</v>
      </c>
      <c r="D17" s="3">
        <f t="shared" si="21"/>
        <v>-300.30030030030031</v>
      </c>
      <c r="E17" s="5">
        <f t="shared" ref="E17:E37" si="22">1/C17</f>
        <v>0.75018754688672173</v>
      </c>
      <c r="F17" s="6">
        <f t="shared" ref="F17:F37" si="23">IF(C17&lt;0,-100/C17,C17/100)</f>
        <v>1.333E-2</v>
      </c>
      <c r="G17">
        <f t="shared" ref="G17:G36" si="24">(C17-1)*1000</f>
        <v>332.99999999999994</v>
      </c>
      <c r="H17" s="3">
        <f t="shared" ref="H17:H36" si="25">IF(G17&lt;1000,-100000/G17,G17/10)</f>
        <v>-300.30030030030036</v>
      </c>
      <c r="K17" s="3">
        <f t="shared" si="15"/>
        <v>-300</v>
      </c>
      <c r="L17" s="6">
        <f t="shared" si="9"/>
        <v>1.3333333333333333</v>
      </c>
      <c r="M17" s="3">
        <f t="shared" si="10"/>
        <v>333.33333333333326</v>
      </c>
      <c r="N17" s="3">
        <f t="shared" si="4"/>
        <v>300.00000000000011</v>
      </c>
      <c r="O17" s="6">
        <f t="shared" si="5"/>
        <v>4.0000000000000009</v>
      </c>
      <c r="P17" s="3">
        <f t="shared" si="11"/>
        <v>3000.0000000000009</v>
      </c>
      <c r="R17" s="5">
        <f t="shared" si="12"/>
        <v>0.75</v>
      </c>
      <c r="S17" s="5">
        <f t="shared" si="6"/>
        <v>0.24999999999999994</v>
      </c>
      <c r="T17" s="2">
        <f t="shared" si="13"/>
        <v>0</v>
      </c>
      <c r="U17" s="2">
        <f t="shared" si="14"/>
        <v>0</v>
      </c>
      <c r="X17" s="3">
        <v>333.33333333333326</v>
      </c>
    </row>
    <row r="18" spans="1:24" x14ac:dyDescent="0.25">
      <c r="A18">
        <f>1-1/C16</f>
        <v>0.75</v>
      </c>
      <c r="C18" s="14">
        <f>1+0.95*1.9</f>
        <v>2.8049999999999997</v>
      </c>
      <c r="D18" s="3">
        <f t="shared" si="21"/>
        <v>180.49999999999997</v>
      </c>
      <c r="E18" s="5">
        <f t="shared" si="22"/>
        <v>0.35650623885918009</v>
      </c>
      <c r="F18" s="6">
        <f t="shared" si="23"/>
        <v>2.8049999999999999E-2</v>
      </c>
      <c r="G18">
        <f t="shared" si="24"/>
        <v>1804.9999999999998</v>
      </c>
      <c r="H18" s="3">
        <f t="shared" si="25"/>
        <v>180.49999999999997</v>
      </c>
      <c r="K18" s="3">
        <f t="shared" si="15"/>
        <v>-200</v>
      </c>
      <c r="L18" s="6">
        <f t="shared" si="9"/>
        <v>1.5</v>
      </c>
      <c r="M18" s="3">
        <f t="shared" si="10"/>
        <v>500</v>
      </c>
      <c r="N18" s="3">
        <f t="shared" si="4"/>
        <v>200</v>
      </c>
      <c r="O18" s="6">
        <f t="shared" si="5"/>
        <v>3</v>
      </c>
      <c r="P18" s="3">
        <f t="shared" si="11"/>
        <v>2000</v>
      </c>
      <c r="R18" s="5">
        <f t="shared" si="12"/>
        <v>0.66666666666666663</v>
      </c>
      <c r="S18" s="5">
        <f t="shared" si="6"/>
        <v>0.33333333333333331</v>
      </c>
      <c r="T18" s="2">
        <f t="shared" si="13"/>
        <v>0</v>
      </c>
      <c r="U18" s="2">
        <f t="shared" si="14"/>
        <v>0</v>
      </c>
      <c r="X18" s="3">
        <v>500</v>
      </c>
    </row>
    <row r="19" spans="1:24" x14ac:dyDescent="0.25">
      <c r="A19" s="82">
        <f>1/A18</f>
        <v>1.3333333333333333</v>
      </c>
      <c r="C19" s="14">
        <f>1+0.526*0.95</f>
        <v>1.4997</v>
      </c>
      <c r="D19" s="3">
        <f t="shared" si="21"/>
        <v>-200.12007204322592</v>
      </c>
      <c r="E19" s="5">
        <f t="shared" si="22"/>
        <v>0.666800026672001</v>
      </c>
      <c r="F19" s="6">
        <f t="shared" si="23"/>
        <v>1.4997E-2</v>
      </c>
      <c r="G19">
        <f t="shared" si="24"/>
        <v>499.70000000000005</v>
      </c>
      <c r="H19" s="3">
        <f t="shared" si="25"/>
        <v>-200.12007204322592</v>
      </c>
      <c r="K19" s="3">
        <f t="shared" si="15"/>
        <v>-100</v>
      </c>
      <c r="L19" s="6">
        <f t="shared" si="9"/>
        <v>2</v>
      </c>
      <c r="M19" s="3">
        <f t="shared" si="10"/>
        <v>1000</v>
      </c>
      <c r="N19" s="3">
        <f t="shared" si="4"/>
        <v>100</v>
      </c>
      <c r="O19" s="6">
        <f t="shared" si="5"/>
        <v>2</v>
      </c>
      <c r="P19" s="3">
        <f t="shared" si="11"/>
        <v>1000</v>
      </c>
      <c r="R19" s="5">
        <f t="shared" si="12"/>
        <v>0.5</v>
      </c>
      <c r="S19" s="5">
        <f t="shared" si="6"/>
        <v>0.5</v>
      </c>
      <c r="T19" s="2">
        <f t="shared" si="13"/>
        <v>0</v>
      </c>
      <c r="U19" s="2">
        <f t="shared" si="14"/>
        <v>0</v>
      </c>
      <c r="X19" s="3">
        <v>1000</v>
      </c>
    </row>
    <row r="20" spans="1:24" x14ac:dyDescent="0.25">
      <c r="C20" s="14">
        <v>4</v>
      </c>
      <c r="D20" s="3">
        <f t="shared" si="21"/>
        <v>300</v>
      </c>
      <c r="E20" s="5">
        <f t="shared" si="22"/>
        <v>0.25</v>
      </c>
      <c r="F20" s="6">
        <f t="shared" si="23"/>
        <v>0.04</v>
      </c>
      <c r="G20">
        <f t="shared" si="24"/>
        <v>3000</v>
      </c>
      <c r="H20" s="3">
        <f t="shared" si="25"/>
        <v>300</v>
      </c>
      <c r="I20" s="5">
        <f>1-E20</f>
        <v>0.75</v>
      </c>
      <c r="J20">
        <f>1/I20</f>
        <v>1.3333333333333333</v>
      </c>
      <c r="K20" s="3">
        <f t="shared" si="15"/>
        <v>0</v>
      </c>
      <c r="L20" s="6">
        <f t="shared" si="9"/>
        <v>1</v>
      </c>
      <c r="M20" s="3">
        <f t="shared" si="10"/>
        <v>0</v>
      </c>
      <c r="P20" s="3" t="e">
        <f>1000000/M20</f>
        <v>#DIV/0!</v>
      </c>
      <c r="X20" s="3">
        <v>1000</v>
      </c>
    </row>
    <row r="21" spans="1:24" x14ac:dyDescent="0.25">
      <c r="C21" s="14">
        <v>1.3332999999999999</v>
      </c>
      <c r="D21" s="3">
        <f t="shared" si="21"/>
        <v>-300.0300030003001</v>
      </c>
      <c r="E21" s="5">
        <f t="shared" si="22"/>
        <v>0.75001875046876176</v>
      </c>
      <c r="F21" s="6">
        <f t="shared" si="23"/>
        <v>1.3332999999999999E-2</v>
      </c>
      <c r="G21">
        <f t="shared" si="24"/>
        <v>333.29999999999995</v>
      </c>
      <c r="H21" s="3">
        <f t="shared" si="25"/>
        <v>-300.0300030003001</v>
      </c>
      <c r="M21" s="3"/>
      <c r="P21" s="3"/>
      <c r="X21" s="3">
        <v>2000</v>
      </c>
    </row>
    <row r="22" spans="1:24" x14ac:dyDescent="0.25">
      <c r="C22" s="14">
        <f>1+0.95*3</f>
        <v>3.8499999999999996</v>
      </c>
      <c r="D22" s="3">
        <f t="shared" si="21"/>
        <v>284.99999999999994</v>
      </c>
      <c r="E22" s="5">
        <f t="shared" si="22"/>
        <v>0.25974025974025977</v>
      </c>
      <c r="F22" s="6">
        <f t="shared" si="23"/>
        <v>3.85E-2</v>
      </c>
      <c r="G22">
        <f t="shared" si="24"/>
        <v>2849.9999999999995</v>
      </c>
      <c r="H22" s="3">
        <f t="shared" si="25"/>
        <v>284.99999999999994</v>
      </c>
      <c r="K22" s="3">
        <v>1645696620</v>
      </c>
      <c r="L22" s="29">
        <f>0.01/400</f>
        <v>2.5000000000000001E-5</v>
      </c>
      <c r="M22" s="3"/>
      <c r="P22" s="3"/>
      <c r="X22" s="3">
        <v>3000.0000000000009</v>
      </c>
    </row>
    <row r="23" spans="1:24" x14ac:dyDescent="0.25">
      <c r="A23" s="82">
        <f>SUM(E22:E23)</f>
        <v>1.0192357572610766</v>
      </c>
      <c r="C23" s="14">
        <f>1+0.33333*0.95</f>
        <v>1.3166635</v>
      </c>
      <c r="D23" s="3">
        <f t="shared" si="21"/>
        <v>-315.79263161052666</v>
      </c>
      <c r="E23" s="5">
        <f t="shared" si="22"/>
        <v>0.7594954975208168</v>
      </c>
      <c r="F23" s="6">
        <f t="shared" si="23"/>
        <v>1.3166634999999999E-2</v>
      </c>
      <c r="G23">
        <f t="shared" si="24"/>
        <v>316.6635</v>
      </c>
      <c r="H23" s="3">
        <f t="shared" si="25"/>
        <v>-315.79263161052666</v>
      </c>
      <c r="K23" s="3">
        <v>1643565410</v>
      </c>
      <c r="L23" s="29">
        <f>0.6/28060</f>
        <v>2.1382751247327157E-5</v>
      </c>
      <c r="M23" s="3"/>
      <c r="P23" s="3"/>
      <c r="X23" s="3">
        <v>4000</v>
      </c>
    </row>
    <row r="24" spans="1:24" x14ac:dyDescent="0.25">
      <c r="B24" s="6"/>
      <c r="C24" s="14">
        <v>1.22</v>
      </c>
      <c r="D24" s="3">
        <f t="shared" si="21"/>
        <v>-454.54545454545462</v>
      </c>
      <c r="E24" s="5">
        <f t="shared" si="22"/>
        <v>0.81967213114754101</v>
      </c>
      <c r="F24" s="6">
        <f t="shared" si="23"/>
        <v>1.2199999999999999E-2</v>
      </c>
      <c r="G24">
        <f t="shared" si="24"/>
        <v>219.99999999999997</v>
      </c>
      <c r="H24" s="3">
        <f t="shared" si="25"/>
        <v>-454.54545454545462</v>
      </c>
      <c r="M24" s="3"/>
      <c r="P24" s="3" t="s">
        <v>88</v>
      </c>
      <c r="Q24">
        <v>0</v>
      </c>
      <c r="S24" s="3" t="s">
        <v>88</v>
      </c>
      <c r="T24">
        <f>MOD(R$28,10)</f>
        <v>0</v>
      </c>
      <c r="X24" s="3">
        <v>5000.0000000000018</v>
      </c>
    </row>
    <row r="25" spans="1:24" x14ac:dyDescent="0.25">
      <c r="A25">
        <f>3*C23</f>
        <v>3.9499905000000002</v>
      </c>
      <c r="B25" s="6"/>
      <c r="C25" s="14">
        <v>2.65</v>
      </c>
      <c r="D25" s="3">
        <f t="shared" si="21"/>
        <v>165</v>
      </c>
      <c r="E25" s="5">
        <f t="shared" si="22"/>
        <v>0.37735849056603776</v>
      </c>
      <c r="F25" s="6">
        <f t="shared" si="23"/>
        <v>2.6499999999999999E-2</v>
      </c>
      <c r="G25">
        <f t="shared" si="24"/>
        <v>1650</v>
      </c>
      <c r="H25" s="3">
        <f t="shared" si="25"/>
        <v>165</v>
      </c>
      <c r="I25" s="6"/>
      <c r="J25" s="2"/>
      <c r="K25" s="22">
        <f>K22-K23</f>
        <v>2131210</v>
      </c>
      <c r="M25" s="3"/>
      <c r="P25" s="3" t="s">
        <v>89</v>
      </c>
      <c r="Q25">
        <v>1</v>
      </c>
      <c r="R25">
        <f>Q25*10</f>
        <v>10</v>
      </c>
      <c r="S25" s="3" t="s">
        <v>89</v>
      </c>
      <c r="T25">
        <f>INT(MOD(R$28,1000)/10)</f>
        <v>1</v>
      </c>
      <c r="X25" s="3">
        <v>5999.9999999999973</v>
      </c>
    </row>
    <row r="26" spans="1:24" x14ac:dyDescent="0.25">
      <c r="B26" s="6"/>
      <c r="C26" s="14">
        <v>3.9</v>
      </c>
      <c r="D26" s="3">
        <f t="shared" si="21"/>
        <v>290</v>
      </c>
      <c r="E26" s="5">
        <f t="shared" si="22"/>
        <v>0.25641025641025644</v>
      </c>
      <c r="F26" s="6">
        <f t="shared" si="23"/>
        <v>3.9E-2</v>
      </c>
      <c r="G26">
        <f t="shared" si="24"/>
        <v>2900</v>
      </c>
      <c r="H26" s="3">
        <f t="shared" si="25"/>
        <v>290</v>
      </c>
      <c r="I26" s="6"/>
      <c r="J26" s="2"/>
      <c r="L26" s="6">
        <v>1.5</v>
      </c>
      <c r="M26" s="3">
        <f>(L26-1)*1000</f>
        <v>500</v>
      </c>
      <c r="N26" s="3">
        <f>1000000/M26</f>
        <v>2000</v>
      </c>
      <c r="O26" s="6">
        <f>N26/1000+1</f>
        <v>3</v>
      </c>
      <c r="P26" s="3" t="s">
        <v>90</v>
      </c>
      <c r="Q26">
        <v>101</v>
      </c>
      <c r="R26">
        <f>Q26*1000</f>
        <v>101000</v>
      </c>
      <c r="S26" s="3" t="s">
        <v>90</v>
      </c>
      <c r="T26">
        <f>INT(R$28/1000)</f>
        <v>101</v>
      </c>
      <c r="X26" s="3">
        <v>7000.0000000000027</v>
      </c>
    </row>
    <row r="27" spans="1:24" x14ac:dyDescent="0.25">
      <c r="B27" s="6"/>
      <c r="C27" s="14">
        <v>1.47</v>
      </c>
      <c r="D27" s="3">
        <f t="shared" si="21"/>
        <v>-212.76595744680853</v>
      </c>
      <c r="E27" s="5">
        <f t="shared" si="22"/>
        <v>0.68027210884353739</v>
      </c>
      <c r="F27" s="6">
        <f t="shared" si="23"/>
        <v>1.47E-2</v>
      </c>
      <c r="G27">
        <f t="shared" si="24"/>
        <v>470</v>
      </c>
      <c r="H27" s="3">
        <f t="shared" si="25"/>
        <v>-212.7659574468085</v>
      </c>
      <c r="I27" s="6"/>
      <c r="J27" s="2"/>
      <c r="M27" s="3"/>
      <c r="P27" s="3"/>
      <c r="X27" s="3">
        <v>8000</v>
      </c>
    </row>
    <row r="28" spans="1:24" x14ac:dyDescent="0.25">
      <c r="B28" s="6"/>
      <c r="C28" s="14">
        <v>1.32</v>
      </c>
      <c r="D28" s="3">
        <f t="shared" si="21"/>
        <v>-312.49999999999994</v>
      </c>
      <c r="E28" s="5">
        <f t="shared" si="22"/>
        <v>0.75757575757575757</v>
      </c>
      <c r="F28" s="6">
        <f t="shared" si="23"/>
        <v>1.32E-2</v>
      </c>
      <c r="G28">
        <f t="shared" si="24"/>
        <v>320.00000000000006</v>
      </c>
      <c r="H28" s="3">
        <f t="shared" si="25"/>
        <v>-312.49999999999994</v>
      </c>
      <c r="I28" s="6"/>
      <c r="J28" s="2"/>
      <c r="L28" s="4">
        <v>1000</v>
      </c>
      <c r="M28" s="4">
        <f>L26*L28-1000</f>
        <v>500</v>
      </c>
      <c r="N28" s="6">
        <f>M28/L28+1</f>
        <v>1.5</v>
      </c>
      <c r="P28" s="3"/>
      <c r="R28">
        <f>SUM(R24:R26)</f>
        <v>101010</v>
      </c>
      <c r="X28" s="3">
        <v>8999.9999999999964</v>
      </c>
    </row>
    <row r="29" spans="1:24" x14ac:dyDescent="0.25">
      <c r="B29" s="6"/>
      <c r="C29" s="14">
        <v>1.86</v>
      </c>
      <c r="D29" s="3">
        <f t="shared" si="21"/>
        <v>-116.27906976744185</v>
      </c>
      <c r="E29" s="5">
        <f t="shared" si="22"/>
        <v>0.5376344086021505</v>
      </c>
      <c r="F29" s="6">
        <f t="shared" si="23"/>
        <v>1.8600000000000002E-2</v>
      </c>
      <c r="G29">
        <f t="shared" si="24"/>
        <v>860.00000000000011</v>
      </c>
      <c r="H29" s="3">
        <f t="shared" si="25"/>
        <v>-116.27906976744184</v>
      </c>
      <c r="I29" s="6"/>
      <c r="J29" s="2"/>
      <c r="L29" s="4">
        <f>M28</f>
        <v>500</v>
      </c>
      <c r="M29" s="4">
        <f>L28</f>
        <v>1000</v>
      </c>
      <c r="N29" s="6">
        <f>M29/L29+1</f>
        <v>3</v>
      </c>
      <c r="P29" s="3"/>
      <c r="X29" s="3">
        <v>9999.9999999999909</v>
      </c>
    </row>
    <row r="30" spans="1:24" x14ac:dyDescent="0.25">
      <c r="B30" s="6"/>
      <c r="C30" s="14">
        <v>3.2</v>
      </c>
      <c r="D30" s="3">
        <f t="shared" si="21"/>
        <v>220.00000000000003</v>
      </c>
      <c r="E30" s="5">
        <f t="shared" si="22"/>
        <v>0.3125</v>
      </c>
      <c r="F30" s="6">
        <f t="shared" si="23"/>
        <v>3.2000000000000001E-2</v>
      </c>
      <c r="G30">
        <f t="shared" si="24"/>
        <v>2200</v>
      </c>
      <c r="H30" s="3">
        <f t="shared" si="25"/>
        <v>220</v>
      </c>
      <c r="I30" s="6"/>
      <c r="J30" s="2"/>
      <c r="M30" s="3"/>
      <c r="P30" s="3"/>
      <c r="X30" s="3">
        <v>11000.000000000011</v>
      </c>
    </row>
    <row r="31" spans="1:24" x14ac:dyDescent="0.25">
      <c r="B31" s="6"/>
      <c r="C31" s="14">
        <v>1.9</v>
      </c>
      <c r="D31" s="3">
        <f t="shared" si="21"/>
        <v>-111.11111111111113</v>
      </c>
      <c r="E31" s="5">
        <f t="shared" si="22"/>
        <v>0.52631578947368418</v>
      </c>
      <c r="F31" s="6">
        <f t="shared" si="23"/>
        <v>1.9E-2</v>
      </c>
      <c r="G31">
        <f t="shared" si="24"/>
        <v>899.99999999999989</v>
      </c>
      <c r="H31" s="3">
        <f t="shared" si="25"/>
        <v>-111.11111111111113</v>
      </c>
      <c r="I31" s="6"/>
      <c r="J31" s="2"/>
      <c r="M31" s="3"/>
      <c r="P31" s="3"/>
      <c r="X31" s="3">
        <v>12000.000000000011</v>
      </c>
    </row>
    <row r="32" spans="1:24" x14ac:dyDescent="0.25">
      <c r="B32" s="6"/>
      <c r="C32" s="19">
        <v>1.907</v>
      </c>
      <c r="D32" s="3">
        <f t="shared" si="21"/>
        <v>-110.25358324145535</v>
      </c>
      <c r="E32" s="5">
        <f t="shared" si="22"/>
        <v>0.52438384897745149</v>
      </c>
      <c r="F32" s="6">
        <f t="shared" si="23"/>
        <v>1.907E-2</v>
      </c>
      <c r="G32">
        <f t="shared" si="24"/>
        <v>907</v>
      </c>
      <c r="H32" s="3">
        <f t="shared" si="25"/>
        <v>-110.25358324145535</v>
      </c>
      <c r="I32" s="6"/>
      <c r="J32" s="2"/>
      <c r="L32" s="6">
        <v>100</v>
      </c>
      <c r="M32" s="3"/>
      <c r="P32" s="3"/>
      <c r="T32">
        <f>3000/5</f>
        <v>600</v>
      </c>
      <c r="X32" s="3">
        <v>13000.000000000007</v>
      </c>
    </row>
    <row r="33" spans="3:24" x14ac:dyDescent="0.25">
      <c r="C33" s="7">
        <v>2.9</v>
      </c>
      <c r="D33" s="3">
        <f t="shared" si="21"/>
        <v>190</v>
      </c>
      <c r="E33" s="5">
        <f t="shared" si="22"/>
        <v>0.34482758620689657</v>
      </c>
      <c r="F33" s="6">
        <f t="shared" si="23"/>
        <v>2.8999999999999998E-2</v>
      </c>
      <c r="G33">
        <f t="shared" si="24"/>
        <v>1900</v>
      </c>
      <c r="H33" s="3">
        <f t="shared" si="25"/>
        <v>190</v>
      </c>
      <c r="L33" s="6">
        <v>220</v>
      </c>
      <c r="M33" s="3"/>
      <c r="P33" s="7">
        <f>576/24</f>
        <v>24</v>
      </c>
      <c r="Q33">
        <f>2000000/86400</f>
        <v>23.148148148148149</v>
      </c>
      <c r="X33" s="3">
        <v>14000.000000000005</v>
      </c>
    </row>
    <row r="34" spans="3:24" x14ac:dyDescent="0.25">
      <c r="C34" s="7">
        <v>1.4750000000000001</v>
      </c>
      <c r="D34" s="3">
        <f t="shared" si="21"/>
        <v>-210.52631578947364</v>
      </c>
      <c r="E34" s="5">
        <f t="shared" si="22"/>
        <v>0.67796610169491522</v>
      </c>
      <c r="F34" s="6">
        <f t="shared" si="23"/>
        <v>1.4750000000000001E-2</v>
      </c>
      <c r="G34">
        <f t="shared" si="24"/>
        <v>475.00000000000011</v>
      </c>
      <c r="H34" s="3">
        <f t="shared" si="25"/>
        <v>-210.52631578947364</v>
      </c>
      <c r="L34" s="6">
        <v>210</v>
      </c>
      <c r="M34" s="3"/>
      <c r="P34" s="3"/>
      <c r="X34" s="3">
        <v>15000.000000000002</v>
      </c>
    </row>
    <row r="35" spans="3:24" x14ac:dyDescent="0.25">
      <c r="C35" s="14">
        <v>1.57</v>
      </c>
      <c r="D35" s="3">
        <f t="shared" si="21"/>
        <v>-175.43859649122805</v>
      </c>
      <c r="E35" s="5">
        <f t="shared" si="22"/>
        <v>0.63694267515923564</v>
      </c>
      <c r="F35" s="6">
        <f t="shared" si="23"/>
        <v>1.5700000000000002E-2</v>
      </c>
      <c r="G35">
        <f t="shared" si="24"/>
        <v>570.00000000000011</v>
      </c>
      <c r="H35" s="3">
        <f t="shared" si="25"/>
        <v>-175.43859649122803</v>
      </c>
      <c r="L35" s="6">
        <f>L34/L33</f>
        <v>0.95454545454545459</v>
      </c>
      <c r="M35" s="3"/>
      <c r="P35" s="3"/>
      <c r="X35" s="3">
        <v>16000</v>
      </c>
    </row>
    <row r="36" spans="3:24" x14ac:dyDescent="0.25">
      <c r="C36" s="14">
        <v>1.95</v>
      </c>
      <c r="D36" s="3">
        <f t="shared" si="21"/>
        <v>-105.26315789473685</v>
      </c>
      <c r="E36" s="5">
        <f t="shared" si="22"/>
        <v>0.51282051282051289</v>
      </c>
      <c r="F36" s="6">
        <f t="shared" si="23"/>
        <v>1.95E-2</v>
      </c>
      <c r="G36">
        <f t="shared" si="24"/>
        <v>950</v>
      </c>
      <c r="H36" s="3">
        <f t="shared" si="25"/>
        <v>-105.26315789473684</v>
      </c>
      <c r="M36" s="3"/>
      <c r="P36" s="3"/>
      <c r="X36" s="3">
        <v>16999.999999999996</v>
      </c>
    </row>
    <row r="37" spans="3:24" x14ac:dyDescent="0.25">
      <c r="C37" s="14">
        <v>1.909</v>
      </c>
      <c r="D37" s="3">
        <f t="shared" si="21"/>
        <v>-110.01100110011001</v>
      </c>
      <c r="E37" s="5">
        <f t="shared" si="22"/>
        <v>0.52383446830801461</v>
      </c>
      <c r="F37" s="6">
        <f t="shared" si="23"/>
        <v>1.9089999999999999E-2</v>
      </c>
    </row>
    <row r="38" spans="3:24" x14ac:dyDescent="0.25">
      <c r="C38" t="s">
        <v>93</v>
      </c>
      <c r="G38" t="s">
        <v>94</v>
      </c>
    </row>
    <row r="39" spans="3:24" ht="15.75" thickBot="1" x14ac:dyDescent="0.3">
      <c r="C39" s="8" t="s">
        <v>92</v>
      </c>
      <c r="D39" s="8" t="s">
        <v>91</v>
      </c>
      <c r="E39" s="8" t="s">
        <v>92</v>
      </c>
      <c r="F39" s="8" t="s">
        <v>91</v>
      </c>
      <c r="G39" s="8" t="s">
        <v>92</v>
      </c>
      <c r="H39" s="8" t="s">
        <v>91</v>
      </c>
    </row>
    <row r="40" spans="3:24" x14ac:dyDescent="0.25">
      <c r="C40" s="23">
        <v>955</v>
      </c>
      <c r="D40" s="24">
        <f>INT(1000000/(C40+41)-41)</f>
        <v>963</v>
      </c>
      <c r="E40" s="14">
        <f>C40*0.95/1000+1</f>
        <v>1.9072499999999999</v>
      </c>
      <c r="F40" s="14">
        <f>D40*0.95/1000+1</f>
        <v>1.9148499999999999</v>
      </c>
      <c r="G40" s="3">
        <f>IF(E40&lt;2,-100/(E40-1),(E40-1)*100)</f>
        <v>-110.22320198401765</v>
      </c>
      <c r="H40" s="3">
        <f>IF(F40&lt;2,-100/(F40-1),(F40-1)*100)</f>
        <v>-109.30753675465924</v>
      </c>
    </row>
    <row r="41" spans="3:24" x14ac:dyDescent="0.25">
      <c r="C41" s="25">
        <v>800</v>
      </c>
      <c r="D41" s="26">
        <f t="shared" ref="D41:D46" si="26">INT(1000000/(C41+41)-41)</f>
        <v>1148</v>
      </c>
      <c r="E41" s="14">
        <f t="shared" ref="E41:E46" si="27">C41*0.95/1000+1</f>
        <v>1.76</v>
      </c>
      <c r="F41" s="14">
        <f t="shared" ref="F41:F46" si="28">D41*0.95/1000+1</f>
        <v>2.0906000000000002</v>
      </c>
      <c r="G41" s="3">
        <f t="shared" ref="G41:G46" si="29">IF(E41&lt;2,-100/(E41-1),(E41-1)*100)</f>
        <v>-131.57894736842104</v>
      </c>
      <c r="H41" s="7">
        <f t="shared" ref="H41:H46" si="30">IF(F41&lt;2,-100/(F41-1),(F41-1)*100)</f>
        <v>109.06000000000003</v>
      </c>
    </row>
    <row r="42" spans="3:24" x14ac:dyDescent="0.25">
      <c r="C42" s="25">
        <v>510</v>
      </c>
      <c r="D42" s="26">
        <f t="shared" si="26"/>
        <v>1773</v>
      </c>
      <c r="E42" s="14">
        <f t="shared" si="27"/>
        <v>1.4844999999999999</v>
      </c>
      <c r="F42" s="14">
        <f t="shared" si="28"/>
        <v>2.6843500000000002</v>
      </c>
      <c r="G42" s="3">
        <f t="shared" si="29"/>
        <v>-206.39834881320954</v>
      </c>
      <c r="H42" s="3">
        <f t="shared" si="30"/>
        <v>168.43500000000003</v>
      </c>
    </row>
    <row r="43" spans="3:24" x14ac:dyDescent="0.25">
      <c r="C43" s="25">
        <v>1240</v>
      </c>
      <c r="D43" s="26">
        <f t="shared" si="26"/>
        <v>739</v>
      </c>
      <c r="E43" s="14">
        <f t="shared" si="27"/>
        <v>2.1779999999999999</v>
      </c>
      <c r="F43" s="14">
        <f t="shared" si="28"/>
        <v>1.7020499999999998</v>
      </c>
      <c r="G43" s="3">
        <f t="shared" si="29"/>
        <v>117.8</v>
      </c>
      <c r="H43" s="3">
        <f t="shared" si="30"/>
        <v>-142.43999715120009</v>
      </c>
    </row>
    <row r="44" spans="3:24" x14ac:dyDescent="0.25">
      <c r="C44" s="25">
        <v>955</v>
      </c>
      <c r="D44" s="26">
        <f t="shared" si="26"/>
        <v>963</v>
      </c>
      <c r="E44" s="14">
        <f t="shared" si="27"/>
        <v>1.9072499999999999</v>
      </c>
      <c r="F44" s="14">
        <f t="shared" si="28"/>
        <v>1.9148499999999999</v>
      </c>
      <c r="G44" s="3">
        <f t="shared" si="29"/>
        <v>-110.22320198401765</v>
      </c>
      <c r="H44" s="3">
        <f t="shared" si="30"/>
        <v>-109.30753675465924</v>
      </c>
    </row>
    <row r="45" spans="3:24" x14ac:dyDescent="0.25">
      <c r="C45" s="25">
        <v>955</v>
      </c>
      <c r="D45" s="26">
        <f t="shared" si="26"/>
        <v>963</v>
      </c>
      <c r="E45" s="14">
        <f t="shared" si="27"/>
        <v>1.9072499999999999</v>
      </c>
      <c r="F45" s="14">
        <f t="shared" si="28"/>
        <v>1.9148499999999999</v>
      </c>
      <c r="G45" s="3">
        <f t="shared" si="29"/>
        <v>-110.22320198401765</v>
      </c>
      <c r="H45" s="3">
        <f t="shared" si="30"/>
        <v>-109.30753675465924</v>
      </c>
    </row>
    <row r="46" spans="3:24" x14ac:dyDescent="0.25">
      <c r="C46" s="25">
        <v>955</v>
      </c>
      <c r="D46" s="26">
        <f t="shared" si="26"/>
        <v>963</v>
      </c>
      <c r="E46" s="14">
        <f t="shared" si="27"/>
        <v>1.9072499999999999</v>
      </c>
      <c r="F46" s="14">
        <f t="shared" si="28"/>
        <v>1.9148499999999999</v>
      </c>
      <c r="G46" s="3">
        <f t="shared" si="29"/>
        <v>-110.22320198401765</v>
      </c>
      <c r="H46" s="3">
        <f t="shared" si="30"/>
        <v>-109.30753675465924</v>
      </c>
    </row>
    <row r="47" spans="3:24" ht="15.75" thickBot="1" x14ac:dyDescent="0.3">
      <c r="C47" s="27"/>
      <c r="D47" s="28"/>
    </row>
  </sheetData>
  <sortState xmlns:xlrd2="http://schemas.microsoft.com/office/spreadsheetml/2017/richdata2" ref="X3:X36">
    <sortCondition ref="X3:X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8703-1866-4462-8729-CF2892335D69}">
  <sheetPr codeName="Sheet5"/>
  <dimension ref="C2:X29"/>
  <sheetViews>
    <sheetView workbookViewId="0">
      <selection activeCell="E5" sqref="E5"/>
    </sheetView>
  </sheetViews>
  <sheetFormatPr defaultRowHeight="15" x14ac:dyDescent="0.25"/>
  <sheetData>
    <row r="2" spans="3:24" x14ac:dyDescent="0.25">
      <c r="D2" s="4" t="s">
        <v>110</v>
      </c>
      <c r="G2" s="4" t="s">
        <v>104</v>
      </c>
    </row>
    <row r="3" spans="3:24" x14ac:dyDescent="0.25">
      <c r="C3">
        <v>0</v>
      </c>
      <c r="D3" t="s">
        <v>90</v>
      </c>
      <c r="G3">
        <v>0</v>
      </c>
      <c r="H3" t="s">
        <v>108</v>
      </c>
    </row>
    <row r="4" spans="3:24" x14ac:dyDescent="0.25">
      <c r="C4">
        <v>1</v>
      </c>
      <c r="D4" t="s">
        <v>103</v>
      </c>
      <c r="G4">
        <v>1</v>
      </c>
      <c r="H4" t="s">
        <v>105</v>
      </c>
      <c r="J4">
        <v>0</v>
      </c>
      <c r="K4">
        <v>-110</v>
      </c>
      <c r="L4">
        <f>K5</f>
        <v>-120</v>
      </c>
      <c r="M4">
        <f>IF(J4/2=INT(J4/2),0,1)</f>
        <v>0</v>
      </c>
      <c r="O4">
        <v>350</v>
      </c>
      <c r="P4">
        <v>-520</v>
      </c>
      <c r="Q4">
        <v>0</v>
      </c>
      <c r="R4" s="6">
        <f>IF(O4&lt;0,-(100-O4)/O4,O4/100+1)</f>
        <v>4.5</v>
      </c>
      <c r="S4" s="6">
        <f>IF(P4&lt;0,-(100-P4)/P4,P4/100+1)</f>
        <v>1.1923076923076923</v>
      </c>
      <c r="T4" s="5">
        <f>1/R4+1/S4</f>
        <v>1.0609318996415771</v>
      </c>
      <c r="V4">
        <v>1.724</v>
      </c>
      <c r="W4">
        <v>2.2000000000000002</v>
      </c>
      <c r="X4" s="5">
        <f>1/V4+1/W4</f>
        <v>1.0345918582577516</v>
      </c>
    </row>
    <row r="5" spans="3:24" x14ac:dyDescent="0.25">
      <c r="C5">
        <v>2</v>
      </c>
      <c r="D5" t="s">
        <v>109</v>
      </c>
      <c r="G5">
        <v>2</v>
      </c>
      <c r="H5" t="s">
        <v>106</v>
      </c>
      <c r="J5">
        <v>1</v>
      </c>
      <c r="K5">
        <v>-120</v>
      </c>
      <c r="L5">
        <f t="shared" ref="L5:L29" si="0">K6</f>
        <v>-130</v>
      </c>
      <c r="M5">
        <f t="shared" ref="M5:M28" si="1">IF(J5/2=INT(J5/2),0,1)</f>
        <v>1</v>
      </c>
      <c r="O5">
        <v>162</v>
      </c>
      <c r="P5">
        <v>-210</v>
      </c>
      <c r="Q5">
        <v>0</v>
      </c>
      <c r="R5" s="6">
        <f t="shared" ref="R5:R18" si="2">IF(O5&lt;0,-(100-O5)/O5,O5/100+1)</f>
        <v>2.62</v>
      </c>
      <c r="S5" s="6">
        <f t="shared" ref="S5:S18" si="3">IF(P5&lt;0,-(100-P5)/P5,P5/100+1)</f>
        <v>1.4761904761904763</v>
      </c>
      <c r="T5" s="5">
        <f t="shared" ref="T5:T18" si="4">1/R5+1/S5</f>
        <v>1.0590987441516866</v>
      </c>
      <c r="V5">
        <v>1.9339999999999999</v>
      </c>
      <c r="W5">
        <v>1.9339999999999999</v>
      </c>
      <c r="X5" s="5">
        <f t="shared" ref="X5:X6" si="5">1/V5+1/W5</f>
        <v>1.0341261633919339</v>
      </c>
    </row>
    <row r="6" spans="3:24" x14ac:dyDescent="0.25">
      <c r="C6">
        <v>3</v>
      </c>
      <c r="D6" t="s">
        <v>102</v>
      </c>
      <c r="G6">
        <v>3</v>
      </c>
      <c r="H6" t="s">
        <v>107</v>
      </c>
      <c r="J6">
        <v>2</v>
      </c>
      <c r="K6">
        <v>-130</v>
      </c>
      <c r="L6">
        <f t="shared" si="0"/>
        <v>100</v>
      </c>
      <c r="M6">
        <f t="shared" si="1"/>
        <v>0</v>
      </c>
      <c r="O6">
        <v>-250</v>
      </c>
      <c r="P6">
        <v>190</v>
      </c>
      <c r="Q6">
        <v>0</v>
      </c>
      <c r="R6" s="6">
        <f t="shared" si="2"/>
        <v>1.4</v>
      </c>
      <c r="S6" s="6">
        <f t="shared" si="3"/>
        <v>2.9</v>
      </c>
      <c r="T6" s="5">
        <f t="shared" si="4"/>
        <v>1.0591133004926108</v>
      </c>
      <c r="V6">
        <v>2.93</v>
      </c>
      <c r="W6">
        <v>1.4339999999999999</v>
      </c>
      <c r="X6" s="5">
        <f t="shared" si="5"/>
        <v>1.038646998062652</v>
      </c>
    </row>
    <row r="7" spans="3:24" x14ac:dyDescent="0.25">
      <c r="C7">
        <v>4</v>
      </c>
      <c r="D7" t="s">
        <v>99</v>
      </c>
      <c r="J7">
        <v>3</v>
      </c>
      <c r="K7">
        <v>100</v>
      </c>
      <c r="L7">
        <f t="shared" si="0"/>
        <v>-370</v>
      </c>
      <c r="M7">
        <f t="shared" si="1"/>
        <v>1</v>
      </c>
      <c r="O7">
        <v>186</v>
      </c>
      <c r="P7">
        <v>-245</v>
      </c>
      <c r="Q7">
        <v>0</v>
      </c>
      <c r="R7" s="6">
        <f t="shared" si="2"/>
        <v>2.8600000000000003</v>
      </c>
      <c r="S7" s="6">
        <f t="shared" si="3"/>
        <v>1.4081632653061225</v>
      </c>
      <c r="T7" s="5">
        <f t="shared" si="4"/>
        <v>1.0597952771865815</v>
      </c>
    </row>
    <row r="8" spans="3:24" x14ac:dyDescent="0.25">
      <c r="C8">
        <v>5</v>
      </c>
      <c r="D8" t="s">
        <v>100</v>
      </c>
      <c r="J8">
        <v>4</v>
      </c>
      <c r="K8">
        <v>-370</v>
      </c>
      <c r="L8">
        <f t="shared" si="0"/>
        <v>255</v>
      </c>
      <c r="M8">
        <f t="shared" si="1"/>
        <v>0</v>
      </c>
      <c r="O8">
        <v>-205</v>
      </c>
      <c r="P8">
        <v>170</v>
      </c>
      <c r="Q8">
        <v>0</v>
      </c>
      <c r="R8" s="6">
        <f t="shared" si="2"/>
        <v>1.4878048780487805</v>
      </c>
      <c r="S8" s="6">
        <f t="shared" si="3"/>
        <v>2.7</v>
      </c>
      <c r="T8" s="5">
        <f t="shared" si="4"/>
        <v>1.0425015179113539</v>
      </c>
    </row>
    <row r="9" spans="3:24" x14ac:dyDescent="0.25">
      <c r="C9">
        <v>6</v>
      </c>
      <c r="D9" t="s">
        <v>101</v>
      </c>
      <c r="J9">
        <v>5</v>
      </c>
      <c r="K9">
        <v>255</v>
      </c>
      <c r="L9">
        <f t="shared" si="0"/>
        <v>-175</v>
      </c>
      <c r="M9">
        <f t="shared" si="1"/>
        <v>1</v>
      </c>
      <c r="O9">
        <v>-300</v>
      </c>
      <c r="P9">
        <v>240</v>
      </c>
      <c r="Q9">
        <v>0</v>
      </c>
      <c r="R9" s="6">
        <f t="shared" si="2"/>
        <v>1.3333333333333333</v>
      </c>
      <c r="S9" s="6">
        <f t="shared" si="3"/>
        <v>3.4</v>
      </c>
      <c r="T9" s="5">
        <f t="shared" si="4"/>
        <v>1.0441176470588236</v>
      </c>
    </row>
    <row r="10" spans="3:24" x14ac:dyDescent="0.25">
      <c r="C10">
        <v>7</v>
      </c>
      <c r="D10" t="s">
        <v>98</v>
      </c>
      <c r="J10">
        <v>6</v>
      </c>
      <c r="K10">
        <v>-175</v>
      </c>
      <c r="L10">
        <f t="shared" si="0"/>
        <v>130</v>
      </c>
      <c r="M10">
        <f t="shared" si="1"/>
        <v>0</v>
      </c>
      <c r="O10">
        <v>-180</v>
      </c>
      <c r="P10">
        <v>155</v>
      </c>
      <c r="Q10">
        <v>0</v>
      </c>
      <c r="R10" s="6">
        <f t="shared" si="2"/>
        <v>1.5555555555555556</v>
      </c>
      <c r="S10" s="6">
        <f t="shared" si="3"/>
        <v>2.5499999999999998</v>
      </c>
      <c r="T10" s="5">
        <f t="shared" si="4"/>
        <v>1.0350140056022408</v>
      </c>
    </row>
    <row r="11" spans="3:24" x14ac:dyDescent="0.25">
      <c r="J11">
        <v>7</v>
      </c>
      <c r="K11">
        <v>130</v>
      </c>
      <c r="L11">
        <f t="shared" si="0"/>
        <v>-105</v>
      </c>
      <c r="M11">
        <f t="shared" si="1"/>
        <v>1</v>
      </c>
      <c r="O11">
        <v>125</v>
      </c>
      <c r="P11">
        <v>-150</v>
      </c>
      <c r="Q11">
        <v>0</v>
      </c>
      <c r="R11" s="6">
        <f t="shared" si="2"/>
        <v>2.25</v>
      </c>
      <c r="S11" s="6">
        <f t="shared" si="3"/>
        <v>1.6666666666666667</v>
      </c>
      <c r="T11" s="5">
        <f t="shared" si="4"/>
        <v>1.0444444444444443</v>
      </c>
    </row>
    <row r="12" spans="3:24" x14ac:dyDescent="0.25">
      <c r="J12">
        <v>8</v>
      </c>
      <c r="K12">
        <v>-105</v>
      </c>
      <c r="L12">
        <f t="shared" si="0"/>
        <v>-125</v>
      </c>
      <c r="M12">
        <f t="shared" si="1"/>
        <v>0</v>
      </c>
      <c r="O12">
        <v>-150</v>
      </c>
      <c r="P12">
        <v>125</v>
      </c>
      <c r="Q12">
        <v>0</v>
      </c>
      <c r="R12" s="6">
        <f t="shared" si="2"/>
        <v>1.6666666666666667</v>
      </c>
      <c r="S12" s="6">
        <f t="shared" si="3"/>
        <v>2.25</v>
      </c>
      <c r="T12" s="5">
        <f t="shared" si="4"/>
        <v>1.0444444444444443</v>
      </c>
    </row>
    <row r="13" spans="3:24" x14ac:dyDescent="0.25">
      <c r="D13" s="4" t="s">
        <v>111</v>
      </c>
      <c r="G13" s="4" t="s">
        <v>119</v>
      </c>
      <c r="J13">
        <v>9</v>
      </c>
      <c r="K13">
        <v>-125</v>
      </c>
      <c r="L13">
        <f t="shared" si="0"/>
        <v>-130</v>
      </c>
      <c r="M13">
        <f t="shared" si="1"/>
        <v>1</v>
      </c>
      <c r="O13">
        <v>-230</v>
      </c>
      <c r="P13">
        <v>190</v>
      </c>
      <c r="Q13">
        <v>0</v>
      </c>
      <c r="R13" s="6">
        <f t="shared" si="2"/>
        <v>1.4347826086956521</v>
      </c>
      <c r="S13" s="6">
        <f t="shared" si="3"/>
        <v>2.9</v>
      </c>
      <c r="T13" s="5">
        <f t="shared" si="4"/>
        <v>1.0417972831765936</v>
      </c>
    </row>
    <row r="14" spans="3:24" x14ac:dyDescent="0.25">
      <c r="C14">
        <v>0</v>
      </c>
      <c r="D14" t="s">
        <v>112</v>
      </c>
      <c r="F14">
        <v>0</v>
      </c>
      <c r="G14" t="s">
        <v>120</v>
      </c>
      <c r="H14">
        <v>32</v>
      </c>
      <c r="J14">
        <v>10</v>
      </c>
      <c r="K14">
        <v>-130</v>
      </c>
      <c r="L14">
        <f t="shared" si="0"/>
        <v>100</v>
      </c>
      <c r="M14">
        <f t="shared" si="1"/>
        <v>0</v>
      </c>
      <c r="O14">
        <v>-150</v>
      </c>
      <c r="P14">
        <v>125</v>
      </c>
      <c r="Q14">
        <v>0</v>
      </c>
      <c r="R14" s="6">
        <f t="shared" si="2"/>
        <v>1.6666666666666667</v>
      </c>
      <c r="S14" s="6">
        <f t="shared" si="3"/>
        <v>2.25</v>
      </c>
      <c r="T14" s="5">
        <f t="shared" si="4"/>
        <v>1.0444444444444443</v>
      </c>
    </row>
    <row r="15" spans="3:24" x14ac:dyDescent="0.25">
      <c r="C15">
        <v>1</v>
      </c>
      <c r="D15" t="s">
        <v>113</v>
      </c>
      <c r="F15">
        <v>1</v>
      </c>
      <c r="G15" t="s">
        <v>121</v>
      </c>
      <c r="H15">
        <v>32</v>
      </c>
      <c r="J15">
        <v>11</v>
      </c>
      <c r="K15">
        <v>100</v>
      </c>
      <c r="L15">
        <f t="shared" si="0"/>
        <v>-400</v>
      </c>
      <c r="M15">
        <f t="shared" si="1"/>
        <v>1</v>
      </c>
      <c r="O15">
        <v>120</v>
      </c>
      <c r="P15">
        <v>-140</v>
      </c>
      <c r="Q15">
        <v>0</v>
      </c>
      <c r="R15" s="6">
        <f t="shared" si="2"/>
        <v>2.2000000000000002</v>
      </c>
      <c r="S15" s="6">
        <f t="shared" si="3"/>
        <v>1.7142857142857142</v>
      </c>
      <c r="T15" s="5">
        <f t="shared" si="4"/>
        <v>1.0378787878787878</v>
      </c>
    </row>
    <row r="16" spans="3:24" x14ac:dyDescent="0.25">
      <c r="C16">
        <v>2</v>
      </c>
      <c r="D16" t="s">
        <v>114</v>
      </c>
      <c r="F16">
        <v>2</v>
      </c>
      <c r="G16" t="s">
        <v>122</v>
      </c>
      <c r="H16">
        <v>32</v>
      </c>
      <c r="J16">
        <v>12</v>
      </c>
      <c r="K16">
        <v>-400</v>
      </c>
      <c r="L16">
        <f t="shared" si="0"/>
        <v>270</v>
      </c>
      <c r="M16">
        <f t="shared" si="1"/>
        <v>0</v>
      </c>
      <c r="O16">
        <v>-125</v>
      </c>
      <c r="P16">
        <v>105</v>
      </c>
      <c r="Q16">
        <v>0</v>
      </c>
      <c r="R16" s="6">
        <f t="shared" si="2"/>
        <v>1.8</v>
      </c>
      <c r="S16" s="6">
        <f t="shared" si="3"/>
        <v>2.0499999999999998</v>
      </c>
      <c r="T16" s="5">
        <f t="shared" si="4"/>
        <v>1.0433604336043361</v>
      </c>
    </row>
    <row r="17" spans="3:20" x14ac:dyDescent="0.25">
      <c r="C17">
        <v>3</v>
      </c>
      <c r="D17" t="s">
        <v>90</v>
      </c>
      <c r="F17">
        <v>3</v>
      </c>
      <c r="G17" t="s">
        <v>123</v>
      </c>
      <c r="H17">
        <v>32</v>
      </c>
      <c r="J17">
        <v>13</v>
      </c>
      <c r="K17">
        <v>270</v>
      </c>
      <c r="L17">
        <f t="shared" si="0"/>
        <v>110</v>
      </c>
      <c r="M17">
        <f t="shared" si="1"/>
        <v>1</v>
      </c>
      <c r="O17">
        <v>125</v>
      </c>
      <c r="P17">
        <v>-150</v>
      </c>
      <c r="Q17">
        <v>1</v>
      </c>
      <c r="R17" s="6">
        <f t="shared" si="2"/>
        <v>2.25</v>
      </c>
      <c r="S17" s="6">
        <f t="shared" si="3"/>
        <v>1.6666666666666667</v>
      </c>
      <c r="T17" s="5">
        <f t="shared" si="4"/>
        <v>1.0444444444444443</v>
      </c>
    </row>
    <row r="18" spans="3:20" x14ac:dyDescent="0.25">
      <c r="C18">
        <v>4</v>
      </c>
      <c r="D18" t="s">
        <v>115</v>
      </c>
      <c r="F18">
        <v>4</v>
      </c>
      <c r="G18" t="s">
        <v>124</v>
      </c>
      <c r="H18">
        <v>32</v>
      </c>
      <c r="J18">
        <v>14</v>
      </c>
      <c r="K18">
        <v>110</v>
      </c>
      <c r="L18">
        <f t="shared" si="0"/>
        <v>-145</v>
      </c>
      <c r="M18">
        <f t="shared" si="1"/>
        <v>0</v>
      </c>
      <c r="O18">
        <v>135</v>
      </c>
      <c r="P18">
        <v>-160</v>
      </c>
      <c r="Q18">
        <v>1</v>
      </c>
      <c r="R18" s="6">
        <f t="shared" si="2"/>
        <v>2.35</v>
      </c>
      <c r="S18" s="6">
        <f t="shared" si="3"/>
        <v>1.625</v>
      </c>
      <c r="T18" s="5">
        <f t="shared" si="4"/>
        <v>1.0409165302782324</v>
      </c>
    </row>
    <row r="19" spans="3:20" x14ac:dyDescent="0.25">
      <c r="C19">
        <v>5</v>
      </c>
      <c r="D19" t="s">
        <v>116</v>
      </c>
      <c r="F19">
        <v>5</v>
      </c>
      <c r="G19" t="s">
        <v>125</v>
      </c>
      <c r="H19">
        <v>32</v>
      </c>
      <c r="J19">
        <v>15</v>
      </c>
      <c r="K19">
        <v>-145</v>
      </c>
      <c r="L19">
        <f t="shared" si="0"/>
        <v>-1400</v>
      </c>
      <c r="M19">
        <f t="shared" si="1"/>
        <v>1</v>
      </c>
    </row>
    <row r="20" spans="3:20" x14ac:dyDescent="0.25">
      <c r="C20">
        <v>6</v>
      </c>
      <c r="D20" t="s">
        <v>117</v>
      </c>
      <c r="F20">
        <v>6</v>
      </c>
      <c r="G20" t="s">
        <v>126</v>
      </c>
      <c r="H20">
        <v>32</v>
      </c>
      <c r="J20">
        <v>16</v>
      </c>
      <c r="K20">
        <v>-1400</v>
      </c>
      <c r="L20">
        <f t="shared" si="0"/>
        <v>650</v>
      </c>
      <c r="M20">
        <f t="shared" si="1"/>
        <v>0</v>
      </c>
    </row>
    <row r="21" spans="3:20" x14ac:dyDescent="0.25">
      <c r="C21">
        <v>7</v>
      </c>
      <c r="D21" t="s">
        <v>118</v>
      </c>
      <c r="J21">
        <v>17</v>
      </c>
      <c r="K21">
        <v>650</v>
      </c>
      <c r="L21">
        <f t="shared" si="0"/>
        <v>-210</v>
      </c>
      <c r="M21">
        <f t="shared" si="1"/>
        <v>1</v>
      </c>
    </row>
    <row r="22" spans="3:20" x14ac:dyDescent="0.25">
      <c r="J22">
        <v>18</v>
      </c>
      <c r="K22">
        <v>-210</v>
      </c>
      <c r="L22">
        <f t="shared" si="0"/>
        <v>155</v>
      </c>
      <c r="M22">
        <f t="shared" si="1"/>
        <v>0</v>
      </c>
    </row>
    <row r="23" spans="3:20" x14ac:dyDescent="0.25">
      <c r="J23">
        <v>19</v>
      </c>
      <c r="K23">
        <v>155</v>
      </c>
      <c r="L23">
        <f t="shared" si="0"/>
        <v>-185</v>
      </c>
      <c r="M23">
        <f t="shared" si="1"/>
        <v>1</v>
      </c>
    </row>
    <row r="24" spans="3:20" x14ac:dyDescent="0.25">
      <c r="J24">
        <v>20</v>
      </c>
      <c r="K24">
        <v>-185</v>
      </c>
      <c r="L24">
        <f t="shared" si="0"/>
        <v>135</v>
      </c>
      <c r="M24">
        <f t="shared" si="1"/>
        <v>0</v>
      </c>
      <c r="O24">
        <v>-145</v>
      </c>
      <c r="P24">
        <v>-1400</v>
      </c>
      <c r="Q24">
        <v>1</v>
      </c>
    </row>
    <row r="25" spans="3:20" x14ac:dyDescent="0.25">
      <c r="J25">
        <v>21</v>
      </c>
      <c r="K25">
        <v>135</v>
      </c>
      <c r="L25">
        <f t="shared" si="0"/>
        <v>100</v>
      </c>
      <c r="M25">
        <f t="shared" si="1"/>
        <v>1</v>
      </c>
      <c r="O25">
        <v>650</v>
      </c>
      <c r="P25">
        <v>-210</v>
      </c>
      <c r="Q25">
        <v>1</v>
      </c>
    </row>
    <row r="26" spans="3:20" x14ac:dyDescent="0.25">
      <c r="J26">
        <v>22</v>
      </c>
      <c r="K26">
        <v>100</v>
      </c>
      <c r="L26">
        <f t="shared" si="0"/>
        <v>-130</v>
      </c>
      <c r="M26">
        <f t="shared" si="1"/>
        <v>0</v>
      </c>
      <c r="O26">
        <v>155</v>
      </c>
      <c r="P26">
        <v>-185</v>
      </c>
      <c r="Q26">
        <v>1</v>
      </c>
    </row>
    <row r="27" spans="3:20" x14ac:dyDescent="0.25">
      <c r="J27">
        <v>23</v>
      </c>
      <c r="K27">
        <v>-130</v>
      </c>
      <c r="L27">
        <f t="shared" si="0"/>
        <v>-170</v>
      </c>
      <c r="M27">
        <f t="shared" si="1"/>
        <v>1</v>
      </c>
      <c r="O27">
        <v>135</v>
      </c>
      <c r="P27">
        <v>100</v>
      </c>
      <c r="Q27">
        <v>1</v>
      </c>
    </row>
    <row r="28" spans="3:20" x14ac:dyDescent="0.25">
      <c r="J28">
        <v>24</v>
      </c>
      <c r="K28">
        <v>-170</v>
      </c>
      <c r="L28">
        <f t="shared" si="0"/>
        <v>125</v>
      </c>
      <c r="M28">
        <f t="shared" si="1"/>
        <v>0</v>
      </c>
      <c r="O28">
        <v>-130</v>
      </c>
      <c r="P28">
        <v>-170</v>
      </c>
      <c r="Q28">
        <v>1</v>
      </c>
    </row>
    <row r="29" spans="3:20" x14ac:dyDescent="0.25">
      <c r="J29">
        <v>25</v>
      </c>
      <c r="K29">
        <v>125</v>
      </c>
      <c r="L29">
        <f t="shared" si="0"/>
        <v>0</v>
      </c>
    </row>
  </sheetData>
  <sortState xmlns:xlrd2="http://schemas.microsoft.com/office/spreadsheetml/2017/richdata2" ref="O4:Q28">
    <sortCondition ref="Q4:Q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initData</vt:lpstr>
      <vt:lpstr>MLtoDEC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2021-08-18T18:19:25Z</dcterms:created>
  <dcterms:modified xsi:type="dcterms:W3CDTF">2023-07-18T19:16:55Z</dcterms:modified>
</cp:coreProperties>
</file>